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omments9.xml" ContentType="application/vnd.openxmlformats-officedocument.spreadsheetml.comments+xml"/>
  <Override PartName="/xl/drawings/drawing6.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2.xml" ContentType="application/vnd.openxmlformats-officedocument.themeOverrid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3.xml" ContentType="application/vnd.openxmlformats-officedocument.themeOverride+xml"/>
  <Override PartName="/xl/charts/chart10.xml" ContentType="application/vnd.openxmlformats-officedocument.drawingml.chart+xml"/>
  <Override PartName="/xl/theme/themeOverride4.xml" ContentType="application/vnd.openxmlformats-officedocument.themeOverride+xml"/>
  <Override PartName="/xl/charts/chart11.xml" ContentType="application/vnd.openxmlformats-officedocument.drawingml.chart+xml"/>
  <Override PartName="/xl/theme/themeOverride5.xml" ContentType="application/vnd.openxmlformats-officedocument.themeOverride+xml"/>
  <Override PartName="/xl/charts/chart12.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6.xml" ContentType="application/vnd.openxmlformats-officedocument.themeOverride+xml"/>
  <Override PartName="/xl/charts/chart13.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7.xml" ContentType="application/vnd.openxmlformats-officedocument.themeOverride+xml"/>
  <Override PartName="/xl/drawings/drawing7.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charts/chart15.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style11.xml" ContentType="application/vnd.ms-office.chartstyle+xml"/>
  <Override PartName="/xl/charts/colors11.xml" ContentType="application/vnd.ms-office.chartcolorstyle+xml"/>
  <Override PartName="/xl/charts/chart17.xml" ContentType="application/vnd.openxmlformats-officedocument.drawingml.chart+xml"/>
  <Override PartName="/xl/charts/style12.xml" ContentType="application/vnd.ms-office.chartstyle+xml"/>
  <Override PartName="/xl/charts/colors12.xml" ContentType="application/vnd.ms-office.chartcolorstyle+xml"/>
  <Override PartName="/xl/charts/chart18.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9.xml" ContentType="application/vnd.openxmlformats-officedocument.drawing+xml"/>
  <Override PartName="/xl/comments10.xml" ContentType="application/vnd.openxmlformats-officedocument.spreadsheetml.comments+xml"/>
  <Override PartName="/xl/charts/chart19.xml" ContentType="application/vnd.openxmlformats-officedocument.drawingml.chart+xml"/>
  <Override PartName="/xl/charts/style14.xml" ContentType="application/vnd.ms-office.chartstyle+xml"/>
  <Override PartName="/xl/charts/colors14.xml" ContentType="application/vnd.ms-office.chartcolorstyle+xml"/>
  <Override PartName="/xl/charts/chart20.xml" ContentType="application/vnd.openxmlformats-officedocument.drawingml.chart+xml"/>
  <Override PartName="/xl/charts/style15.xml" ContentType="application/vnd.ms-office.chartstyle+xml"/>
  <Override PartName="/xl/charts/colors15.xml" ContentType="application/vnd.ms-office.chartcolorstyle+xml"/>
  <Override PartName="/xl/charts/chart21.xml" ContentType="application/vnd.openxmlformats-officedocument.drawingml.chart+xml"/>
  <Override PartName="/xl/charts/style16.xml" ContentType="application/vnd.ms-office.chartstyle+xml"/>
  <Override PartName="/xl/charts/colors16.xml" ContentType="application/vnd.ms-office.chartcolorstyle+xml"/>
  <Override PartName="/xl/charts/chart22.xml" ContentType="application/vnd.openxmlformats-officedocument.drawingml.chart+xml"/>
  <Override PartName="/xl/charts/style17.xml" ContentType="application/vnd.ms-office.chartstyle+xml"/>
  <Override PartName="/xl/charts/colors17.xml" ContentType="application/vnd.ms-office.chartcolorstyle+xml"/>
  <Override PartName="/xl/charts/chart23.xml" ContentType="application/vnd.openxmlformats-officedocument.drawingml.chart+xml"/>
  <Override PartName="/xl/charts/chart24.xml" ContentType="application/vnd.openxmlformats-officedocument.drawingml.chart+xml"/>
  <Override PartName="/xl/drawings/drawing10.xml" ContentType="application/vnd.openxmlformats-officedocument.drawing+xml"/>
  <Override PartName="/xl/charts/chart25.xml" ContentType="application/vnd.openxmlformats-officedocument.drawingml.chart+xml"/>
  <Override PartName="/xl/charts/style18.xml" ContentType="application/vnd.ms-office.chartstyle+xml"/>
  <Override PartName="/xl/charts/colors18.xml" ContentType="application/vnd.ms-office.chartcolorstyle+xml"/>
  <Override PartName="/xl/charts/chart26.xml" ContentType="application/vnd.openxmlformats-officedocument.drawingml.chart+xml"/>
  <Override PartName="/xl/charts/style19.xml" ContentType="application/vnd.ms-office.chartstyle+xml"/>
  <Override PartName="/xl/charts/colors19.xml" ContentType="application/vnd.ms-office.chartcolorstyle+xml"/>
  <Override PartName="/xl/charts/chart27.xml" ContentType="application/vnd.openxmlformats-officedocument.drawingml.chart+xml"/>
  <Override PartName="/xl/charts/style20.xml" ContentType="application/vnd.ms-office.chartstyle+xml"/>
  <Override PartName="/xl/charts/colors20.xml" ContentType="application/vnd.ms-office.chartcolorstyle+xml"/>
  <Override PartName="/xl/charts/chart28.xml" ContentType="application/vnd.openxmlformats-officedocument.drawingml.chart+xml"/>
  <Override PartName="/xl/charts/style21.xml" ContentType="application/vnd.ms-office.chartstyle+xml"/>
  <Override PartName="/xl/charts/colors21.xml" ContentType="application/vnd.ms-office.chartcolorstyle+xml"/>
  <Override PartName="/xl/charts/chart29.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1.xml" ContentType="application/vnd.openxmlformats-officedocument.drawing+xml"/>
  <Override PartName="/xl/charts/chart30.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charts/chart31.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8.xml" ContentType="application/vnd.openxmlformats-officedocument.themeOverride+xml"/>
  <Override PartName="/xl/charts/chart32.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9.xml" ContentType="application/vnd.openxmlformats-officedocument.themeOverride+xml"/>
  <Override PartName="/xl/drawings/drawing14.xml" ContentType="application/vnd.openxmlformats-officedocument.drawing+xml"/>
  <Override PartName="/xl/charts/chart33.xml" ContentType="application/vnd.openxmlformats-officedocument.drawingml.chart+xml"/>
  <Override PartName="/xl/charts/style26.xml" ContentType="application/vnd.ms-office.chartstyle+xml"/>
  <Override PartName="/xl/charts/colors26.xml" ContentType="application/vnd.ms-office.chartcolorstyle+xml"/>
  <Override PartName="/xl/charts/chart34.xml" ContentType="application/vnd.openxmlformats-officedocument.drawingml.chart+xml"/>
  <Override PartName="/xl/charts/style27.xml" ContentType="application/vnd.ms-office.chartstyle+xml"/>
  <Override PartName="/xl/charts/colors27.xml" ContentType="application/vnd.ms-office.chartcolorstyle+xml"/>
  <Override PartName="/xl/charts/chart35.xml" ContentType="application/vnd.openxmlformats-officedocument.drawingml.chart+xml"/>
  <Override PartName="/xl/theme/themeOverride10.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https://newstreet1385.sharepoint.com/sites/Corp/Shared/TELECOMS/STOCKS/EMEA/Africa/IHS/Model/"/>
    </mc:Choice>
  </mc:AlternateContent>
  <xr:revisionPtr revIDLastSave="4114" documentId="13_ncr:1_{3AF50828-7CFE-4B93-85FF-58351CC04E99}" xr6:coauthVersionLast="47" xr6:coauthVersionMax="47" xr10:uidLastSave="{E58DE947-AE5D-4A37-A024-8E8E357C84DC}"/>
  <bookViews>
    <workbookView xWindow="25410" yWindow="2550" windowWidth="32160" windowHeight="26370" tabRatio="859" xr2:uid="{8898D5AC-7417-4C97-8BE2-E55DE85B50AB}"/>
  </bookViews>
  <sheets>
    <sheet name="Cover" sheetId="30" r:id="rId1"/>
    <sheet name="Disclaimer" sheetId="31" r:id="rId2"/>
    <sheet name="Valuation" sheetId="21" r:id="rId3"/>
    <sheet name="Master" sheetId="5" r:id="rId4"/>
    <sheet name="Consolidation" sheetId="16" r:id="rId5"/>
    <sheet name="Nigeria" sheetId="1" r:id="rId6"/>
    <sheet name="SSA" sheetId="17" r:id="rId7"/>
    <sheet name="Latam" sheetId="18" r:id="rId8"/>
    <sheet name="MENA" sheetId="20" r:id="rId9"/>
    <sheet name="Interims" sheetId="29" r:id="rId10"/>
    <sheet name="Lisbon" sheetId="32" r:id="rId11"/>
    <sheet name="HY" sheetId="40" r:id="rId12"/>
    <sheet name="Anna" sheetId="28" r:id="rId13"/>
    <sheet name="Sites and tenancies" sheetId="15" r:id="rId14"/>
    <sheet name="Sheet2" sheetId="24" r:id="rId15"/>
    <sheet name="New v old" sheetId="39" r:id="rId16"/>
    <sheet name="Value Crystallisation" sheetId="37" r:id="rId17"/>
    <sheet name="Deval" sheetId="35" r:id="rId18"/>
    <sheet name="Tower model" sheetId="25" r:id="rId19"/>
    <sheet name="Tenancies" sheetId="9" r:id="rId20"/>
    <sheet name="Key debates" sheetId="27" r:id="rId21"/>
    <sheet name="Tower contract differences" sheetId="26" r:id="rId22"/>
    <sheet name="Shareholders" sheetId="36" r:id="rId23"/>
    <sheet name="PG" sheetId="34" r:id="rId24"/>
    <sheet name="Sheet1" sheetId="22" r:id="rId25"/>
    <sheet name="Sheet3" sheetId="38" r:id="rId26"/>
  </sheets>
  <definedNames>
    <definedName name="___">#REF!</definedName>
    <definedName name="__FDS_HYPERLINK_TOGGLE_STATE__" hidden="1">"ON"</definedName>
    <definedName name="_1_0Market">#REF!</definedName>
    <definedName name="_1993A">#REF!</definedName>
    <definedName name="_1994A">#REF!</definedName>
    <definedName name="_1995">#REF!</definedName>
    <definedName name="_1995A">#REF!</definedName>
    <definedName name="_1996">#REF!</definedName>
    <definedName name="_1996A">#REF!</definedName>
    <definedName name="_1997">#REF!</definedName>
    <definedName name="_1997A">#REF!</definedName>
    <definedName name="_1998">#REF!</definedName>
    <definedName name="_1998E">#REF!</definedName>
    <definedName name="_1999">#REF!</definedName>
    <definedName name="_1999E">#REF!</definedName>
    <definedName name="_2000">#REF!</definedName>
    <definedName name="_2000E">#REF!</definedName>
    <definedName name="_2001">#REF!</definedName>
    <definedName name="_2001E">#REF!</definedName>
    <definedName name="_2002">#REF!</definedName>
    <definedName name="_2002E">#REF!</definedName>
    <definedName name="_2003E">#REF!</definedName>
    <definedName name="_2004E">#REF!</definedName>
    <definedName name="_2005E">#REF!</definedName>
    <definedName name="_2B_0Working_pr">#REF!</definedName>
    <definedName name="_3D_0Working_l">#REF!</definedName>
    <definedName name="_Key1" hidden="1">#REF!</definedName>
    <definedName name="_Order1" hidden="1">255</definedName>
    <definedName name="_Sort" hidden="1">#REF!</definedName>
    <definedName name="_UP">#REF!</definedName>
    <definedName name="_yr1996">#REF!</definedName>
    <definedName name="anscount" hidden="1">1</definedName>
    <definedName name="aRG">#REF!</definedName>
    <definedName name="assoc">#REF!</definedName>
    <definedName name="Belgium_Belgacom_fixed_export">#REF!</definedName>
    <definedName name="Belgium_Belgacom_mobile_export">#REF!</definedName>
    <definedName name="BHINtwr1">#REF!</definedName>
    <definedName name="BHINtwr2">#REF!</definedName>
    <definedName name="bondcos">#REF!</definedName>
    <definedName name="bondcost">#REF!</definedName>
    <definedName name="bskybprice" localSheetId="2">#REF!</definedName>
    <definedName name="bskybprice">#REF!</definedName>
    <definedName name="bskybrating" localSheetId="2">#REF!</definedName>
    <definedName name="bskybrating">#REF!</definedName>
    <definedName name="bskybtarget" localSheetId="2">#REF!</definedName>
    <definedName name="bskybtarget">#REF!</definedName>
    <definedName name="bsminority">#REF!</definedName>
    <definedName name="BT_Att">#REF!</definedName>
    <definedName name="BT_BSMins">#REF!</definedName>
    <definedName name="BT_CFPS">#REF!</definedName>
    <definedName name="BT_CFPS_fd">#REF!</definedName>
    <definedName name="BT_DPS">#REF!</definedName>
    <definedName name="BT_DtoE">#REF!</definedName>
    <definedName name="BT_EBITDA">#REF!</definedName>
    <definedName name="BT_EPS_fd">#REF!</definedName>
    <definedName name="BT_FA">#REF!</definedName>
    <definedName name="BT_Min">#REF!</definedName>
    <definedName name="BT_Minorities">#REF!</definedName>
    <definedName name="BT_Mins">#REF!</definedName>
    <definedName name="BT_NAV">#REF!</definedName>
    <definedName name="BT_NDebt">#REF!</definedName>
    <definedName name="BT_netdebt">#REF!</definedName>
    <definedName name="BT_Provs">#REF!</definedName>
    <definedName name="BT_R">#REF!</definedName>
    <definedName name="BT_Rec">#REF!</definedName>
    <definedName name="BT_ROCE">#REF!</definedName>
    <definedName name="BT_ROE">#REF!</definedName>
    <definedName name="BT_Sales">#REF!</definedName>
    <definedName name="BT_Shf">#REF!</definedName>
    <definedName name="BT_Shissued">#REF!</definedName>
    <definedName name="BT_UK_export">#REF!</definedName>
    <definedName name="BT_UP">#REF!</definedName>
    <definedName name="Capital_Employed">#REF!</definedName>
    <definedName name="cash">#REF!</definedName>
    <definedName name="casheps">#REF!</definedName>
    <definedName name="changend">#REF!</definedName>
    <definedName name="Check">#REF!</definedName>
    <definedName name="Chile">#REF!</definedName>
    <definedName name="ChinaTowtwr1">#REF!</definedName>
    <definedName name="ChinaTowtwr2">#REF!</definedName>
    <definedName name="CIQWBGuid" hidden="1">"INWIT - Investor Relations - Weekly.xlsx"</definedName>
    <definedName name="Core_old__BT_cap_ex">#REF!</definedName>
    <definedName name="corecapex">#REF!</definedName>
    <definedName name="CPE">#REF!</definedName>
    <definedName name="creditors">#REF!</definedName>
    <definedName name="cueps">#REF!</definedName>
    <definedName name="DB">"WIREUK"</definedName>
    <definedName name="DCF_Valuation">#REF!</definedName>
    <definedName name="debtors">#REF!</definedName>
    <definedName name="Decommissioning_YearlyImpact">#REF!</definedName>
    <definedName name="depre">#REF!</definedName>
    <definedName name="depreciation">#REF!</definedName>
    <definedName name="Discount_CashAdv">#REF!</definedName>
    <definedName name="Discount_MA">#REF!</definedName>
    <definedName name="Dismantling_Cost">#REF!</definedName>
    <definedName name="disposals">#REF!</definedName>
    <definedName name="divpaid">#REF!</definedName>
    <definedName name="DMprice3">#REF!</definedName>
    <definedName name="DMtarget3">#REF!</definedName>
    <definedName name="dps">#REF!</definedName>
    <definedName name="Dvd_Policy">#REF!</definedName>
    <definedName name="eps">#REF!</definedName>
    <definedName name="F.1981.03">#REF!</definedName>
    <definedName name="F.1982.03">#REF!</definedName>
    <definedName name="F.1983.03">#REF!</definedName>
    <definedName name="F.1984.03">#REF!</definedName>
    <definedName name="F.1985.03">#REF!</definedName>
    <definedName name="F.1986.03">#REF!</definedName>
    <definedName name="F.1987.03">#REF!</definedName>
    <definedName name="F.1988.03">#REF!</definedName>
    <definedName name="F.1989.03">#REF!</definedName>
    <definedName name="F.1990.03">#REF!</definedName>
    <definedName name="F.1991.03">#REF!</definedName>
    <definedName name="F.1992.03">#REF!</definedName>
    <definedName name="F.1993.03">#REF!</definedName>
    <definedName name="F.1994.03">#REF!</definedName>
    <definedName name="F.1995.03">#REF!</definedName>
    <definedName name="F.1998.03">#REF!</definedName>
    <definedName name="fcf">#REF!</definedName>
    <definedName name="France_Telecom">#REF!</definedName>
    <definedName name="France_Telecom_Belgium_mobile_interconnect_receipts">#REF!</definedName>
    <definedName name="France_Telecom_Belgium_mobile_interconnect_receipts_from_fixed_operators">#REF!</definedName>
    <definedName name="France_Telecom_Belgium_mobile_interconnect_receipts_from_mobile_operators">#REF!</definedName>
    <definedName name="France_Telecom_Belgium_mobile_other_revenue">#REF!</definedName>
    <definedName name="France_Telecom_Belgium_mobile_retail_and_wholesale_services_revenue">#REF!</definedName>
    <definedName name="France_Telecom_Belgium_mobile_retail_revenue">#REF!</definedName>
    <definedName name="France_Telecom_Belgium_mobile_retail_subscribers">#REF!</definedName>
    <definedName name="France_Telecom_Belgium_mobile_revenue">#REF!</definedName>
    <definedName name="France_Telecom_Belgium_mobile_wholesale_revenue">#REF!</definedName>
    <definedName name="France_Telecom_Belgium_mobile_wholesale_subscribers">#REF!</definedName>
    <definedName name="France_Telecom_Denmark_mobile_interconnect_receipts">#REF!</definedName>
    <definedName name="France_Telecom_Denmark_mobile_interconnect_receipts_from_fixed_operators">#REF!</definedName>
    <definedName name="France_Telecom_Denmark_mobile_interconnect_receipts_from_mobile_operators">#REF!</definedName>
    <definedName name="France_Telecom_Denmark_mobile_other_revenue">#REF!</definedName>
    <definedName name="France_Telecom_Denmark_mobile_retail_and_wholesale_services_revenue">#REF!</definedName>
    <definedName name="France_Telecom_Denmark_mobile_retail_revenue">#REF!</definedName>
    <definedName name="France_Telecom_Denmark_mobile_retail_subscribers">#REF!</definedName>
    <definedName name="France_Telecom_Denmark_mobile_revenue">#REF!</definedName>
    <definedName name="France_Telecom_Denmark_mobile_wholesale_revenue">#REF!</definedName>
    <definedName name="France_Telecom_Denmark_mobile_wholesale_subscribers">#REF!</definedName>
    <definedName name="France_Telecom_Egypt_mobile_interconnect_receipts">#REF!</definedName>
    <definedName name="France_Telecom_Egypt_mobile_interconnect_receipts_from_fixed_operators">#REF!</definedName>
    <definedName name="France_Telecom_Egypt_mobile_interconnect_receipts_from_mobile_operators">#REF!</definedName>
    <definedName name="France_Telecom_Egypt_mobile_other_revenue">#REF!</definedName>
    <definedName name="France_Telecom_Egypt_mobile_retail_and_wholesale_services_revenue">#REF!</definedName>
    <definedName name="France_Telecom_Egypt_mobile_retail_revenue">#REF!</definedName>
    <definedName name="France_Telecom_Egypt_mobile_retail_subscribers">#REF!</definedName>
    <definedName name="France_Telecom_Egypt_mobile_revenue">#REF!</definedName>
    <definedName name="France_Telecom_Egypt_mobile_wholesale_revenue">#REF!</definedName>
    <definedName name="France_Telecom_Egypt_mobile_wholesale_subscribers">#REF!</definedName>
    <definedName name="France_Telecom_France_fixed_broadband_revenue__business">#REF!</definedName>
    <definedName name="France_Telecom_France_fixed_broadband_revenue__residential">#REF!</definedName>
    <definedName name="France_Telecom_France_fixed_broadband_revenue__residential___business">#REF!</definedName>
    <definedName name="France_Telecom_France_fixed_interconnect_receipts">#REF!</definedName>
    <definedName name="France_Telecom_France_fixed_interconnect_receipts_from_fixed_operators">#REF!</definedName>
    <definedName name="France_Telecom_France_fixed_interconnect_receipts_from_mobile_operators">#REF!</definedName>
    <definedName name="France_Telecom_France_fixed_other_revenue">#REF!</definedName>
    <definedName name="France_Telecom_France_fixed_retail_and_wholesale_services_revenue">#REF!</definedName>
    <definedName name="France_Telecom_France_fixed_retail_broadband_business_sites">#REF!</definedName>
    <definedName name="France_Telecom_France_fixed_retail_broadband_homes">#REF!</definedName>
    <definedName name="France_Telecom_France_fixed_retail_broadband_sites__homes_and_businesses">#REF!</definedName>
    <definedName name="France_Telecom_France_fixed_retail_business_sites">#REF!</definedName>
    <definedName name="France_Telecom_France_fixed_retail_homes">#REF!</definedName>
    <definedName name="France_Telecom_France_fixed_retail_lines__business">#REF!</definedName>
    <definedName name="France_Telecom_France_fixed_retail_lines__ISDN">#REF!</definedName>
    <definedName name="France_Telecom_France_fixed_retail_lines__PSTN">#REF!</definedName>
    <definedName name="France_Telecom_France_fixed_retail_lines__PSTN___ISDN">#REF!</definedName>
    <definedName name="France_Telecom_France_fixed_retail_lines__residential">#REF!</definedName>
    <definedName name="France_Telecom_France_fixed_retail_lines__residential___business">#REF!</definedName>
    <definedName name="France_Telecom_France_fixed_retail_revenue__business">#REF!</definedName>
    <definedName name="France_Telecom_France_fixed_retail_revenue__residential">#REF!</definedName>
    <definedName name="France_Telecom_France_fixed_retail_revenue__residential___business">#REF!</definedName>
    <definedName name="France_Telecom_France_fixed_revenue">#REF!</definedName>
    <definedName name="France_Telecom_France_fixed_wholesale_and_interconnect_services_revenue">#REF!</definedName>
    <definedName name="France_Telecom_France_fixed_wholesale_broadband_business_sites">#REF!</definedName>
    <definedName name="France_Telecom_France_fixed_wholesale_broadband_homes">#REF!</definedName>
    <definedName name="France_Telecom_France_fixed_wholesale_broadband_sites__homes_and_businesses">#REF!</definedName>
    <definedName name="France_Telecom_France_fixed_wholesale_business_sites">#REF!</definedName>
    <definedName name="France_Telecom_France_fixed_wholesale_homes">#REF!</definedName>
    <definedName name="France_Telecom_France_fixed_wholesale_lines__business">#REF!</definedName>
    <definedName name="France_Telecom_France_fixed_wholesale_lines__ISDN">#REF!</definedName>
    <definedName name="France_Telecom_France_fixed_wholesale_lines__PSTN">#REF!</definedName>
    <definedName name="France_Telecom_France_fixed_wholesale_lines__PSTN___ISDN">#REF!</definedName>
    <definedName name="France_Telecom_France_fixed_wholesale_lines__residential">#REF!</definedName>
    <definedName name="France_Telecom_France_fixed_wholesale_lines__residential___business">#REF!</definedName>
    <definedName name="France_Telecom_France_fixed_wholesale_revenue">#REF!</definedName>
    <definedName name="France_Telecom_France_mobile_interconnect_receipts">#REF!</definedName>
    <definedName name="France_Telecom_France_mobile_interconnect_receipts_from_fixed_operators">#REF!</definedName>
    <definedName name="France_Telecom_France_mobile_interconnect_receipts_from_mobile_operators">#REF!</definedName>
    <definedName name="France_Telecom_France_mobile_other_revenue">#REF!</definedName>
    <definedName name="France_Telecom_France_mobile_retail_and_wholesale_services_revenue">#REF!</definedName>
    <definedName name="France_Telecom_France_mobile_retail_revenue">#REF!</definedName>
    <definedName name="France_Telecom_France_mobile_retail_subscribers">#REF!</definedName>
    <definedName name="France_Telecom_France_mobile_revenue">#REF!</definedName>
    <definedName name="France_Telecom_France_mobile_wholesale_revenue">#REF!</definedName>
    <definedName name="France_Telecom_France_mobile_wholesale_subscribers">#REF!</definedName>
    <definedName name="France_Telecom_Netherlands_mobile_interconnect_receipts">#REF!</definedName>
    <definedName name="France_Telecom_Netherlands_mobile_interconnect_receipts_from_fixed_operators">#REF!</definedName>
    <definedName name="France_Telecom_Netherlands_mobile_interconnect_receipts_from_mobile_operators">#REF!</definedName>
    <definedName name="France_Telecom_Netherlands_mobile_other_revenue">#REF!</definedName>
    <definedName name="France_Telecom_Netherlands_mobile_retail_and_wholesale_services_revenue">#REF!</definedName>
    <definedName name="France_Telecom_Netherlands_mobile_retail_revenue">#REF!</definedName>
    <definedName name="France_Telecom_Netherlands_mobile_retail_subscribers">#REF!</definedName>
    <definedName name="France_Telecom_Netherlands_mobile_revenue">#REF!</definedName>
    <definedName name="France_Telecom_Netherlands_mobile_wholesale_revenue">#REF!</definedName>
    <definedName name="France_Telecom_Netherlands_mobile_wholesale_subscribers">#REF!</definedName>
    <definedName name="France_Telecom_Poland_fixed_broadband_revenue__business">#REF!</definedName>
    <definedName name="France_Telecom_Poland_fixed_broadband_revenue__residential">#REF!</definedName>
    <definedName name="France_Telecom_Poland_fixed_broadband_revenue__residential___business">#REF!</definedName>
    <definedName name="France_Telecom_Poland_fixed_interconnect_receipts">#REF!</definedName>
    <definedName name="France_Telecom_Poland_fixed_interconnect_receipts_from_fixed_operators">#REF!</definedName>
    <definedName name="France_Telecom_Poland_fixed_interconnect_receipts_from_mobile_operators">#REF!</definedName>
    <definedName name="France_Telecom_Poland_fixed_other_revenue">#REF!</definedName>
    <definedName name="France_Telecom_Poland_fixed_retail_and_wholesale_services_revenue">#REF!</definedName>
    <definedName name="France_Telecom_Poland_fixed_retail_broadband_business_sites">#REF!</definedName>
    <definedName name="France_Telecom_Poland_fixed_retail_broadband_homes">#REF!</definedName>
    <definedName name="France_Telecom_Poland_fixed_retail_broadband_sites__homes_and_businesses">#REF!</definedName>
    <definedName name="France_Telecom_Poland_fixed_retail_business_sites">#REF!</definedName>
    <definedName name="France_Telecom_Poland_fixed_retail_homes">#REF!</definedName>
    <definedName name="France_Telecom_Poland_fixed_retail_lines__business">#REF!</definedName>
    <definedName name="France_Telecom_Poland_fixed_retail_lines__ISDN">#REF!</definedName>
    <definedName name="France_Telecom_Poland_fixed_retail_lines__PSTN">#REF!</definedName>
    <definedName name="France_Telecom_Poland_fixed_retail_lines__PSTN___ISDN">#REF!</definedName>
    <definedName name="France_Telecom_Poland_fixed_retail_lines__residential">#REF!</definedName>
    <definedName name="France_Telecom_Poland_fixed_retail_lines__residential___business">#REF!</definedName>
    <definedName name="France_Telecom_Poland_fixed_retail_revenue__business">#REF!</definedName>
    <definedName name="France_Telecom_Poland_fixed_retail_revenue__residential">#REF!</definedName>
    <definedName name="France_Telecom_Poland_fixed_retail_revenue__residential___business">#REF!</definedName>
    <definedName name="France_Telecom_Poland_fixed_revenue">#REF!</definedName>
    <definedName name="France_Telecom_Poland_fixed_wholesale_and_interconnect_services_revenue">#REF!</definedName>
    <definedName name="France_Telecom_Poland_fixed_wholesale_broadband_business_sites">#REF!</definedName>
    <definedName name="France_Telecom_Poland_fixed_wholesale_broadband_homes">#REF!</definedName>
    <definedName name="France_Telecom_Poland_fixed_wholesale_broadband_sites__homes_and_businesses">#REF!</definedName>
    <definedName name="France_Telecom_Poland_fixed_wholesale_business_sites">#REF!</definedName>
    <definedName name="France_Telecom_Poland_fixed_wholesale_homes">#REF!</definedName>
    <definedName name="France_Telecom_Poland_fixed_wholesale_lines__business">#REF!</definedName>
    <definedName name="France_Telecom_Poland_fixed_wholesale_lines__ISDN">#REF!</definedName>
    <definedName name="France_Telecom_Poland_fixed_wholesale_lines__PSTN">#REF!</definedName>
    <definedName name="France_Telecom_Poland_fixed_wholesale_lines__PSTN___ISDN">#REF!</definedName>
    <definedName name="France_Telecom_Poland_fixed_wholesale_lines__residential">#REF!</definedName>
    <definedName name="France_Telecom_Poland_fixed_wholesale_lines__residential___business">#REF!</definedName>
    <definedName name="France_Telecom_Poland_fixed_wholesale_revenue">#REF!</definedName>
    <definedName name="France_Telecom_Poland_mobile_interconnect_receipts">#REF!</definedName>
    <definedName name="France_Telecom_Poland_mobile_interconnect_receipts_from_fixed_operators">#REF!</definedName>
    <definedName name="France_Telecom_Poland_mobile_interconnect_receipts_from_mobile_operators">#REF!</definedName>
    <definedName name="France_Telecom_Poland_mobile_other_revenue">#REF!</definedName>
    <definedName name="France_Telecom_Poland_mobile_retail_and_wholesale_services_revenue">#REF!</definedName>
    <definedName name="France_Telecom_Poland_mobile_retail_revenue">#REF!</definedName>
    <definedName name="France_Telecom_Poland_mobile_retail_subscribers">#REF!</definedName>
    <definedName name="France_Telecom_Poland_mobile_revenue">#REF!</definedName>
    <definedName name="France_Telecom_Poland_mobile_wholesale_revenue">#REF!</definedName>
    <definedName name="France_Telecom_Poland_mobile_wholesale_subscribers">#REF!</definedName>
    <definedName name="France_Telecom_Romania_mobile_interconnect_receipts">#REF!</definedName>
    <definedName name="France_Telecom_Romania_mobile_interconnect_receipts_from_fixed_operators">#REF!</definedName>
    <definedName name="France_Telecom_Romania_mobile_interconnect_receipts_from_mobile_operators">#REF!</definedName>
    <definedName name="France_Telecom_Romania_mobile_other_revenue">#REF!</definedName>
    <definedName name="France_Telecom_Romania_mobile_retail_and_wholesale_services_revenue">#REF!</definedName>
    <definedName name="France_Telecom_Romania_mobile_retail_revenue">#REF!</definedName>
    <definedName name="France_Telecom_Romania_mobile_retail_subscribers">#REF!</definedName>
    <definedName name="France_Telecom_Romania_mobile_revenue">#REF!</definedName>
    <definedName name="France_Telecom_Romania_mobile_wholesale_revenue">#REF!</definedName>
    <definedName name="France_Telecom_Romania_mobile_wholesale_subscribers">#REF!</definedName>
    <definedName name="France_Telecom_Slovakia_mobile_interconnect_receipts">#REF!</definedName>
    <definedName name="France_Telecom_Slovakia_mobile_interconnect_receipts_from_fixed_operators">#REF!</definedName>
    <definedName name="France_Telecom_Slovakia_mobile_interconnect_receipts_from_mobile_operators">#REF!</definedName>
    <definedName name="France_Telecom_Slovakia_mobile_other_revenue">#REF!</definedName>
    <definedName name="France_Telecom_Slovakia_mobile_retail_and_wholesale_services_revenue">#REF!</definedName>
    <definedName name="France_Telecom_Slovakia_mobile_retail_revenue">#REF!</definedName>
    <definedName name="France_Telecom_Slovakia_mobile_retail_subscribers">#REF!</definedName>
    <definedName name="France_Telecom_Slovakia_mobile_revenue">#REF!</definedName>
    <definedName name="France_Telecom_Slovakia_mobile_wholesale_revenue">#REF!</definedName>
    <definedName name="France_Telecom_Slovakia_mobile_wholesale_subscribers">#REF!</definedName>
    <definedName name="France_Telecom_Switzerland_mobile_interconnect_receipts">#REF!</definedName>
    <definedName name="France_Telecom_Switzerland_mobile_interconnect_receipts_from_fixed_operators">#REF!</definedName>
    <definedName name="France_Telecom_Switzerland_mobile_interconnect_receipts_from_mobile_operators">#REF!</definedName>
    <definedName name="France_Telecom_Switzerland_mobile_other_revenue">#REF!</definedName>
    <definedName name="France_Telecom_Switzerland_mobile_retail_and_wholesale_services_revenue">#REF!</definedName>
    <definedName name="France_Telecom_Switzerland_mobile_retail_revenue">#REF!</definedName>
    <definedName name="France_Telecom_Switzerland_mobile_retail_subscribers">#REF!</definedName>
    <definedName name="France_Telecom_Switzerland_mobile_revenue">#REF!</definedName>
    <definedName name="France_Telecom_Switzerland_mobile_wholesale_revenue">#REF!</definedName>
    <definedName name="France_Telecom_Switzerland_mobile_wholesale_subscribers">#REF!</definedName>
    <definedName name="France_TelecomFrancefixedretail_revenue__residential">#REF!</definedName>
    <definedName name="FT">#REF!</definedName>
    <definedName name="gdps">#REF!</definedName>
    <definedName name="I1.1989.09">#REF!</definedName>
    <definedName name="I1.1996.09">#REF!</definedName>
    <definedName name="IBSTtwr1">#REF!</definedName>
    <definedName name="IBSTtwr2">#REF!</definedName>
    <definedName name="inccred">#REF!</definedName>
    <definedName name="incpenprov">#REF!</definedName>
    <definedName name="increc">#REF!</definedName>
    <definedName name="incstock">#REF!</definedName>
    <definedName name="Infrastructural_Sites">#REF!</definedName>
    <definedName name="Intangible_Fixed_Assets">#REF!</definedName>
    <definedName name="InTC">#REF!</definedName>
    <definedName name="Interest_Rate">#REF!</definedName>
    <definedName name="Interest_Rate_Notcontr.">#REF!</definedName>
    <definedName name="investments">#REF!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"03/13/2017 16:52:20"</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ssmin">#REF!</definedName>
    <definedName name="issord">#REF!</definedName>
    <definedName name="ISTAT_FY15">#REF!</definedName>
    <definedName name="ISTAT_FY16">#REF!</definedName>
    <definedName name="ISTAT_FY17">#REF!</definedName>
    <definedName name="ISTAT_FY18">#REF!</definedName>
    <definedName name="ISTAT_FY19">#REF!</definedName>
    <definedName name="ISTAT_FY20">#REF!</definedName>
    <definedName name="ISTAT_FY21">#REF!</definedName>
    <definedName name="ISTAT_FY22">#REF!</definedName>
    <definedName name="ISTAT_FY23">#REF!</definedName>
    <definedName name="ISTAT_FY24">#REF!</definedName>
    <definedName name="ISTAT_FY25">#REF!</definedName>
    <definedName name="ISTAT_FY26">#REF!</definedName>
    <definedName name="ITC">#REF!</definedName>
    <definedName name="Leased">#REF!</definedName>
    <definedName name="limcount" hidden="1">1</definedName>
    <definedName name="Linerent">#REF!</definedName>
    <definedName name="Lines_per_100_pop">#REF!</definedName>
    <definedName name="ltd">#REF!</definedName>
    <definedName name="MAXISm1">#REF!</definedName>
    <definedName name="MAXISm2">#REF!</definedName>
    <definedName name="MAXISm3">#REF!</definedName>
    <definedName name="MAXISm4">#REF!</definedName>
    <definedName name="MAXISm5">#REF!</definedName>
    <definedName name="MAXISmnsr1">#REF!</definedName>
    <definedName name="MAXISmnsr2">#REF!</definedName>
    <definedName name="MAXISmnsr3">#REF!</definedName>
    <definedName name="MAXISmnsr4">#REF!</definedName>
    <definedName name="MAXISmnsr5">#REF!</definedName>
    <definedName name="MAXISmuser1">#REF!</definedName>
    <definedName name="MAXISmuser2">#REF!</definedName>
    <definedName name="MAXISmuser3">#REF!</definedName>
    <definedName name="MAXISmuser4">#REF!</definedName>
    <definedName name="MAXISmuser5">#REF!</definedName>
    <definedName name="MAXISnsrmult">#REF!</definedName>
    <definedName name="MAXISusermult">#REF!</definedName>
    <definedName name="minority">#REF!</definedName>
    <definedName name="Mobile">#REF!</definedName>
    <definedName name="Multiplo_CashAdv">#REF!</definedName>
    <definedName name="Multiplo_LandAcq">#REF!</definedName>
    <definedName name="NBV_DismantedSites">#REF!</definedName>
    <definedName name="Net_Assets">#REF!</definedName>
    <definedName name="Net_Profit_SGW_Adjusted_">#REF!</definedName>
    <definedName name="netint">#REF!</definedName>
    <definedName name="netprofit">#REF!</definedName>
    <definedName name="NewSites_YearlyImpact">#REF!</definedName>
    <definedName name="NewTenants_YearlyImpact">#REF!</definedName>
    <definedName name="ni_divs">#REF!</definedName>
    <definedName name="nidivs">#REF!</definedName>
    <definedName name="NonCash_Interest_Rate">#REF!</definedName>
    <definedName name="oldcueps">#REF!</definedName>
    <definedName name="oppro">#REF!</definedName>
    <definedName name="opprofit">#REF!</definedName>
    <definedName name="Oss">#REF!</definedName>
    <definedName name="Other_Long_Term_Liabilities">#REF!</definedName>
    <definedName name="Otherinc">#REF!</definedName>
    <definedName name="Otherop">#REF!</definedName>
    <definedName name="Otheropcf">#REF!</definedName>
    <definedName name="ownwork">#REF!</definedName>
    <definedName name="pbt">#REF!</definedName>
    <definedName name="PercDismanted_NotMarkt">#REF!</definedName>
    <definedName name="PercNotMarkt_MSA">#REF!</definedName>
    <definedName name="Peru">#REF!</definedName>
    <definedName name="poop" hidden="1">#REF!</definedName>
    <definedName name="_xlnm.Print_Area" localSheetId="3">Master!$A$1:$B$320</definedName>
    <definedName name="ProjectName">{"Client Name or Project Name"}</definedName>
    <definedName name="PT_Portugal_fixed_export">#REF!</definedName>
    <definedName name="PT_Portugal_mobile_export">#REF!</definedName>
    <definedName name="puff" hidden="1">#REF!</definedName>
    <definedName name="Purchase_of_tangible_fixed_assets">#REF!</definedName>
    <definedName name="purfai">#REF!</definedName>
    <definedName name="pursub">#REF!</definedName>
    <definedName name="purtfa">#REF!</definedName>
    <definedName name="put" hidden="1">#REF!</definedName>
    <definedName name="Q1.1996.06">#REF!</definedName>
    <definedName name="Q2.1996.09">#REF!</definedName>
    <definedName name="Q3.1996.12">#REF!</definedName>
    <definedName name="Redundancy">#REF!</definedName>
    <definedName name="Renegotiation_YearlyImpact">#REF!</definedName>
    <definedName name="Revenue">#REF!</definedName>
    <definedName name="RevFixed_05">#REF!</definedName>
    <definedName name="salefa">#REF!</definedName>
    <definedName name="SecretArchiveNumber" hidden="1">1</definedName>
    <definedName name="sencount" hidden="1">1</definedName>
    <definedName name="sharecap">#REF!</definedName>
    <definedName name="Site_Unitary_Cost">#REF!</definedName>
    <definedName name="Staff">#REF!</definedName>
    <definedName name="staffcosts">#REF!</definedName>
    <definedName name="std">#REF!</definedName>
    <definedName name="stocks">#REF!</definedName>
    <definedName name="SUPRtwr1">#REF!</definedName>
    <definedName name="SUPRtwr2">#REF!</definedName>
    <definedName name="Tangible_Fixed_Assets">#REF!</definedName>
    <definedName name="tax">#REF!</definedName>
    <definedName name="taxpaid">#REF!</definedName>
    <definedName name="TBIGtwr1">#REF!</definedName>
    <definedName name="TBIGtwr2">#REF!</definedName>
    <definedName name="telcopay">#REF!</definedName>
    <definedName name="Telesp">#REF!</definedName>
    <definedName name="Template.WIRE">"DBACCESS"</definedName>
    <definedName name="tfa">#REF!</definedName>
    <definedName name="Total_lines">#REF!</definedName>
    <definedName name="TOWRtwr1">#REF!</definedName>
    <definedName name="TOWRtwr2">#REF!</definedName>
    <definedName name="Trace">FALSE</definedName>
    <definedName name="UK_population__ms">#REF!</definedName>
    <definedName name="unadjusted">#REF!</definedName>
    <definedName name="UpgradeVersion">"v2.35"</definedName>
    <definedName name="UsefulLife_Capex">#REF!</definedName>
    <definedName name="Version.WIRE">1</definedName>
    <definedName name="vodprice">#REF!</definedName>
    <definedName name="Workbook.Author">#REF!</definedName>
    <definedName name="Workbook.Authors_Email_Address">#REF!</definedName>
    <definedName name="Workbook.Objective">#REF!</definedName>
    <definedName name="Workbook.Status">#REF!</definedName>
    <definedName name="Workbook.Title">#REF!</definedName>
    <definedName name="Workbook.Version">#REF!</definedName>
    <definedName name="wrn.PandL." hidden="1">{"P&amp;L",#N/A,FALSE,"annual"}</definedName>
    <definedName name="wrn.Vodafone._.printout." localSheetId="3" hidden="1">{"Groupannual",#N/A,FALSE,"Groupannual";"VodMann",#N/A,FALSE,"VodMann";"Data",#N/A,FALSE,"Data";"Group International",#N/A,FALSE,"Group International";"BellAir",#N/A,FALSE,"BellAir";"DCF sum of parts",#N/A,FALSE,"DCF sum of parts";"licences",#N/A,FALSE,"licences"}</definedName>
    <definedName name="wrn.Vodafone._.printout." hidden="1">{"Groupannual",#N/A,FALSE,"Groupannual";"VodMann",#N/A,FALSE,"VodMann";"Data",#N/A,FALSE,"Data";"Group International",#N/A,FALSE,"Group International";"BellAir",#N/A,FALSE,"BellAir";"DCF sum of parts",#N/A,FALSE,"DCF sum of parts";"licences",#N/A,FALSE,"licences"}</definedName>
    <definedName name="xft" hidden="1">#REF!</definedName>
    <definedName name="xfttt" hidden="1">#REF!</definedName>
    <definedName name="xx" hidden="1">#REF!</definedName>
    <definedName name="Year_ending_March">#REF!</definedName>
    <definedName name="years">#REF!</definedName>
    <definedName name="Yellow">#REF!</definedName>
    <definedName name="yum" hidden="1">#REF!</definedName>
    <definedName name="yumyum" hidden="1">#REF!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6" i="5" l="1"/>
  <c r="L112" i="17" l="1"/>
  <c r="Y64" i="1"/>
  <c r="Y63" i="1"/>
  <c r="Y62" i="1"/>
  <c r="Y61" i="1"/>
  <c r="Y104" i="17"/>
  <c r="Y103" i="17"/>
  <c r="Y102" i="17"/>
  <c r="Y101" i="17"/>
  <c r="AK148" i="29" l="1"/>
  <c r="AK38" i="29"/>
  <c r="AS70" i="29"/>
  <c r="AQ69" i="29"/>
  <c r="AQ71" i="29" s="1"/>
  <c r="Z62" i="1"/>
  <c r="Z63" i="1"/>
  <c r="Z64" i="1"/>
  <c r="Z61" i="1"/>
  <c r="Z104" i="17"/>
  <c r="Z103" i="17"/>
  <c r="Z102" i="17"/>
  <c r="Z101" i="17"/>
  <c r="L98" i="17"/>
  <c r="T188" i="17"/>
  <c r="T189" i="17" s="1"/>
  <c r="V189" i="17" s="1"/>
  <c r="B177" i="24"/>
  <c r="M80" i="17"/>
  <c r="N80" i="17" s="1"/>
  <c r="O80" i="17" s="1"/>
  <c r="P80" i="17" s="1"/>
  <c r="Q80" i="17" s="1"/>
  <c r="R80" i="17" s="1"/>
  <c r="S80" i="17" s="1"/>
  <c r="T80" i="17" s="1"/>
  <c r="U80" i="17" s="1"/>
  <c r="V80" i="17" s="1"/>
  <c r="M78" i="17"/>
  <c r="N78" i="17" s="1"/>
  <c r="O78" i="17" s="1"/>
  <c r="P78" i="17" s="1"/>
  <c r="Q78" i="17" s="1"/>
  <c r="R78" i="17" s="1"/>
  <c r="S78" i="17" s="1"/>
  <c r="T78" i="17" s="1"/>
  <c r="U78" i="17" s="1"/>
  <c r="V78" i="17" s="1"/>
  <c r="M77" i="17"/>
  <c r="N77" i="17" s="1"/>
  <c r="O77" i="17" s="1"/>
  <c r="P77" i="17" s="1"/>
  <c r="Q77" i="17" s="1"/>
  <c r="R77" i="17" s="1"/>
  <c r="S77" i="17" s="1"/>
  <c r="T77" i="17" s="1"/>
  <c r="U77" i="17" s="1"/>
  <c r="V77" i="17" s="1"/>
  <c r="M76" i="17"/>
  <c r="N76" i="17" s="1"/>
  <c r="O76" i="17" s="1"/>
  <c r="P76" i="17" s="1"/>
  <c r="Q76" i="17" s="1"/>
  <c r="R76" i="17" s="1"/>
  <c r="S76" i="17" s="1"/>
  <c r="T76" i="17" s="1"/>
  <c r="U76" i="17" s="1"/>
  <c r="V76" i="17" s="1"/>
  <c r="AK53" i="29"/>
  <c r="AK54" i="29" s="1"/>
  <c r="O40" i="17"/>
  <c r="P40" i="17" s="1"/>
  <c r="Q40" i="17" s="1"/>
  <c r="R40" i="17" s="1"/>
  <c r="S40" i="17" s="1"/>
  <c r="T40" i="17" s="1"/>
  <c r="U40" i="17" s="1"/>
  <c r="V40" i="17" s="1"/>
  <c r="N47" i="18"/>
  <c r="O47" i="18" s="1"/>
  <c r="P47" i="18" s="1"/>
  <c r="AV102" i="32"/>
  <c r="AV101" i="32"/>
  <c r="AV97" i="32"/>
  <c r="AV96" i="32"/>
  <c r="AV95" i="32"/>
  <c r="AV94" i="32"/>
  <c r="AV92" i="32"/>
  <c r="AV93" i="32" s="1"/>
  <c r="AV76" i="32"/>
  <c r="AV74" i="32"/>
  <c r="AV73" i="32"/>
  <c r="AV71" i="32"/>
  <c r="AV72" i="32" s="1"/>
  <c r="AV55" i="32"/>
  <c r="AV53" i="32"/>
  <c r="AV52" i="32"/>
  <c r="AV50" i="32"/>
  <c r="AV51" i="32" s="1"/>
  <c r="AV33" i="32"/>
  <c r="AV31" i="32"/>
  <c r="AV30" i="32"/>
  <c r="AV28" i="32"/>
  <c r="AV29" i="32" s="1"/>
  <c r="AV19" i="32"/>
  <c r="AV13" i="32"/>
  <c r="AV12" i="32"/>
  <c r="AV10" i="32"/>
  <c r="AV9" i="32"/>
  <c r="AV7" i="32"/>
  <c r="AV8" i="32" s="1"/>
  <c r="AJ86" i="16"/>
  <c r="AL85" i="16"/>
  <c r="AM85" i="16" s="1"/>
  <c r="AL84" i="16"/>
  <c r="AM84" i="16" s="1"/>
  <c r="AL83" i="16"/>
  <c r="AM83" i="16" s="1"/>
  <c r="AL82" i="16"/>
  <c r="AM82" i="16" s="1"/>
  <c r="AH85" i="16"/>
  <c r="AH84" i="16"/>
  <c r="AH83" i="16"/>
  <c r="AH82" i="16"/>
  <c r="R18" i="16"/>
  <c r="AO134" i="29"/>
  <c r="AJ26" i="29"/>
  <c r="AV16" i="32" s="1"/>
  <c r="AO108" i="29"/>
  <c r="AW181" i="29"/>
  <c r="AW165" i="29"/>
  <c r="AX170" i="29"/>
  <c r="AX206" i="29"/>
  <c r="AX200" i="29"/>
  <c r="AX146" i="29"/>
  <c r="AX142" i="29"/>
  <c r="AX136" i="29"/>
  <c r="AX128" i="29"/>
  <c r="AX118" i="29"/>
  <c r="AX114" i="29"/>
  <c r="AX110" i="29"/>
  <c r="AX99" i="29"/>
  <c r="AV206" i="29"/>
  <c r="AV200" i="29"/>
  <c r="AV170" i="29"/>
  <c r="AV146" i="29"/>
  <c r="AV142" i="29"/>
  <c r="AV136" i="29"/>
  <c r="AV128" i="29"/>
  <c r="AV118" i="29"/>
  <c r="AV114" i="29"/>
  <c r="AV110" i="29"/>
  <c r="AV99" i="29"/>
  <c r="AJ210" i="29"/>
  <c r="AJ208" i="29"/>
  <c r="AJ207" i="29"/>
  <c r="AJ202" i="29"/>
  <c r="AJ201" i="29"/>
  <c r="AJ181" i="29"/>
  <c r="AJ183" i="29" s="1"/>
  <c r="AJ177" i="29"/>
  <c r="AJ172" i="29"/>
  <c r="AJ171" i="29"/>
  <c r="AJ157" i="29"/>
  <c r="AJ154" i="29"/>
  <c r="AJ148" i="29"/>
  <c r="AJ147" i="29"/>
  <c r="AJ144" i="29"/>
  <c r="AJ143" i="29"/>
  <c r="AJ139" i="29"/>
  <c r="AJ137" i="29"/>
  <c r="AJ129" i="29"/>
  <c r="AJ119" i="29"/>
  <c r="AJ115" i="29"/>
  <c r="AJ111" i="29"/>
  <c r="AJ100" i="29"/>
  <c r="AJ78" i="29"/>
  <c r="AV81" i="32" s="1"/>
  <c r="AJ76" i="29"/>
  <c r="AV80" i="32" s="1"/>
  <c r="AJ74" i="29"/>
  <c r="AJ73" i="29"/>
  <c r="AJ71" i="29"/>
  <c r="AV75" i="32" s="1"/>
  <c r="AJ64" i="29"/>
  <c r="AV60" i="32" s="1"/>
  <c r="AJ62" i="29"/>
  <c r="AV59" i="32" s="1"/>
  <c r="AJ58" i="29"/>
  <c r="AJ57" i="29"/>
  <c r="AJ55" i="29"/>
  <c r="AV54" i="32" s="1"/>
  <c r="AJ48" i="29"/>
  <c r="AV38" i="32" s="1"/>
  <c r="AJ46" i="29"/>
  <c r="AV37" i="32" s="1"/>
  <c r="AJ43" i="29"/>
  <c r="AJ42" i="29"/>
  <c r="AJ40" i="29"/>
  <c r="AV32" i="32" s="1"/>
  <c r="AJ34" i="29"/>
  <c r="AJ33" i="29"/>
  <c r="AJ29" i="29"/>
  <c r="AV17" i="32" s="1"/>
  <c r="AJ14" i="29"/>
  <c r="AJ13" i="29"/>
  <c r="AJ11" i="29"/>
  <c r="AV11" i="32" s="1"/>
  <c r="R92" i="16"/>
  <c r="Q92" i="16"/>
  <c r="P92" i="16"/>
  <c r="R14" i="16"/>
  <c r="Q14" i="16"/>
  <c r="R37" i="16"/>
  <c r="Q37" i="16"/>
  <c r="P37" i="16"/>
  <c r="P14" i="16"/>
  <c r="P221" i="5"/>
  <c r="Q221" i="5" s="1"/>
  <c r="R221" i="5" s="1"/>
  <c r="S221" i="5" s="1"/>
  <c r="U221" i="5" s="1"/>
  <c r="V221" i="5" s="1"/>
  <c r="M221" i="5"/>
  <c r="J229" i="5"/>
  <c r="I229" i="5"/>
  <c r="H229" i="5"/>
  <c r="G229" i="5"/>
  <c r="F229" i="5"/>
  <c r="K229" i="5"/>
  <c r="N118" i="5"/>
  <c r="O118" i="5" s="1"/>
  <c r="P118" i="5" s="1"/>
  <c r="Q118" i="5" s="1"/>
  <c r="R118" i="5" s="1"/>
  <c r="S118" i="5" s="1"/>
  <c r="T118" i="5" s="1"/>
  <c r="U118" i="5" s="1"/>
  <c r="V118" i="5" s="1"/>
  <c r="V188" i="17" l="1"/>
  <c r="V190" i="17" s="1"/>
  <c r="L113" i="17"/>
  <c r="M113" i="17" s="1"/>
  <c r="N113" i="17" s="1"/>
  <c r="O113" i="17" s="1"/>
  <c r="P113" i="17" s="1"/>
  <c r="Q113" i="17" s="1"/>
  <c r="R113" i="17" s="1"/>
  <c r="S113" i="17" s="1"/>
  <c r="T113" i="17" s="1"/>
  <c r="U113" i="17" s="1"/>
  <c r="V113" i="17" s="1"/>
  <c r="AV20" i="32"/>
  <c r="AX181" i="29"/>
  <c r="AV181" i="29"/>
  <c r="AK201" i="29"/>
  <c r="AK171" i="29"/>
  <c r="AK137" i="29"/>
  <c r="AK147" i="29"/>
  <c r="AK143" i="29"/>
  <c r="AK144" i="29"/>
  <c r="AK139" i="29"/>
  <c r="AK128" i="29"/>
  <c r="AK181" i="29" s="1"/>
  <c r="AK111" i="29"/>
  <c r="AK99" i="29"/>
  <c r="AK100" i="29" s="1"/>
  <c r="AK119" i="29"/>
  <c r="AK115" i="29"/>
  <c r="AK157" i="29"/>
  <c r="AI11" i="29"/>
  <c r="AJ165" i="29" l="1"/>
  <c r="AK183" i="29"/>
  <c r="AK208" i="29"/>
  <c r="AK132" i="29"/>
  <c r="AK172" i="29"/>
  <c r="AK202" i="29"/>
  <c r="AK207" i="29"/>
  <c r="AK165" i="29"/>
  <c r="AJ132" i="29"/>
  <c r="AK9" i="29"/>
  <c r="AK10" i="29" s="1"/>
  <c r="AK26" i="29" s="1"/>
  <c r="AK69" i="29"/>
  <c r="AK62" i="29"/>
  <c r="AK129" i="29"/>
  <c r="AK39" i="29" l="1"/>
  <c r="AK46" i="29" s="1"/>
  <c r="AK70" i="29"/>
  <c r="AK71" i="29" s="1"/>
  <c r="AK73" i="29"/>
  <c r="AV165" i="29"/>
  <c r="AX165" i="29"/>
  <c r="AJ168" i="29"/>
  <c r="AK64" i="29"/>
  <c r="AK58" i="29"/>
  <c r="AK55" i="29"/>
  <c r="AK57" i="29"/>
  <c r="AK48" i="29"/>
  <c r="AK42" i="29"/>
  <c r="AK13" i="29"/>
  <c r="AK29" i="29"/>
  <c r="AK78" i="29"/>
  <c r="AK134" i="29"/>
  <c r="AK14" i="29"/>
  <c r="AK11" i="29"/>
  <c r="AK40" i="29" l="1"/>
  <c r="AK43" i="29"/>
  <c r="AK76" i="29"/>
  <c r="AK74" i="29"/>
  <c r="AN249" i="28"/>
  <c r="AM249" i="28"/>
  <c r="AL249" i="28"/>
  <c r="AK249" i="28"/>
  <c r="AJ249" i="28"/>
  <c r="AI249" i="28"/>
  <c r="AH249" i="28"/>
  <c r="AN223" i="28"/>
  <c r="AM223" i="28"/>
  <c r="AL223" i="28"/>
  <c r="AK223" i="28"/>
  <c r="AJ223" i="28"/>
  <c r="AI223" i="28"/>
  <c r="AH223" i="28"/>
  <c r="U124" i="15"/>
  <c r="U123" i="15"/>
  <c r="U121" i="15"/>
  <c r="U120" i="15"/>
  <c r="U118" i="15"/>
  <c r="U114" i="15"/>
  <c r="U113" i="15"/>
  <c r="U111" i="15"/>
  <c r="U110" i="15"/>
  <c r="U108" i="15"/>
  <c r="U105" i="15"/>
  <c r="U104" i="15"/>
  <c r="U103" i="15"/>
  <c r="U102" i="15"/>
  <c r="U101" i="15"/>
  <c r="U100" i="15"/>
  <c r="U99" i="15"/>
  <c r="U98" i="15"/>
  <c r="U95" i="15"/>
  <c r="U94" i="15"/>
  <c r="U93" i="15"/>
  <c r="U92" i="15"/>
  <c r="U91" i="15"/>
  <c r="U90" i="15"/>
  <c r="U89" i="15"/>
  <c r="U88" i="15"/>
  <c r="Q105" i="15"/>
  <c r="Q95" i="15"/>
  <c r="Q93" i="15"/>
  <c r="P105" i="15"/>
  <c r="P95" i="15"/>
  <c r="P93" i="15"/>
  <c r="O105" i="15"/>
  <c r="O95" i="15"/>
  <c r="O93" i="15"/>
  <c r="N105" i="15"/>
  <c r="N95" i="15"/>
  <c r="N93" i="15"/>
  <c r="M105" i="15"/>
  <c r="M95" i="15"/>
  <c r="M93" i="15"/>
  <c r="L105" i="15"/>
  <c r="L95" i="15"/>
  <c r="L93" i="15"/>
  <c r="U127" i="16"/>
  <c r="T127" i="16"/>
  <c r="S127" i="16"/>
  <c r="R127" i="16"/>
  <c r="Q127" i="16"/>
  <c r="U126" i="16"/>
  <c r="T126" i="16"/>
  <c r="S126" i="16"/>
  <c r="R126" i="16"/>
  <c r="Q126" i="16"/>
  <c r="U116" i="16"/>
  <c r="T116" i="16"/>
  <c r="S116" i="16"/>
  <c r="R116" i="16"/>
  <c r="Q116" i="16"/>
  <c r="B171" i="24"/>
  <c r="B169" i="24"/>
  <c r="AN209" i="28"/>
  <c r="AN161" i="28"/>
  <c r="AN122" i="28"/>
  <c r="AN121" i="28"/>
  <c r="AN119" i="28"/>
  <c r="AN117" i="28"/>
  <c r="AN12" i="28"/>
  <c r="AN11" i="28"/>
  <c r="AM209" i="28"/>
  <c r="AM161" i="28"/>
  <c r="AM122" i="28"/>
  <c r="AM121" i="28"/>
  <c r="AM119" i="28"/>
  <c r="AM117" i="28"/>
  <c r="AM12" i="28"/>
  <c r="AM11" i="28"/>
  <c r="AL209" i="28"/>
  <c r="AL161" i="28"/>
  <c r="AL122" i="28"/>
  <c r="AL121" i="28"/>
  <c r="AL119" i="28"/>
  <c r="AL117" i="28"/>
  <c r="AL12" i="28"/>
  <c r="AL11" i="28"/>
  <c r="AK209" i="28"/>
  <c r="AK161" i="28"/>
  <c r="AK122" i="28"/>
  <c r="AK121" i="28"/>
  <c r="AK119" i="28"/>
  <c r="AK117" i="28"/>
  <c r="AK12" i="28"/>
  <c r="AK11" i="28"/>
  <c r="AJ209" i="28"/>
  <c r="AJ161" i="28"/>
  <c r="AJ122" i="28"/>
  <c r="AJ121" i="28"/>
  <c r="AJ119" i="28"/>
  <c r="AJ117" i="28"/>
  <c r="AJ12" i="28"/>
  <c r="AJ11" i="28"/>
  <c r="S58" i="21"/>
  <c r="S27" i="21"/>
  <c r="S4" i="21"/>
  <c r="R58" i="21"/>
  <c r="R27" i="21"/>
  <c r="R4" i="21"/>
  <c r="Q58" i="21"/>
  <c r="Q27" i="21"/>
  <c r="Q4" i="21"/>
  <c r="P58" i="21"/>
  <c r="P27" i="21"/>
  <c r="P4" i="21"/>
  <c r="O58" i="21"/>
  <c r="O27" i="21"/>
  <c r="O4" i="21"/>
  <c r="V285" i="5"/>
  <c r="V179" i="5"/>
  <c r="V270" i="5" s="1"/>
  <c r="V68" i="5"/>
  <c r="V50" i="5"/>
  <c r="AN30" i="28" s="1"/>
  <c r="V49" i="5"/>
  <c r="V40" i="5"/>
  <c r="V17" i="5"/>
  <c r="AN146" i="28" s="1"/>
  <c r="V10" i="5"/>
  <c r="AN139" i="28" s="1"/>
  <c r="U285" i="5"/>
  <c r="U179" i="5"/>
  <c r="U270" i="5" s="1"/>
  <c r="U68" i="5"/>
  <c r="U50" i="5"/>
  <c r="AM30" i="28" s="1"/>
  <c r="U49" i="5"/>
  <c r="U40" i="5"/>
  <c r="U17" i="5"/>
  <c r="AM146" i="28" s="1"/>
  <c r="U10" i="5"/>
  <c r="AM139" i="28" s="1"/>
  <c r="T285" i="5"/>
  <c r="T179" i="5"/>
  <c r="T270" i="5" s="1"/>
  <c r="T68" i="5"/>
  <c r="T50" i="5"/>
  <c r="T49" i="5"/>
  <c r="T40" i="5"/>
  <c r="T17" i="5"/>
  <c r="AL146" i="28" s="1"/>
  <c r="T10" i="5"/>
  <c r="AL139" i="28" s="1"/>
  <c r="S285" i="5"/>
  <c r="S179" i="5"/>
  <c r="S270" i="5" s="1"/>
  <c r="S68" i="5"/>
  <c r="S50" i="5"/>
  <c r="AK30" i="28" s="1"/>
  <c r="S49" i="5"/>
  <c r="S40" i="5"/>
  <c r="S17" i="5"/>
  <c r="AK146" i="28" s="1"/>
  <c r="S10" i="5"/>
  <c r="AK139" i="28" s="1"/>
  <c r="R285" i="5"/>
  <c r="R179" i="5"/>
  <c r="R270" i="5" s="1"/>
  <c r="R68" i="5"/>
  <c r="R50" i="5"/>
  <c r="AJ30" i="28" s="1"/>
  <c r="R49" i="5"/>
  <c r="R40" i="5"/>
  <c r="R17" i="5"/>
  <c r="AJ146" i="28" s="1"/>
  <c r="R10" i="5"/>
  <c r="AJ139" i="28" s="1"/>
  <c r="U177" i="16"/>
  <c r="U178" i="16" s="1"/>
  <c r="U175" i="16"/>
  <c r="U85" i="16"/>
  <c r="AN153" i="28" s="1"/>
  <c r="U82" i="16"/>
  <c r="U26" i="16"/>
  <c r="U5" i="16"/>
  <c r="T177" i="16"/>
  <c r="T178" i="16" s="1"/>
  <c r="T175" i="16"/>
  <c r="T85" i="16"/>
  <c r="AM153" i="28" s="1"/>
  <c r="T82" i="16"/>
  <c r="T26" i="16"/>
  <c r="T5" i="16"/>
  <c r="S177" i="16"/>
  <c r="S178" i="16" s="1"/>
  <c r="S175" i="16"/>
  <c r="S85" i="16"/>
  <c r="AL153" i="28" s="1"/>
  <c r="S82" i="16"/>
  <c r="S26" i="16"/>
  <c r="S5" i="16"/>
  <c r="R177" i="16"/>
  <c r="R178" i="16" s="1"/>
  <c r="R175" i="16"/>
  <c r="R85" i="16"/>
  <c r="AK153" i="28" s="1"/>
  <c r="R82" i="16"/>
  <c r="R26" i="16"/>
  <c r="R5" i="16"/>
  <c r="Q177" i="16"/>
  <c r="Q178" i="16" s="1"/>
  <c r="Q175" i="16"/>
  <c r="Q85" i="16"/>
  <c r="AJ153" i="28" s="1"/>
  <c r="Q82" i="16"/>
  <c r="Q26" i="16"/>
  <c r="Q5" i="16"/>
  <c r="O58" i="5" a="1"/>
  <c r="P58" i="5" a="1"/>
  <c r="B172" i="24" l="1"/>
  <c r="B176" i="24"/>
  <c r="T111" i="5"/>
  <c r="P58" i="5"/>
  <c r="S177" i="5"/>
  <c r="AL30" i="28"/>
  <c r="O58" i="5"/>
  <c r="V177" i="5"/>
  <c r="S180" i="5"/>
  <c r="U177" i="5"/>
  <c r="R111" i="5"/>
  <c r="S111" i="5"/>
  <c r="U111" i="5"/>
  <c r="V111" i="5"/>
  <c r="V180" i="5"/>
  <c r="U180" i="5"/>
  <c r="T177" i="5"/>
  <c r="T180" i="5"/>
  <c r="R177" i="5"/>
  <c r="AL114" i="28" l="1"/>
  <c r="AL201" i="28"/>
  <c r="AN114" i="28"/>
  <c r="AN201" i="28"/>
  <c r="AM201" i="28"/>
  <c r="AM114" i="28"/>
  <c r="AK114" i="28"/>
  <c r="AK201" i="28"/>
  <c r="AJ114" i="28"/>
  <c r="AJ201" i="28"/>
  <c r="C88" i="16" l="1"/>
  <c r="D88" i="16"/>
  <c r="E88" i="16"/>
  <c r="F88" i="16"/>
  <c r="G88" i="16"/>
  <c r="H88" i="16"/>
  <c r="I88" i="16"/>
  <c r="J88" i="16"/>
  <c r="AU102" i="32"/>
  <c r="AU101" i="32"/>
  <c r="AU97" i="32"/>
  <c r="AU96" i="32"/>
  <c r="AU95" i="32"/>
  <c r="AU94" i="32"/>
  <c r="AU92" i="32"/>
  <c r="AU93" i="32" s="1"/>
  <c r="AU76" i="32"/>
  <c r="AU74" i="32"/>
  <c r="AU73" i="32"/>
  <c r="AU71" i="32"/>
  <c r="AU72" i="32" s="1"/>
  <c r="AU55" i="32"/>
  <c r="AU53" i="32"/>
  <c r="AU52" i="32"/>
  <c r="AU50" i="32"/>
  <c r="AU51" i="32" s="1"/>
  <c r="AU33" i="32"/>
  <c r="AU31" i="32"/>
  <c r="AU30" i="32"/>
  <c r="AU28" i="32"/>
  <c r="AU29" i="32" s="1"/>
  <c r="AU19" i="32"/>
  <c r="AU13" i="32"/>
  <c r="AU12" i="32"/>
  <c r="AU10" i="32"/>
  <c r="AU9" i="32"/>
  <c r="AU7" i="32"/>
  <c r="AU8" i="32" s="1"/>
  <c r="AS34" i="29"/>
  <c r="AP9" i="29"/>
  <c r="AK77" i="16"/>
  <c r="AK76" i="16"/>
  <c r="AK75" i="16"/>
  <c r="AK74" i="16"/>
  <c r="AI78" i="16"/>
  <c r="AH74" i="16"/>
  <c r="AI82" i="16" s="1"/>
  <c r="AH75" i="16"/>
  <c r="AI83" i="16" s="1"/>
  <c r="AH76" i="16"/>
  <c r="AI84" i="16" s="1"/>
  <c r="AH77" i="16"/>
  <c r="AI85" i="16" s="1"/>
  <c r="AO170" i="29"/>
  <c r="AS170" i="29"/>
  <c r="AP132" i="29"/>
  <c r="AS114" i="29"/>
  <c r="AS110" i="29"/>
  <c r="AS128" i="29"/>
  <c r="AS99" i="29"/>
  <c r="AP99" i="29"/>
  <c r="AP128" i="29"/>
  <c r="AP200" i="29"/>
  <c r="AO200" i="29"/>
  <c r="AO128" i="29"/>
  <c r="AO129" i="29" s="1"/>
  <c r="AO99" i="29"/>
  <c r="AO100" i="29" s="1"/>
  <c r="AI210" i="29"/>
  <c r="AI73" i="29"/>
  <c r="AI74" i="29"/>
  <c r="AI76" i="29"/>
  <c r="AU80" i="32" s="1"/>
  <c r="AI78" i="29"/>
  <c r="AU81" i="32" s="1"/>
  <c r="AI100" i="29"/>
  <c r="AI111" i="29"/>
  <c r="AI115" i="29"/>
  <c r="AI119" i="29"/>
  <c r="AI129" i="29"/>
  <c r="AI132" i="29"/>
  <c r="AI137" i="29"/>
  <c r="AI139" i="29"/>
  <c r="AI143" i="29"/>
  <c r="AI144" i="29"/>
  <c r="AI147" i="29"/>
  <c r="AI148" i="29"/>
  <c r="AI154" i="29"/>
  <c r="AI157" i="29"/>
  <c r="AI165" i="29"/>
  <c r="AI168" i="29" s="1"/>
  <c r="AI171" i="29"/>
  <c r="AI172" i="29"/>
  <c r="AI177" i="29"/>
  <c r="AI181" i="29"/>
  <c r="AI183" i="29" s="1"/>
  <c r="AI201" i="29"/>
  <c r="AI202" i="29"/>
  <c r="AI207" i="29"/>
  <c r="AI208" i="29"/>
  <c r="AI71" i="29"/>
  <c r="AU75" i="32" s="1"/>
  <c r="AI62" i="29"/>
  <c r="AU59" i="32" s="1"/>
  <c r="AI64" i="29"/>
  <c r="AU60" i="32" s="1"/>
  <c r="AI57" i="29"/>
  <c r="AI58" i="29"/>
  <c r="AI55" i="29"/>
  <c r="AU54" i="32" s="1"/>
  <c r="AI46" i="29"/>
  <c r="AU37" i="32" s="1"/>
  <c r="AI48" i="29"/>
  <c r="AU38" i="32" s="1"/>
  <c r="AI42" i="29"/>
  <c r="AI43" i="29"/>
  <c r="AI40" i="29"/>
  <c r="AU32" i="32" s="1"/>
  <c r="AI33" i="29"/>
  <c r="AI34" i="29"/>
  <c r="AI29" i="29"/>
  <c r="AU17" i="32" s="1"/>
  <c r="AI26" i="29"/>
  <c r="AU16" i="32" s="1"/>
  <c r="AI13" i="29"/>
  <c r="AI14" i="29"/>
  <c r="AU11" i="32"/>
  <c r="P90" i="22"/>
  <c r="O90" i="22"/>
  <c r="N90" i="22"/>
  <c r="M90" i="22"/>
  <c r="L90" i="22"/>
  <c r="L97" i="22" s="1"/>
  <c r="K90" i="22"/>
  <c r="K97" i="22" s="1"/>
  <c r="J90" i="22"/>
  <c r="J97" i="22" s="1"/>
  <c r="I90" i="22"/>
  <c r="I97" i="22" s="1"/>
  <c r="H90" i="22"/>
  <c r="H97" i="22" s="1"/>
  <c r="G90" i="22"/>
  <c r="G97" i="22" s="1"/>
  <c r="F90" i="22"/>
  <c r="F97" i="22" s="1"/>
  <c r="AH201" i="29"/>
  <c r="AG201" i="29"/>
  <c r="AF201" i="29"/>
  <c r="AE201" i="29"/>
  <c r="AD201" i="29"/>
  <c r="AC201" i="29"/>
  <c r="U15" i="40"/>
  <c r="U6" i="40"/>
  <c r="U4" i="40"/>
  <c r="T18" i="40"/>
  <c r="T17" i="40"/>
  <c r="T15" i="40"/>
  <c r="T6" i="40"/>
  <c r="T4" i="40"/>
  <c r="K46" i="5"/>
  <c r="AS102" i="32"/>
  <c r="AS101" i="32"/>
  <c r="AS97" i="32"/>
  <c r="AS96" i="32"/>
  <c r="AS95" i="32"/>
  <c r="AS94" i="32"/>
  <c r="AS92" i="32"/>
  <c r="AS93" i="32" s="1"/>
  <c r="AS76" i="32"/>
  <c r="AS74" i="32"/>
  <c r="AS73" i="32"/>
  <c r="AS71" i="32"/>
  <c r="AS72" i="32" s="1"/>
  <c r="AS55" i="32"/>
  <c r="AS53" i="32"/>
  <c r="AS52" i="32"/>
  <c r="AS50" i="32"/>
  <c r="AS51" i="32" s="1"/>
  <c r="AS33" i="32"/>
  <c r="AS31" i="32"/>
  <c r="AS30" i="32"/>
  <c r="AS28" i="32"/>
  <c r="AS29" i="32" s="1"/>
  <c r="AS19" i="32"/>
  <c r="AS13" i="32"/>
  <c r="AS12" i="32"/>
  <c r="AS10" i="32"/>
  <c r="AS9" i="32"/>
  <c r="AS7" i="32"/>
  <c r="AS8" i="32" s="1"/>
  <c r="Q49" i="5"/>
  <c r="P49" i="5"/>
  <c r="O49" i="5"/>
  <c r="N49" i="5"/>
  <c r="M49" i="5"/>
  <c r="L49" i="5"/>
  <c r="I126" i="16"/>
  <c r="J126" i="16"/>
  <c r="K126" i="16"/>
  <c r="L126" i="16"/>
  <c r="M126" i="16"/>
  <c r="N126" i="16"/>
  <c r="O126" i="16"/>
  <c r="P126" i="16"/>
  <c r="I127" i="16"/>
  <c r="J127" i="16"/>
  <c r="K127" i="16"/>
  <c r="L127" i="16"/>
  <c r="M127" i="16"/>
  <c r="N127" i="16"/>
  <c r="O127" i="16"/>
  <c r="P127" i="16"/>
  <c r="H127" i="16"/>
  <c r="H126" i="16"/>
  <c r="F192" i="5"/>
  <c r="F194" i="5" s="1"/>
  <c r="G192" i="5"/>
  <c r="G194" i="5" s="1"/>
  <c r="H192" i="5"/>
  <c r="H194" i="5" s="1"/>
  <c r="I192" i="5"/>
  <c r="J192" i="5"/>
  <c r="K192" i="5"/>
  <c r="Q179" i="5"/>
  <c r="R180" i="5" s="1"/>
  <c r="P179" i="5"/>
  <c r="O179" i="5"/>
  <c r="N179" i="5"/>
  <c r="M179" i="5"/>
  <c r="L179" i="5"/>
  <c r="I193" i="5"/>
  <c r="H132" i="16" s="1"/>
  <c r="H133" i="16" s="1"/>
  <c r="J193" i="5"/>
  <c r="I132" i="16" s="1"/>
  <c r="I133" i="16" s="1"/>
  <c r="K193" i="5"/>
  <c r="J132" i="16" s="1"/>
  <c r="J133" i="16" s="1"/>
  <c r="L133" i="16" s="1"/>
  <c r="M133" i="16" s="1"/>
  <c r="N133" i="16" s="1"/>
  <c r="O133" i="16" s="1"/>
  <c r="P133" i="16" s="1"/>
  <c r="Q133" i="16" s="1"/>
  <c r="R133" i="16" s="1"/>
  <c r="S133" i="16" s="1"/>
  <c r="T133" i="16" s="1"/>
  <c r="U133" i="16" s="1"/>
  <c r="H119" i="16"/>
  <c r="I119" i="16"/>
  <c r="J119" i="16"/>
  <c r="AJ134" i="29" l="1"/>
  <c r="AU20" i="32"/>
  <c r="AS37" i="29"/>
  <c r="AS38" i="29" s="1"/>
  <c r="AS20" i="32"/>
  <c r="T16" i="40"/>
  <c r="I194" i="5"/>
  <c r="J194" i="5"/>
  <c r="K194" i="5"/>
  <c r="I118" i="16"/>
  <c r="J118" i="16"/>
  <c r="H118" i="16"/>
  <c r="P85" i="16" l="1"/>
  <c r="O85" i="16"/>
  <c r="N85" i="16"/>
  <c r="M85" i="16"/>
  <c r="L85" i="16"/>
  <c r="K85" i="16"/>
  <c r="P116" i="16"/>
  <c r="O116" i="16"/>
  <c r="N116" i="16"/>
  <c r="M116" i="16"/>
  <c r="L116" i="16"/>
  <c r="K116" i="16"/>
  <c r="J116" i="16"/>
  <c r="I116" i="16"/>
  <c r="H116" i="16"/>
  <c r="G116" i="16"/>
  <c r="F116" i="16"/>
  <c r="E116" i="16"/>
  <c r="D116" i="16"/>
  <c r="C116" i="16"/>
  <c r="B116" i="16"/>
  <c r="M41" i="17"/>
  <c r="N41" i="17" s="1"/>
  <c r="O41" i="17" s="1"/>
  <c r="P41" i="17" s="1"/>
  <c r="Q41" i="17" s="1"/>
  <c r="R41" i="17" s="1"/>
  <c r="S41" i="17" s="1"/>
  <c r="T41" i="17" s="1"/>
  <c r="U41" i="17" s="1"/>
  <c r="V41" i="17" s="1"/>
  <c r="Q47" i="18"/>
  <c r="R47" i="18" s="1"/>
  <c r="S47" i="18" s="1"/>
  <c r="T47" i="18" s="1"/>
  <c r="U47" i="18" s="1"/>
  <c r="V47" i="18" s="1"/>
  <c r="F109" i="16"/>
  <c r="F108" i="16"/>
  <c r="K83" i="16"/>
  <c r="F104" i="16"/>
  <c r="G104" i="16"/>
  <c r="H103" i="16"/>
  <c r="H104" i="16" s="1"/>
  <c r="I104" i="16"/>
  <c r="J104" i="16"/>
  <c r="AD177" i="29"/>
  <c r="AC177" i="29"/>
  <c r="AB177" i="29"/>
  <c r="AA177" i="29"/>
  <c r="AG177" i="29"/>
  <c r="AF177" i="29"/>
  <c r="AE177" i="29"/>
  <c r="AH177" i="29"/>
  <c r="K285" i="5"/>
  <c r="K259" i="5"/>
  <c r="K253" i="5"/>
  <c r="K205" i="5"/>
  <c r="K168" i="5"/>
  <c r="K163" i="5"/>
  <c r="K164" i="5" s="1"/>
  <c r="K141" i="5"/>
  <c r="K142" i="5" s="1"/>
  <c r="K133" i="5"/>
  <c r="K137" i="5" s="1"/>
  <c r="K27" i="5"/>
  <c r="J7" i="20"/>
  <c r="J128" i="16" l="1"/>
  <c r="L301" i="5" s="1"/>
  <c r="D223" i="28"/>
  <c r="E223" i="28"/>
  <c r="F223" i="28"/>
  <c r="G223" i="28"/>
  <c r="H223" i="28"/>
  <c r="I223" i="28"/>
  <c r="J223" i="28"/>
  <c r="K223" i="28"/>
  <c r="L223" i="28"/>
  <c r="M223" i="28"/>
  <c r="N223" i="28"/>
  <c r="O223" i="28"/>
  <c r="P223" i="28"/>
  <c r="Q223" i="28"/>
  <c r="R223" i="28"/>
  <c r="S223" i="28"/>
  <c r="T223" i="28"/>
  <c r="U223" i="28"/>
  <c r="V223" i="28"/>
  <c r="W223" i="28"/>
  <c r="X223" i="28"/>
  <c r="Y223" i="28"/>
  <c r="Z223" i="28"/>
  <c r="AA223" i="28"/>
  <c r="AB223" i="28"/>
  <c r="AC223" i="28"/>
  <c r="AD223" i="28"/>
  <c r="AE223" i="28"/>
  <c r="AF223" i="28"/>
  <c r="AG223" i="28"/>
  <c r="C223" i="28"/>
  <c r="K105" i="15"/>
  <c r="K93" i="15"/>
  <c r="K95" i="15"/>
  <c r="K49" i="5" l="1"/>
  <c r="K239" i="5"/>
  <c r="K197" i="5"/>
  <c r="K260" i="5" s="1"/>
  <c r="K188" i="5"/>
  <c r="K184" i="5"/>
  <c r="J48" i="16"/>
  <c r="J45" i="16"/>
  <c r="J47" i="16" s="1"/>
  <c r="N58" i="5" a="1"/>
  <c r="L58" i="5" a="1"/>
  <c r="M58" i="5" a="1"/>
  <c r="N58" i="5" l="1"/>
  <c r="M58" i="5"/>
  <c r="L58" i="5"/>
  <c r="K280" i="5" l="1"/>
  <c r="K281" i="5" s="1"/>
  <c r="L281" i="5" s="1"/>
  <c r="M281" i="5" s="1"/>
  <c r="N281" i="5" s="1"/>
  <c r="O281" i="5" s="1"/>
  <c r="P281" i="5" s="1"/>
  <c r="Q281" i="5" s="1"/>
  <c r="R281" i="5" s="1"/>
  <c r="S281" i="5" s="1"/>
  <c r="T281" i="5" s="1"/>
  <c r="U281" i="5" s="1"/>
  <c r="V281" i="5" s="1"/>
  <c r="K82" i="5"/>
  <c r="K224" i="5"/>
  <c r="K222" i="5"/>
  <c r="K218" i="5"/>
  <c r="K92" i="5"/>
  <c r="K209" i="5"/>
  <c r="K210" i="5"/>
  <c r="K116" i="5"/>
  <c r="K111" i="5"/>
  <c r="L31" i="16"/>
  <c r="M31" i="16" s="1"/>
  <c r="N31" i="16" s="1"/>
  <c r="O31" i="16" s="1"/>
  <c r="P31" i="16" s="1"/>
  <c r="Q31" i="16" s="1"/>
  <c r="M93" i="18"/>
  <c r="N93" i="18" s="1"/>
  <c r="O93" i="18" s="1"/>
  <c r="P93" i="18" s="1"/>
  <c r="Q93" i="18" s="1"/>
  <c r="R93" i="18" s="1"/>
  <c r="S93" i="18" s="1"/>
  <c r="T93" i="18" s="1"/>
  <c r="U93" i="18" s="1"/>
  <c r="V93" i="18" s="1"/>
  <c r="K85" i="18"/>
  <c r="K86" i="18" s="1"/>
  <c r="K16" i="18"/>
  <c r="K8" i="18"/>
  <c r="L8" i="18" s="1"/>
  <c r="M8" i="18" s="1"/>
  <c r="N8" i="18" s="1"/>
  <c r="O8" i="18" s="1"/>
  <c r="P8" i="18" s="1"/>
  <c r="Q8" i="18" s="1"/>
  <c r="R8" i="18" s="1"/>
  <c r="I25" i="20"/>
  <c r="J25" i="20"/>
  <c r="K25" i="20"/>
  <c r="H25" i="20"/>
  <c r="J18" i="16"/>
  <c r="J17" i="16"/>
  <c r="AI232" i="29"/>
  <c r="AI233" i="29" s="1"/>
  <c r="AM40" i="29"/>
  <c r="K27" i="20"/>
  <c r="K52" i="20"/>
  <c r="K53" i="20" s="1"/>
  <c r="K64" i="20"/>
  <c r="K63" i="20"/>
  <c r="K70" i="20"/>
  <c r="K100" i="18"/>
  <c r="J35" i="18"/>
  <c r="J33" i="18"/>
  <c r="K88" i="1"/>
  <c r="K119" i="17"/>
  <c r="K105" i="17"/>
  <c r="K106" i="17" s="1"/>
  <c r="K80" i="17"/>
  <c r="K79" i="17"/>
  <c r="M79" i="17" s="1"/>
  <c r="N79" i="17" s="1"/>
  <c r="O79" i="17" s="1"/>
  <c r="P79" i="17" s="1"/>
  <c r="Q79" i="17" s="1"/>
  <c r="R79" i="17" s="1"/>
  <c r="S79" i="17" s="1"/>
  <c r="T79" i="17" s="1"/>
  <c r="U79" i="17" s="1"/>
  <c r="V79" i="17" s="1"/>
  <c r="K78" i="17"/>
  <c r="K77" i="17"/>
  <c r="K76" i="17"/>
  <c r="J44" i="17"/>
  <c r="J43" i="17"/>
  <c r="J42" i="17"/>
  <c r="J41" i="17"/>
  <c r="J40" i="17"/>
  <c r="J36" i="17"/>
  <c r="J35" i="17"/>
  <c r="J34" i="17"/>
  <c r="J33" i="17"/>
  <c r="J32" i="17"/>
  <c r="J16" i="1"/>
  <c r="K63" i="1"/>
  <c r="K64" i="1" s="1"/>
  <c r="K79" i="1"/>
  <c r="K73" i="1"/>
  <c r="K72" i="1"/>
  <c r="K71" i="1"/>
  <c r="K30" i="1"/>
  <c r="K43" i="1"/>
  <c r="K94" i="18"/>
  <c r="K74" i="18"/>
  <c r="K114" i="17"/>
  <c r="K113" i="17"/>
  <c r="AB202" i="28"/>
  <c r="AA202" i="28"/>
  <c r="Z202" i="28"/>
  <c r="Y202" i="28"/>
  <c r="AI209" i="28"/>
  <c r="AH209" i="28"/>
  <c r="AG209" i="28"/>
  <c r="AF209" i="28"/>
  <c r="AE209" i="28"/>
  <c r="AD209" i="28"/>
  <c r="AC209" i="28"/>
  <c r="AB209" i="28"/>
  <c r="AA209" i="28"/>
  <c r="Z209" i="28"/>
  <c r="Y209" i="28"/>
  <c r="Z193" i="28"/>
  <c r="AA193" i="28"/>
  <c r="AB193" i="28"/>
  <c r="Z194" i="28"/>
  <c r="AA194" i="28"/>
  <c r="AB194" i="28"/>
  <c r="Y194" i="28"/>
  <c r="Y193" i="28"/>
  <c r="AJ38" i="16"/>
  <c r="AJ37" i="16"/>
  <c r="AL64" i="16"/>
  <c r="AL67" i="16" s="1"/>
  <c r="AK63" i="16"/>
  <c r="AK64" i="16" s="1"/>
  <c r="AK49" i="16"/>
  <c r="AJ49" i="16"/>
  <c r="AI48" i="16"/>
  <c r="AI47" i="16"/>
  <c r="AI46" i="16"/>
  <c r="AK45" i="16"/>
  <c r="AI45" i="16"/>
  <c r="AJ64" i="16"/>
  <c r="AI41" i="16"/>
  <c r="AO41" i="16" s="1"/>
  <c r="AH40" i="16"/>
  <c r="AM40" i="16" s="1"/>
  <c r="AH39" i="16"/>
  <c r="AO39" i="16" s="1"/>
  <c r="AH38" i="16"/>
  <c r="AO38" i="16" s="1"/>
  <c r="AH37" i="16"/>
  <c r="AH163" i="29"/>
  <c r="U17" i="40" s="1"/>
  <c r="AH210" i="29"/>
  <c r="U12" i="40" s="1"/>
  <c r="AG210" i="29"/>
  <c r="T12" i="40" s="1"/>
  <c r="AH154" i="29"/>
  <c r="AH202" i="29"/>
  <c r="AH34" i="29"/>
  <c r="AH33" i="29"/>
  <c r="N56" i="18" a="1"/>
  <c r="M57" i="1" a="1"/>
  <c r="N25" i="1" a="1"/>
  <c r="L56" i="18" a="1"/>
  <c r="M14" i="16" a="1"/>
  <c r="N72" i="17" a="1"/>
  <c r="M44" i="18" a="1"/>
  <c r="K91" i="16" a="1"/>
  <c r="N44" i="18" a="1"/>
  <c r="K36" i="16" a="1"/>
  <c r="M80" i="1" a="1"/>
  <c r="M91" i="16" a="1"/>
  <c r="N57" i="1" a="1"/>
  <c r="M54" i="17" a="1"/>
  <c r="M36" i="16" a="1"/>
  <c r="L101" i="17" a="1"/>
  <c r="L57" i="1" a="1"/>
  <c r="L76" i="18" a="1"/>
  <c r="L91" i="16" a="1"/>
  <c r="M74" i="1" a="1"/>
  <c r="N74" i="1" a="1"/>
  <c r="L74" i="1" a="1"/>
  <c r="M31" i="1" a="1"/>
  <c r="L96" i="18" a="1"/>
  <c r="N31" i="1" a="1"/>
  <c r="N101" i="17" a="1"/>
  <c r="N76" i="18" a="1"/>
  <c r="N80" i="1" a="1"/>
  <c r="L25" i="1" a="1"/>
  <c r="K14" i="16" a="1"/>
  <c r="M76" i="18" a="1"/>
  <c r="L54" i="17" a="1"/>
  <c r="M25" i="1" a="1"/>
  <c r="L80" i="1" a="1"/>
  <c r="L36" i="16" a="1"/>
  <c r="M101" i="17" a="1"/>
  <c r="L31" i="1" a="1"/>
  <c r="N54" i="17" a="1"/>
  <c r="M56" i="18" a="1"/>
  <c r="M96" i="18" a="1"/>
  <c r="M72" i="17" a="1"/>
  <c r="L44" i="18" a="1"/>
  <c r="L72" i="17" a="1"/>
  <c r="L14" i="16" a="1"/>
  <c r="N96" i="18" a="1"/>
  <c r="S8" i="18" l="1"/>
  <c r="R18" i="5"/>
  <c r="R31" i="16"/>
  <c r="U13" i="40"/>
  <c r="M91" i="16"/>
  <c r="L91" i="16"/>
  <c r="K91" i="16"/>
  <c r="M36" i="16"/>
  <c r="L36" i="16"/>
  <c r="K36" i="16"/>
  <c r="N101" i="17"/>
  <c r="M101" i="17"/>
  <c r="L101" i="17"/>
  <c r="N72" i="17"/>
  <c r="M72" i="17"/>
  <c r="L72" i="17"/>
  <c r="N54" i="17"/>
  <c r="M54" i="17"/>
  <c r="L54" i="17"/>
  <c r="N96" i="18"/>
  <c r="M96" i="18"/>
  <c r="L96" i="18"/>
  <c r="K93" i="18"/>
  <c r="N76" i="18"/>
  <c r="M76" i="18"/>
  <c r="L76" i="18"/>
  <c r="N56" i="18"/>
  <c r="M56" i="18"/>
  <c r="L56" i="18"/>
  <c r="N44" i="18"/>
  <c r="M44" i="18"/>
  <c r="L44" i="18"/>
  <c r="M14" i="16"/>
  <c r="L14" i="16"/>
  <c r="K14" i="16"/>
  <c r="N31" i="1"/>
  <c r="M31" i="1"/>
  <c r="L31" i="1"/>
  <c r="N25" i="1"/>
  <c r="M25" i="1"/>
  <c r="L25" i="1"/>
  <c r="N80" i="1"/>
  <c r="M80" i="1"/>
  <c r="L80" i="1"/>
  <c r="N74" i="1"/>
  <c r="M74" i="1"/>
  <c r="L74" i="1"/>
  <c r="N57" i="1"/>
  <c r="M57" i="1"/>
  <c r="AM37" i="16"/>
  <c r="L57" i="1"/>
  <c r="AM39" i="16"/>
  <c r="AO37" i="16"/>
  <c r="AO40" i="16"/>
  <c r="AM38" i="16"/>
  <c r="Y34" i="28"/>
  <c r="Z34" i="28"/>
  <c r="AA34" i="28"/>
  <c r="AB34" i="28"/>
  <c r="X34" i="28"/>
  <c r="AR97" i="32"/>
  <c r="AR95" i="32"/>
  <c r="AR94" i="32"/>
  <c r="AR92" i="32"/>
  <c r="AR93" i="32" s="1"/>
  <c r="AR76" i="32"/>
  <c r="AR74" i="32"/>
  <c r="AR73" i="32"/>
  <c r="AR71" i="32"/>
  <c r="AR72" i="32" s="1"/>
  <c r="AR55" i="32"/>
  <c r="AR53" i="32"/>
  <c r="AR52" i="32"/>
  <c r="AR50" i="32"/>
  <c r="AR51" i="32" s="1"/>
  <c r="AR33" i="32"/>
  <c r="AR31" i="32"/>
  <c r="AR30" i="32"/>
  <c r="AR28" i="32"/>
  <c r="AR29" i="32" s="1"/>
  <c r="AR19" i="32"/>
  <c r="AR13" i="32"/>
  <c r="AR12" i="32"/>
  <c r="AR10" i="32"/>
  <c r="AR9" i="32"/>
  <c r="AR7" i="32"/>
  <c r="AR8" i="32" s="1"/>
  <c r="AQ97" i="32"/>
  <c r="AQ95" i="32"/>
  <c r="AQ94" i="32"/>
  <c r="AQ92" i="32"/>
  <c r="AQ93" i="32" s="1"/>
  <c r="AQ76" i="32"/>
  <c r="AQ74" i="32"/>
  <c r="AQ73" i="32"/>
  <c r="AQ71" i="32"/>
  <c r="AQ72" i="32" s="1"/>
  <c r="AQ55" i="32"/>
  <c r="AQ53" i="32"/>
  <c r="AQ52" i="32"/>
  <c r="AQ50" i="32"/>
  <c r="AQ51" i="32" s="1"/>
  <c r="AQ33" i="32"/>
  <c r="AQ31" i="32"/>
  <c r="AQ30" i="32"/>
  <c r="AQ28" i="32"/>
  <c r="AQ29" i="32" s="1"/>
  <c r="AQ19" i="32"/>
  <c r="AQ13" i="32"/>
  <c r="AQ12" i="32"/>
  <c r="AQ10" i="32"/>
  <c r="AQ9" i="32"/>
  <c r="AQ7" i="32"/>
  <c r="AQ8" i="32" s="1"/>
  <c r="P240" i="29"/>
  <c r="P241" i="29" s="1"/>
  <c r="U255" i="29"/>
  <c r="U256" i="29" s="1"/>
  <c r="V246" i="29"/>
  <c r="Y246" i="29" s="1"/>
  <c r="O244" i="29"/>
  <c r="O247" i="29"/>
  <c r="O249" i="29" s="1"/>
  <c r="O251" i="29" s="1"/>
  <c r="P251" i="29" s="1"/>
  <c r="Q251" i="29" s="1"/>
  <c r="S31" i="16" l="1"/>
  <c r="S18" i="5"/>
  <c r="AK147" i="28" s="1"/>
  <c r="AJ147" i="28"/>
  <c r="T8" i="18"/>
  <c r="M82" i="17"/>
  <c r="N82" i="17"/>
  <c r="M97" i="18"/>
  <c r="N97" i="18"/>
  <c r="AR20" i="32"/>
  <c r="AQ20" i="32"/>
  <c r="P247" i="29"/>
  <c r="O241" i="29"/>
  <c r="O233" i="29"/>
  <c r="O237" i="29" s="1"/>
  <c r="AG232" i="29"/>
  <c r="AG233" i="29" s="1"/>
  <c r="AE235" i="29"/>
  <c r="AE233" i="29"/>
  <c r="AG26" i="29"/>
  <c r="AG202" i="29"/>
  <c r="AG34" i="29"/>
  <c r="AG33" i="29"/>
  <c r="AG154" i="29"/>
  <c r="AG100" i="29"/>
  <c r="S210" i="29"/>
  <c r="F12" i="40" s="1"/>
  <c r="T210" i="29"/>
  <c r="G12" i="40" s="1"/>
  <c r="U210" i="29"/>
  <c r="H12" i="40" s="1"/>
  <c r="R210" i="29"/>
  <c r="W210" i="29"/>
  <c r="J12" i="40" s="1"/>
  <c r="X210" i="29"/>
  <c r="K12" i="40" s="1"/>
  <c r="V210" i="29"/>
  <c r="I12" i="40" s="1"/>
  <c r="Y210" i="29"/>
  <c r="L12" i="40" s="1"/>
  <c r="Z210" i="29"/>
  <c r="M12" i="40" s="1"/>
  <c r="AB210" i="29"/>
  <c r="O12" i="40" s="1"/>
  <c r="AA210" i="29"/>
  <c r="N12" i="40" s="1"/>
  <c r="AD210" i="29"/>
  <c r="Q12" i="40" s="1"/>
  <c r="AC210" i="29"/>
  <c r="P12" i="40" s="1"/>
  <c r="AE210" i="29"/>
  <c r="R12" i="40" s="1"/>
  <c r="R18" i="40"/>
  <c r="N18" i="40"/>
  <c r="L18" i="40"/>
  <c r="K18" i="40"/>
  <c r="J18" i="40"/>
  <c r="H18" i="40"/>
  <c r="G18" i="40"/>
  <c r="F18" i="40"/>
  <c r="R17" i="40"/>
  <c r="P17" i="40"/>
  <c r="O17" i="40"/>
  <c r="N17" i="40"/>
  <c r="L17" i="40"/>
  <c r="K17" i="40"/>
  <c r="J17" i="40"/>
  <c r="H17" i="40"/>
  <c r="G17" i="40"/>
  <c r="F17" i="40"/>
  <c r="S17" i="40"/>
  <c r="R15" i="40"/>
  <c r="P15" i="40"/>
  <c r="O15" i="40"/>
  <c r="N15" i="40"/>
  <c r="M15" i="40"/>
  <c r="L15" i="40"/>
  <c r="K15" i="40"/>
  <c r="J15" i="40"/>
  <c r="I15" i="40"/>
  <c r="H15" i="40"/>
  <c r="G15" i="40"/>
  <c r="F15" i="40"/>
  <c r="S15" i="40"/>
  <c r="R6" i="40"/>
  <c r="Q6" i="40"/>
  <c r="P6" i="40"/>
  <c r="O6" i="40"/>
  <c r="N6" i="40"/>
  <c r="M6" i="40"/>
  <c r="L6" i="40"/>
  <c r="K6" i="40"/>
  <c r="J6" i="40"/>
  <c r="I6" i="40"/>
  <c r="H6" i="40"/>
  <c r="G6" i="40"/>
  <c r="F6" i="40"/>
  <c r="S6" i="40"/>
  <c r="AF210" i="29"/>
  <c r="S12" i="40" s="1"/>
  <c r="T13" i="40" s="1"/>
  <c r="AR16" i="32" l="1"/>
  <c r="AK27" i="29"/>
  <c r="U8" i="18"/>
  <c r="T31" i="16"/>
  <c r="T18" i="5"/>
  <c r="AL147" i="28" s="1"/>
  <c r="O238" i="29"/>
  <c r="O254" i="29"/>
  <c r="O255" i="29" s="1"/>
  <c r="I10" i="40"/>
  <c r="I9" i="40"/>
  <c r="I8" i="40"/>
  <c r="H20" i="40"/>
  <c r="G20" i="40"/>
  <c r="F20" i="40"/>
  <c r="M10" i="40"/>
  <c r="Q10" i="40"/>
  <c r="M9" i="40"/>
  <c r="Q9" i="40"/>
  <c r="M8" i="40"/>
  <c r="Q8" i="40"/>
  <c r="L20" i="40"/>
  <c r="P20" i="40"/>
  <c r="K20" i="40"/>
  <c r="O20" i="40"/>
  <c r="J20" i="40"/>
  <c r="R10" i="40"/>
  <c r="N20" i="40"/>
  <c r="R20" i="40"/>
  <c r="S20" i="40"/>
  <c r="L16" i="40"/>
  <c r="AF164" i="29"/>
  <c r="Q15" i="40"/>
  <c r="AE165" i="29"/>
  <c r="S165" i="29"/>
  <c r="T165" i="29"/>
  <c r="U165" i="29"/>
  <c r="W165" i="29"/>
  <c r="W168" i="29" s="1"/>
  <c r="X165" i="29"/>
  <c r="X168" i="29" s="1"/>
  <c r="Y165" i="29"/>
  <c r="Y168" i="29" s="1"/>
  <c r="AA165" i="29"/>
  <c r="AA168" i="29" s="1"/>
  <c r="AB164" i="29"/>
  <c r="O18" i="40" s="1"/>
  <c r="R164" i="29"/>
  <c r="V164" i="29"/>
  <c r="I18" i="40" s="1"/>
  <c r="Z164" i="29"/>
  <c r="M18" i="40" s="1"/>
  <c r="R163" i="29"/>
  <c r="V163" i="29"/>
  <c r="I17" i="40" s="1"/>
  <c r="Z163" i="29"/>
  <c r="M17" i="40" s="1"/>
  <c r="AD163" i="29"/>
  <c r="Q17" i="40" s="1"/>
  <c r="S4" i="40"/>
  <c r="R4" i="40"/>
  <c r="Q4" i="40"/>
  <c r="P4" i="40"/>
  <c r="O4" i="40"/>
  <c r="N4" i="40"/>
  <c r="M4" i="40"/>
  <c r="L4" i="40"/>
  <c r="K4" i="40"/>
  <c r="J4" i="40"/>
  <c r="I4" i="40"/>
  <c r="H4" i="40"/>
  <c r="G4" i="40"/>
  <c r="F4" i="40"/>
  <c r="R13" i="40"/>
  <c r="M13" i="40"/>
  <c r="J13" i="40"/>
  <c r="S13" i="40"/>
  <c r="Q13" i="40"/>
  <c r="P13" i="40"/>
  <c r="O13" i="40"/>
  <c r="N13" i="40"/>
  <c r="L13" i="40"/>
  <c r="K13" i="40"/>
  <c r="I13" i="40"/>
  <c r="H13" i="40"/>
  <c r="G13" i="40"/>
  <c r="F13" i="40"/>
  <c r="U18" i="5" l="1"/>
  <c r="U31" i="16"/>
  <c r="V18" i="5" s="1"/>
  <c r="V8" i="18"/>
  <c r="H5" i="40"/>
  <c r="H7" i="40" s="1"/>
  <c r="H11" i="40" s="1"/>
  <c r="U168" i="29"/>
  <c r="G5" i="40"/>
  <c r="G7" i="40" s="1"/>
  <c r="G11" i="40" s="1"/>
  <c r="T168" i="29"/>
  <c r="F5" i="40"/>
  <c r="F7" i="40" s="1"/>
  <c r="F11" i="40" s="1"/>
  <c r="S168" i="29"/>
  <c r="AE168" i="29"/>
  <c r="AI166" i="29"/>
  <c r="R5" i="40"/>
  <c r="R7" i="40" s="1"/>
  <c r="R11" i="40" s="1"/>
  <c r="AE166" i="29"/>
  <c r="L5" i="40"/>
  <c r="L7" i="40" s="1"/>
  <c r="L11" i="40" s="1"/>
  <c r="Y166" i="29"/>
  <c r="N5" i="40"/>
  <c r="N7" i="40" s="1"/>
  <c r="N11" i="40" s="1"/>
  <c r="AA166" i="29"/>
  <c r="K5" i="40"/>
  <c r="K7" i="40" s="1"/>
  <c r="K11" i="40" s="1"/>
  <c r="X166" i="29"/>
  <c r="J5" i="40"/>
  <c r="J7" i="40" s="1"/>
  <c r="J11" i="40" s="1"/>
  <c r="W166" i="29"/>
  <c r="S18" i="40"/>
  <c r="AH164" i="29"/>
  <c r="U18" i="40" s="1"/>
  <c r="U16" i="40" s="1"/>
  <c r="O257" i="29"/>
  <c r="Q247" i="29" s="1"/>
  <c r="AB165" i="29"/>
  <c r="AB168" i="29" s="1"/>
  <c r="AF165" i="29"/>
  <c r="AJ166" i="29" s="1"/>
  <c r="J16" i="40"/>
  <c r="K16" i="40"/>
  <c r="M20" i="40"/>
  <c r="I20" i="40"/>
  <c r="R16" i="40"/>
  <c r="Q20" i="40"/>
  <c r="Z165" i="29"/>
  <c r="Z168" i="29" s="1"/>
  <c r="V165" i="29"/>
  <c r="V168" i="29" s="1"/>
  <c r="R165" i="29"/>
  <c r="R168" i="29" s="1"/>
  <c r="F16" i="40"/>
  <c r="M16" i="40"/>
  <c r="AC164" i="29"/>
  <c r="P18" i="40" s="1"/>
  <c r="P16" i="40" s="1"/>
  <c r="H16" i="40"/>
  <c r="I16" i="40"/>
  <c r="AF168" i="29" l="1"/>
  <c r="AN147" i="28"/>
  <c r="AM147" i="28"/>
  <c r="I5" i="40"/>
  <c r="I7" i="40" s="1"/>
  <c r="I11" i="40" s="1"/>
  <c r="V166" i="29"/>
  <c r="O5" i="40"/>
  <c r="O7" i="40" s="1"/>
  <c r="O11" i="40" s="1"/>
  <c r="AB166" i="29"/>
  <c r="M5" i="40"/>
  <c r="M7" i="40" s="1"/>
  <c r="M11" i="40" s="1"/>
  <c r="Z166" i="29"/>
  <c r="S5" i="40"/>
  <c r="AF166" i="29"/>
  <c r="G16" i="40"/>
  <c r="N16" i="40"/>
  <c r="AC165" i="29"/>
  <c r="AC168" i="29" s="1"/>
  <c r="AD164" i="29"/>
  <c r="Q18" i="40" s="1"/>
  <c r="Q16" i="40" s="1"/>
  <c r="G14" i="5"/>
  <c r="Y143" i="28" s="1"/>
  <c r="G15" i="5"/>
  <c r="Y144" i="28" s="1"/>
  <c r="G16" i="5"/>
  <c r="Y145" i="28" s="1"/>
  <c r="G17" i="5"/>
  <c r="Y146" i="28" s="1"/>
  <c r="G18" i="5"/>
  <c r="Y147" i="28" s="1"/>
  <c r="D16" i="21"/>
  <c r="G28" i="5"/>
  <c r="Y24" i="28" s="1"/>
  <c r="H14" i="5"/>
  <c r="Z143" i="28" s="1"/>
  <c r="H15" i="5"/>
  <c r="Z144" i="28" s="1"/>
  <c r="H16" i="5"/>
  <c r="Z145" i="28" s="1"/>
  <c r="H17" i="5"/>
  <c r="Z146" i="28" s="1"/>
  <c r="H18" i="5"/>
  <c r="Z147" i="28" s="1"/>
  <c r="E16" i="21"/>
  <c r="H28" i="5"/>
  <c r="Z24" i="28" s="1"/>
  <c r="I14" i="5"/>
  <c r="AA143" i="28" s="1"/>
  <c r="I15" i="5"/>
  <c r="AA144" i="28" s="1"/>
  <c r="I16" i="5"/>
  <c r="AA145" i="28" s="1"/>
  <c r="I17" i="5"/>
  <c r="AA146" i="28" s="1"/>
  <c r="I18" i="5"/>
  <c r="AA147" i="28" s="1"/>
  <c r="F16" i="21"/>
  <c r="B209" i="34"/>
  <c r="B215" i="34" s="1"/>
  <c r="J14" i="5"/>
  <c r="AB143" i="28" s="1"/>
  <c r="J15" i="5"/>
  <c r="AB144" i="28" s="1"/>
  <c r="J16" i="5"/>
  <c r="AB145" i="28" s="1"/>
  <c r="J17" i="5"/>
  <c r="AB146" i="28" s="1"/>
  <c r="J18" i="5"/>
  <c r="AB147" i="28" s="1"/>
  <c r="G16" i="21"/>
  <c r="J28" i="5"/>
  <c r="J43" i="1"/>
  <c r="K44" i="1" s="1"/>
  <c r="F95" i="15" s="1"/>
  <c r="J20" i="1"/>
  <c r="I14" i="9" s="1"/>
  <c r="I84" i="17"/>
  <c r="J84" i="17"/>
  <c r="K24" i="17"/>
  <c r="J76" i="17"/>
  <c r="K25" i="17"/>
  <c r="G76" i="15" s="1"/>
  <c r="J77" i="17"/>
  <c r="K26" i="17"/>
  <c r="K27" i="17"/>
  <c r="J79" i="17"/>
  <c r="K28" i="17"/>
  <c r="K16" i="5"/>
  <c r="AC145" i="28" s="1"/>
  <c r="I30" i="20"/>
  <c r="E20" i="15" s="1"/>
  <c r="J30" i="20"/>
  <c r="J15" i="20"/>
  <c r="K15" i="20" s="1"/>
  <c r="J63" i="20"/>
  <c r="L63" i="20" s="1"/>
  <c r="M63" i="20" s="1"/>
  <c r="N63" i="20" s="1"/>
  <c r="O63" i="20" s="1"/>
  <c r="P63" i="20" s="1"/>
  <c r="Q63" i="20" s="1"/>
  <c r="R63" i="20" s="1"/>
  <c r="S63" i="20" s="1"/>
  <c r="T63" i="20" s="1"/>
  <c r="U63" i="20" s="1"/>
  <c r="V63" i="20" s="1"/>
  <c r="I45" i="16"/>
  <c r="I59" i="39" s="1"/>
  <c r="CX164" i="29"/>
  <c r="M71" i="1"/>
  <c r="N71" i="1" s="1"/>
  <c r="O71" i="1" s="1"/>
  <c r="P71" i="1" s="1"/>
  <c r="Q71" i="1" s="1"/>
  <c r="R71" i="1" s="1"/>
  <c r="S71" i="1" s="1"/>
  <c r="T71" i="1" s="1"/>
  <c r="U71" i="1" s="1"/>
  <c r="V71" i="1" s="1"/>
  <c r="L27" i="20"/>
  <c r="M27" i="20" s="1"/>
  <c r="N27" i="20" s="1"/>
  <c r="O27" i="20" s="1"/>
  <c r="M46" i="16"/>
  <c r="N46" i="16" s="1"/>
  <c r="O46" i="16" s="1"/>
  <c r="O60" i="39" s="1"/>
  <c r="AO60" i="39" s="1"/>
  <c r="N48" i="16"/>
  <c r="O48" i="16" s="1"/>
  <c r="F14" i="5"/>
  <c r="X143" i="28" s="1"/>
  <c r="F15" i="5"/>
  <c r="X144" i="28" s="1"/>
  <c r="F16" i="5"/>
  <c r="X145" i="28" s="1"/>
  <c r="F17" i="5"/>
  <c r="X146" i="28" s="1"/>
  <c r="F18" i="5"/>
  <c r="X147" i="28" s="1"/>
  <c r="C16" i="21"/>
  <c r="F28" i="5"/>
  <c r="C18" i="21" s="1"/>
  <c r="C33" i="21" s="1"/>
  <c r="J210" i="5"/>
  <c r="J209" i="5"/>
  <c r="J205" i="5"/>
  <c r="J188" i="5"/>
  <c r="J179" i="5" s="1"/>
  <c r="J270" i="5" s="1"/>
  <c r="I209" i="5"/>
  <c r="I88" i="5" s="1"/>
  <c r="I210" i="5"/>
  <c r="K54" i="5"/>
  <c r="J224" i="5"/>
  <c r="J86" i="5" s="1"/>
  <c r="AC202" i="28"/>
  <c r="J197" i="39"/>
  <c r="K117" i="5"/>
  <c r="J141" i="5"/>
  <c r="K138" i="5" s="1"/>
  <c r="I141" i="5"/>
  <c r="I142" i="5" s="1"/>
  <c r="J133" i="5"/>
  <c r="J137" i="5" s="1"/>
  <c r="J268" i="5" s="1"/>
  <c r="J163" i="5"/>
  <c r="J164" i="5" s="1"/>
  <c r="K165" i="5" s="1"/>
  <c r="L46" i="5"/>
  <c r="L51" i="5"/>
  <c r="K172" i="39" s="1"/>
  <c r="N165" i="5"/>
  <c r="O165" i="5" s="1"/>
  <c r="Q165" i="5" s="1"/>
  <c r="R165" i="5" s="1"/>
  <c r="M197" i="5"/>
  <c r="M51" i="5" s="1"/>
  <c r="L172" i="39" s="1"/>
  <c r="N235" i="5"/>
  <c r="O235" i="5" s="1"/>
  <c r="P235" i="5" s="1"/>
  <c r="Q235" i="5" s="1"/>
  <c r="R235" i="5" s="1"/>
  <c r="S235" i="5" s="1"/>
  <c r="T235" i="5" s="1"/>
  <c r="U235" i="5" s="1"/>
  <c r="V235" i="5" s="1"/>
  <c r="J70" i="5"/>
  <c r="I70" i="5"/>
  <c r="H45" i="16"/>
  <c r="F66" i="21" s="1"/>
  <c r="H210" i="5"/>
  <c r="H91" i="5" s="1"/>
  <c r="H209" i="5"/>
  <c r="H88" i="5" s="1"/>
  <c r="H70" i="5"/>
  <c r="G45" i="16"/>
  <c r="E66" i="21" s="1"/>
  <c r="G210" i="5"/>
  <c r="G91" i="5" s="1"/>
  <c r="G209" i="5"/>
  <c r="G88" i="5" s="1"/>
  <c r="G70" i="5"/>
  <c r="F45" i="16"/>
  <c r="F47" i="16" s="1"/>
  <c r="F61" i="39" s="1"/>
  <c r="X167" i="28"/>
  <c r="L285" i="5"/>
  <c r="G59" i="21"/>
  <c r="F59" i="21"/>
  <c r="E59" i="21"/>
  <c r="D60" i="21" s="1"/>
  <c r="Y214" i="28" s="1"/>
  <c r="X166" i="28"/>
  <c r="AG157" i="29"/>
  <c r="AK158" i="29" s="1"/>
  <c r="AG38" i="1"/>
  <c r="AG48" i="29"/>
  <c r="AG62" i="29"/>
  <c r="AG74" i="29"/>
  <c r="AG73" i="29"/>
  <c r="AG85" i="29"/>
  <c r="AR96" i="32" s="1"/>
  <c r="AG92" i="29"/>
  <c r="AR102" i="32" s="1"/>
  <c r="AG90" i="29"/>
  <c r="AR101" i="32" s="1"/>
  <c r="AG88" i="29"/>
  <c r="AG87" i="29"/>
  <c r="J28" i="1"/>
  <c r="J8" i="1"/>
  <c r="K8" i="1" s="1"/>
  <c r="K7" i="1" s="1"/>
  <c r="CT150" i="29"/>
  <c r="CR150" i="29"/>
  <c r="CT146" i="29"/>
  <c r="CR146" i="29"/>
  <c r="CT142" i="29"/>
  <c r="CR142" i="29"/>
  <c r="CT136" i="29"/>
  <c r="CR136" i="29"/>
  <c r="CT122" i="29"/>
  <c r="CR122" i="29"/>
  <c r="CT118" i="29"/>
  <c r="CR118" i="29"/>
  <c r="CT114" i="29"/>
  <c r="CR114" i="29"/>
  <c r="CT110" i="29"/>
  <c r="CR110" i="29"/>
  <c r="AF157" i="29"/>
  <c r="AJ158" i="29" s="1"/>
  <c r="AF154" i="29"/>
  <c r="AF152" i="29"/>
  <c r="AF151" i="29"/>
  <c r="AF148" i="29"/>
  <c r="AF147" i="29"/>
  <c r="AF144" i="29"/>
  <c r="AF143" i="29"/>
  <c r="AF123" i="29"/>
  <c r="AF119" i="29"/>
  <c r="AF115" i="29"/>
  <c r="AF92" i="29"/>
  <c r="AQ102" i="32" s="1"/>
  <c r="AF90" i="29"/>
  <c r="AQ101" i="32" s="1"/>
  <c r="AF88" i="29"/>
  <c r="AF87" i="29"/>
  <c r="AF85" i="29"/>
  <c r="AQ96" i="32" s="1"/>
  <c r="AF78" i="29"/>
  <c r="AJ79" i="29" s="1"/>
  <c r="AF76" i="29"/>
  <c r="AJ77" i="29" s="1"/>
  <c r="AF74" i="29"/>
  <c r="AF73" i="29"/>
  <c r="AF71" i="29"/>
  <c r="AQ75" i="32" s="1"/>
  <c r="AF64" i="29"/>
  <c r="AJ65" i="29" s="1"/>
  <c r="AF62" i="29"/>
  <c r="AJ63" i="29" s="1"/>
  <c r="AF58" i="29"/>
  <c r="AF57" i="29"/>
  <c r="AF55" i="29"/>
  <c r="AQ54" i="32" s="1"/>
  <c r="AF34" i="29"/>
  <c r="AF33" i="29"/>
  <c r="AF29" i="29"/>
  <c r="AJ30" i="29" s="1"/>
  <c r="AF26" i="29"/>
  <c r="AJ27" i="29" s="1"/>
  <c r="AF14" i="29"/>
  <c r="AF13" i="29"/>
  <c r="AF11" i="29"/>
  <c r="AQ11" i="32" s="1"/>
  <c r="AL25" i="16"/>
  <c r="AF208" i="29"/>
  <c r="AF207" i="29"/>
  <c r="AF111" i="29"/>
  <c r="AF48" i="29"/>
  <c r="AJ49" i="29" s="1"/>
  <c r="AF46" i="29"/>
  <c r="AJ47" i="29" s="1"/>
  <c r="AF43" i="29"/>
  <c r="AF42" i="29"/>
  <c r="AF40" i="29"/>
  <c r="AQ32" i="32" s="1"/>
  <c r="AF202" i="29"/>
  <c r="AF129" i="29"/>
  <c r="AF100" i="29"/>
  <c r="AN30" i="16"/>
  <c r="AH31" i="16"/>
  <c r="AG31" i="16"/>
  <c r="AK31" i="16"/>
  <c r="AJ31" i="16"/>
  <c r="AK30" i="16"/>
  <c r="AJ30" i="16"/>
  <c r="AH30" i="16"/>
  <c r="AG30" i="16"/>
  <c r="AN25" i="16"/>
  <c r="AL24" i="16"/>
  <c r="AL21" i="16"/>
  <c r="AL20" i="16"/>
  <c r="AL19" i="16"/>
  <c r="AI25" i="16"/>
  <c r="AI24" i="16"/>
  <c r="AI21" i="16"/>
  <c r="AI20" i="16"/>
  <c r="AI19" i="16"/>
  <c r="AE131" i="29"/>
  <c r="AP97" i="32"/>
  <c r="AP95" i="32"/>
  <c r="AP94" i="32"/>
  <c r="AP92" i="32"/>
  <c r="AP93" i="32" s="1"/>
  <c r="AP76" i="32"/>
  <c r="AP74" i="32"/>
  <c r="AP73" i="32"/>
  <c r="AP71" i="32"/>
  <c r="AP72" i="32" s="1"/>
  <c r="AP55" i="32"/>
  <c r="AP53" i="32"/>
  <c r="AP52" i="32"/>
  <c r="AP50" i="32"/>
  <c r="AP51" i="32" s="1"/>
  <c r="AP33" i="32"/>
  <c r="AP31" i="32"/>
  <c r="AP30" i="32"/>
  <c r="AP28" i="32"/>
  <c r="AP29" i="32" s="1"/>
  <c r="AP19" i="32"/>
  <c r="AP13" i="32"/>
  <c r="AP12" i="32"/>
  <c r="AP10" i="32"/>
  <c r="AP9" i="32"/>
  <c r="AP7" i="32"/>
  <c r="AP8" i="32" s="1"/>
  <c r="AJ11" i="16"/>
  <c r="AI11" i="16"/>
  <c r="AI10" i="16"/>
  <c r="AI9" i="16"/>
  <c r="AI8" i="16"/>
  <c r="AI7" i="16"/>
  <c r="CO150" i="29"/>
  <c r="CO146" i="29"/>
  <c r="CO142" i="29"/>
  <c r="CO136" i="29"/>
  <c r="CO122" i="29"/>
  <c r="CO118" i="29"/>
  <c r="CO114" i="29"/>
  <c r="CO110" i="29"/>
  <c r="CM150" i="29"/>
  <c r="CM146" i="29"/>
  <c r="CM142" i="29"/>
  <c r="CM136" i="29"/>
  <c r="CM122" i="29"/>
  <c r="CM118" i="29"/>
  <c r="CM114" i="29"/>
  <c r="CM110" i="29"/>
  <c r="CN181" i="29"/>
  <c r="CL181" i="29"/>
  <c r="T181" i="29"/>
  <c r="T183" i="29" s="1"/>
  <c r="U181" i="29"/>
  <c r="U183" i="29" s="1"/>
  <c r="V181" i="29"/>
  <c r="V183" i="29" s="1"/>
  <c r="W181" i="29"/>
  <c r="W183" i="29" s="1"/>
  <c r="X181" i="29"/>
  <c r="Y181" i="29"/>
  <c r="Z181" i="29"/>
  <c r="Z183" i="29" s="1"/>
  <c r="AA181" i="29"/>
  <c r="AB181" i="29"/>
  <c r="AC181" i="29"/>
  <c r="AD181" i="29"/>
  <c r="AE181" i="29"/>
  <c r="S181" i="29"/>
  <c r="S183" i="29" s="1"/>
  <c r="CO170" i="29"/>
  <c r="CM170" i="29"/>
  <c r="CO128" i="29"/>
  <c r="CM128" i="29"/>
  <c r="CO99" i="29"/>
  <c r="CM99" i="29"/>
  <c r="AE202" i="29"/>
  <c r="AE157" i="29"/>
  <c r="AI158" i="29" s="1"/>
  <c r="AE208" i="29"/>
  <c r="AE207" i="29"/>
  <c r="AE154" i="29"/>
  <c r="CM154" i="29" s="1"/>
  <c r="AE92" i="29"/>
  <c r="AP102" i="32" s="1"/>
  <c r="AE90" i="29"/>
  <c r="AP101" i="32" s="1"/>
  <c r="AE88" i="29"/>
  <c r="AE87" i="29"/>
  <c r="AE85" i="29"/>
  <c r="AP96" i="32" s="1"/>
  <c r="AE78" i="29"/>
  <c r="AE76" i="29"/>
  <c r="AE74" i="29"/>
  <c r="AE73" i="29"/>
  <c r="AE71" i="29"/>
  <c r="AP75" i="32" s="1"/>
  <c r="AE64" i="29"/>
  <c r="AE62" i="29"/>
  <c r="AE58" i="29"/>
  <c r="AE57" i="29"/>
  <c r="AE55" i="29"/>
  <c r="AP54" i="32" s="1"/>
  <c r="AE48" i="29"/>
  <c r="AE46" i="29"/>
  <c r="AE43" i="29"/>
  <c r="AE42" i="29"/>
  <c r="AE40" i="29"/>
  <c r="AP32" i="32" s="1"/>
  <c r="AE34" i="29"/>
  <c r="AE33" i="29"/>
  <c r="AE29" i="29"/>
  <c r="AE26" i="29"/>
  <c r="AE14" i="29"/>
  <c r="AE13" i="29"/>
  <c r="AE11" i="29"/>
  <c r="AP11" i="32" s="1"/>
  <c r="AE100" i="29"/>
  <c r="AB121" i="28"/>
  <c r="AI122" i="28"/>
  <c r="AH122" i="28"/>
  <c r="AG122" i="28"/>
  <c r="AF122" i="28"/>
  <c r="AE122" i="28"/>
  <c r="AD122" i="28"/>
  <c r="AI121" i="28"/>
  <c r="AH121" i="28"/>
  <c r="AG121" i="28"/>
  <c r="AF121" i="28"/>
  <c r="AE121" i="28"/>
  <c r="AD121" i="28"/>
  <c r="AC121" i="28"/>
  <c r="AG171" i="29"/>
  <c r="AF171" i="29"/>
  <c r="AE171" i="29"/>
  <c r="AG137" i="29"/>
  <c r="AE137" i="29"/>
  <c r="AG143" i="29"/>
  <c r="AE143" i="29"/>
  <c r="AG147" i="29"/>
  <c r="AE147" i="29"/>
  <c r="AG151" i="29"/>
  <c r="AE151" i="29"/>
  <c r="AG152" i="29"/>
  <c r="AE152" i="29"/>
  <c r="AG148" i="29"/>
  <c r="AE148" i="29"/>
  <c r="AG144" i="29"/>
  <c r="AE144" i="29"/>
  <c r="AE139" i="29"/>
  <c r="AF139" i="29"/>
  <c r="AG139" i="29"/>
  <c r="AG172" i="29"/>
  <c r="AE172" i="29"/>
  <c r="AG123" i="29"/>
  <c r="AE123" i="29"/>
  <c r="AG119" i="29"/>
  <c r="AE119" i="29"/>
  <c r="AG115" i="29"/>
  <c r="AE115" i="29"/>
  <c r="AG111" i="29"/>
  <c r="AE111" i="29"/>
  <c r="CX40" i="29"/>
  <c r="A191" i="39"/>
  <c r="AI191" i="39" s="1"/>
  <c r="A192" i="39"/>
  <c r="AI192" i="39" s="1"/>
  <c r="A193" i="39"/>
  <c r="AI193" i="39" s="1"/>
  <c r="C193" i="39"/>
  <c r="D193" i="39"/>
  <c r="E193" i="39"/>
  <c r="F193" i="39"/>
  <c r="G193" i="39"/>
  <c r="H193" i="39"/>
  <c r="I193" i="39"/>
  <c r="A194" i="39"/>
  <c r="AI194" i="39" s="1"/>
  <c r="E194" i="39"/>
  <c r="F194" i="39"/>
  <c r="G194" i="39"/>
  <c r="H194" i="39"/>
  <c r="I194" i="39"/>
  <c r="A195" i="39"/>
  <c r="AI195" i="39" s="1"/>
  <c r="E195" i="39"/>
  <c r="F195" i="39"/>
  <c r="G195" i="39"/>
  <c r="H195" i="39"/>
  <c r="I195" i="39"/>
  <c r="J195" i="39"/>
  <c r="K195" i="39"/>
  <c r="L195" i="39"/>
  <c r="M195" i="39"/>
  <c r="N195" i="39"/>
  <c r="O195" i="39"/>
  <c r="P195" i="39"/>
  <c r="A196" i="39"/>
  <c r="AI196" i="39" s="1"/>
  <c r="B196" i="39"/>
  <c r="C196" i="39"/>
  <c r="D196" i="39"/>
  <c r="E196" i="39"/>
  <c r="F196" i="39"/>
  <c r="G196" i="39"/>
  <c r="H196" i="39"/>
  <c r="I196" i="39"/>
  <c r="A197" i="39"/>
  <c r="AI197" i="39" s="1"/>
  <c r="B197" i="39"/>
  <c r="C197" i="39"/>
  <c r="D197" i="39"/>
  <c r="E197" i="39"/>
  <c r="K197" i="39"/>
  <c r="L197" i="39"/>
  <c r="M197" i="39"/>
  <c r="N197" i="39"/>
  <c r="O197" i="39"/>
  <c r="P197" i="39"/>
  <c r="A198" i="39"/>
  <c r="AI198" i="39" s="1"/>
  <c r="A199" i="39"/>
  <c r="AI199" i="39" s="1"/>
  <c r="B199" i="39"/>
  <c r="C199" i="39"/>
  <c r="D199" i="39"/>
  <c r="E199" i="39"/>
  <c r="F199" i="39"/>
  <c r="G199" i="39"/>
  <c r="H199" i="39"/>
  <c r="I199" i="39"/>
  <c r="J199" i="39"/>
  <c r="AJ199" i="39" s="1"/>
  <c r="K199" i="39"/>
  <c r="AK199" i="39" s="1"/>
  <c r="L199" i="39"/>
  <c r="AL199" i="39" s="1"/>
  <c r="M199" i="39"/>
  <c r="AM199" i="39" s="1"/>
  <c r="N199" i="39"/>
  <c r="AN199" i="39" s="1"/>
  <c r="O199" i="39"/>
  <c r="AO199" i="39" s="1"/>
  <c r="P199" i="39"/>
  <c r="AP199" i="39" s="1"/>
  <c r="A200" i="39"/>
  <c r="AI200" i="39" s="1"/>
  <c r="B200" i="39"/>
  <c r="K200" i="39"/>
  <c r="L200" i="39"/>
  <c r="M200" i="39"/>
  <c r="N200" i="39"/>
  <c r="O200" i="39"/>
  <c r="P200" i="39"/>
  <c r="A201" i="39"/>
  <c r="AI201" i="39" s="1"/>
  <c r="A202" i="39"/>
  <c r="AI202" i="39" s="1"/>
  <c r="A203" i="39"/>
  <c r="B203" i="39"/>
  <c r="A204" i="39"/>
  <c r="B204" i="39"/>
  <c r="C204" i="39"/>
  <c r="D204" i="39"/>
  <c r="E204" i="39"/>
  <c r="F204" i="39"/>
  <c r="G204" i="39"/>
  <c r="H204" i="39"/>
  <c r="I204" i="39"/>
  <c r="J204" i="39"/>
  <c r="K204" i="39"/>
  <c r="L204" i="39"/>
  <c r="M204" i="39"/>
  <c r="N204" i="39"/>
  <c r="O204" i="39"/>
  <c r="P204" i="39"/>
  <c r="A205" i="39"/>
  <c r="AI205" i="39" s="1"/>
  <c r="A206" i="39"/>
  <c r="B206" i="39"/>
  <c r="C206" i="39"/>
  <c r="D206" i="39"/>
  <c r="E206" i="39"/>
  <c r="F206" i="39"/>
  <c r="G206" i="39"/>
  <c r="H206" i="39"/>
  <c r="I206" i="39"/>
  <c r="J206" i="39"/>
  <c r="K206" i="39"/>
  <c r="L206" i="39"/>
  <c r="M206" i="39"/>
  <c r="N206" i="39"/>
  <c r="O206" i="39"/>
  <c r="P206" i="39"/>
  <c r="B190" i="39"/>
  <c r="A190" i="39"/>
  <c r="A161" i="39"/>
  <c r="AI161" i="39" s="1"/>
  <c r="A162" i="39"/>
  <c r="A163" i="39"/>
  <c r="AI163" i="39" s="1"/>
  <c r="A164" i="39"/>
  <c r="AI164" i="39" s="1"/>
  <c r="A165" i="39"/>
  <c r="AI165" i="39" s="1"/>
  <c r="A166" i="39"/>
  <c r="AI166" i="39" s="1"/>
  <c r="A167" i="39"/>
  <c r="AI167" i="39" s="1"/>
  <c r="B167" i="39"/>
  <c r="C167" i="39"/>
  <c r="D167" i="39"/>
  <c r="A168" i="39"/>
  <c r="B168" i="39"/>
  <c r="C168" i="39"/>
  <c r="D168" i="39"/>
  <c r="E168" i="39"/>
  <c r="F168" i="39"/>
  <c r="G168" i="39"/>
  <c r="H168" i="39"/>
  <c r="I168" i="39"/>
  <c r="K168" i="39"/>
  <c r="L168" i="39"/>
  <c r="M168" i="39"/>
  <c r="N168" i="39"/>
  <c r="O168" i="39"/>
  <c r="P168" i="39"/>
  <c r="A170" i="39"/>
  <c r="AI170" i="39" s="1"/>
  <c r="J170" i="39"/>
  <c r="AJ170" i="39" s="1"/>
  <c r="K170" i="39"/>
  <c r="AK170" i="39" s="1"/>
  <c r="L170" i="39"/>
  <c r="AL170" i="39" s="1"/>
  <c r="M170" i="39"/>
  <c r="AM170" i="39" s="1"/>
  <c r="N170" i="39"/>
  <c r="AN170" i="39" s="1"/>
  <c r="O170" i="39"/>
  <c r="AO170" i="39" s="1"/>
  <c r="P170" i="39"/>
  <c r="AP170" i="39" s="1"/>
  <c r="A171" i="39"/>
  <c r="AI171" i="39" s="1"/>
  <c r="A172" i="39"/>
  <c r="AI172" i="39" s="1"/>
  <c r="A173" i="39"/>
  <c r="AI173" i="39" s="1"/>
  <c r="A174" i="39"/>
  <c r="B174" i="39"/>
  <c r="C174" i="39"/>
  <c r="D174" i="39"/>
  <c r="E174" i="39"/>
  <c r="F174" i="39"/>
  <c r="G174" i="39"/>
  <c r="H174" i="39"/>
  <c r="I174" i="39"/>
  <c r="J174" i="39"/>
  <c r="K174" i="39"/>
  <c r="L174" i="39"/>
  <c r="M174" i="39"/>
  <c r="N174" i="39"/>
  <c r="O174" i="39"/>
  <c r="P174" i="39"/>
  <c r="A175" i="39"/>
  <c r="AI175" i="39" s="1"/>
  <c r="A176" i="39"/>
  <c r="AI176" i="39" s="1"/>
  <c r="B176" i="39"/>
  <c r="C176" i="39"/>
  <c r="D176" i="39"/>
  <c r="A177" i="39"/>
  <c r="AI177" i="39" s="1"/>
  <c r="A178" i="39"/>
  <c r="B178" i="39"/>
  <c r="C178" i="39"/>
  <c r="D178" i="39"/>
  <c r="E178" i="39"/>
  <c r="F178" i="39"/>
  <c r="G178" i="39"/>
  <c r="H178" i="39"/>
  <c r="I178" i="39"/>
  <c r="J178" i="39"/>
  <c r="K178" i="39"/>
  <c r="L178" i="39"/>
  <c r="M178" i="39"/>
  <c r="N178" i="39"/>
  <c r="O178" i="39"/>
  <c r="P178" i="39"/>
  <c r="A179" i="39"/>
  <c r="B179" i="39"/>
  <c r="C179" i="39"/>
  <c r="D179" i="39"/>
  <c r="E179" i="39"/>
  <c r="F179" i="39"/>
  <c r="G179" i="39"/>
  <c r="I179" i="39"/>
  <c r="J179" i="39"/>
  <c r="K179" i="39"/>
  <c r="L179" i="39"/>
  <c r="M179" i="39"/>
  <c r="N179" i="39"/>
  <c r="O179" i="39"/>
  <c r="P179" i="39"/>
  <c r="A180" i="39"/>
  <c r="B180" i="39"/>
  <c r="C180" i="39"/>
  <c r="D180" i="39"/>
  <c r="E180" i="39"/>
  <c r="F180" i="39"/>
  <c r="G180" i="39"/>
  <c r="H180" i="39"/>
  <c r="I180" i="39"/>
  <c r="J180" i="39"/>
  <c r="K180" i="39"/>
  <c r="L180" i="39"/>
  <c r="M180" i="39"/>
  <c r="N180" i="39"/>
  <c r="O180" i="39"/>
  <c r="P180" i="39"/>
  <c r="A181" i="39"/>
  <c r="AI181" i="39" s="1"/>
  <c r="B181" i="39"/>
  <c r="C181" i="39"/>
  <c r="D181" i="39"/>
  <c r="A182" i="39"/>
  <c r="AI182" i="39" s="1"/>
  <c r="B182" i="39"/>
  <c r="C182" i="39"/>
  <c r="D182" i="39"/>
  <c r="A183" i="39"/>
  <c r="AI183" i="39" s="1"/>
  <c r="B183" i="39"/>
  <c r="C183" i="39"/>
  <c r="D183" i="39"/>
  <c r="E183" i="39"/>
  <c r="F183" i="39"/>
  <c r="G183" i="39"/>
  <c r="H183" i="39"/>
  <c r="I183" i="39"/>
  <c r="J183" i="39"/>
  <c r="A184" i="39"/>
  <c r="AI184" i="39" s="1"/>
  <c r="B184" i="39"/>
  <c r="C184" i="39"/>
  <c r="D184" i="39"/>
  <c r="E184" i="39"/>
  <c r="F184" i="39"/>
  <c r="G184" i="39"/>
  <c r="H184" i="39"/>
  <c r="I184" i="39"/>
  <c r="J184" i="39"/>
  <c r="A160" i="39"/>
  <c r="A3" i="39"/>
  <c r="B3" i="39"/>
  <c r="C3" i="39"/>
  <c r="D3" i="39"/>
  <c r="E3" i="39"/>
  <c r="F3" i="39"/>
  <c r="G3" i="39"/>
  <c r="H3" i="39"/>
  <c r="I3" i="39"/>
  <c r="J3" i="39"/>
  <c r="K3" i="39"/>
  <c r="L3" i="39"/>
  <c r="M3" i="39"/>
  <c r="N3" i="39"/>
  <c r="O3" i="39"/>
  <c r="P3" i="39"/>
  <c r="A4" i="39"/>
  <c r="B4" i="39"/>
  <c r="C4" i="39"/>
  <c r="D4" i="39"/>
  <c r="E4" i="39"/>
  <c r="F4" i="39"/>
  <c r="G4" i="39"/>
  <c r="H4" i="39"/>
  <c r="I4" i="39"/>
  <c r="J4" i="39"/>
  <c r="K4" i="39"/>
  <c r="L4" i="39"/>
  <c r="M4" i="39"/>
  <c r="N4" i="39"/>
  <c r="O4" i="39"/>
  <c r="P4" i="39"/>
  <c r="B2" i="39"/>
  <c r="C2" i="39"/>
  <c r="D2" i="39"/>
  <c r="E2" i="39"/>
  <c r="F2" i="39"/>
  <c r="G2" i="39"/>
  <c r="H2" i="39"/>
  <c r="I2" i="39"/>
  <c r="J2" i="39"/>
  <c r="AJ2" i="39" s="1"/>
  <c r="K2" i="39"/>
  <c r="AK2" i="39" s="1"/>
  <c r="L2" i="39"/>
  <c r="AL2" i="39" s="1"/>
  <c r="M2" i="39"/>
  <c r="AM2" i="39" s="1"/>
  <c r="N2" i="39"/>
  <c r="AN2" i="39" s="1"/>
  <c r="O2" i="39"/>
  <c r="AO2" i="39" s="1"/>
  <c r="P2" i="39"/>
  <c r="AP2" i="39" s="1"/>
  <c r="B6" i="39"/>
  <c r="C6" i="39"/>
  <c r="D6" i="39"/>
  <c r="E6" i="39"/>
  <c r="F6" i="39"/>
  <c r="G6" i="39"/>
  <c r="H6" i="39"/>
  <c r="I6" i="39"/>
  <c r="B7" i="39"/>
  <c r="C7" i="39"/>
  <c r="D7" i="39"/>
  <c r="E7" i="39"/>
  <c r="F7" i="39"/>
  <c r="G7" i="39"/>
  <c r="H7" i="39"/>
  <c r="I7" i="39"/>
  <c r="B8" i="39"/>
  <c r="C8" i="39"/>
  <c r="D8" i="39"/>
  <c r="E8" i="39"/>
  <c r="F8" i="39"/>
  <c r="G8" i="39"/>
  <c r="H8" i="39"/>
  <c r="I8" i="39"/>
  <c r="B9" i="39"/>
  <c r="C9" i="39"/>
  <c r="D9" i="39"/>
  <c r="E9" i="39"/>
  <c r="F9" i="39"/>
  <c r="G9" i="39"/>
  <c r="H9" i="39"/>
  <c r="I9" i="39"/>
  <c r="B11" i="39"/>
  <c r="B12" i="39"/>
  <c r="C12" i="39"/>
  <c r="D12" i="39"/>
  <c r="E12" i="39"/>
  <c r="F12" i="39"/>
  <c r="G12" i="39"/>
  <c r="H12" i="39"/>
  <c r="I12" i="39"/>
  <c r="J12" i="39"/>
  <c r="K12" i="39"/>
  <c r="L12" i="39"/>
  <c r="M12" i="39"/>
  <c r="N12" i="39"/>
  <c r="O12" i="39"/>
  <c r="P12" i="39"/>
  <c r="B13" i="39"/>
  <c r="C13" i="39"/>
  <c r="D13" i="39"/>
  <c r="E13" i="39"/>
  <c r="F13" i="39"/>
  <c r="G13" i="39"/>
  <c r="H13" i="39"/>
  <c r="I13" i="39"/>
  <c r="J13" i="39"/>
  <c r="K13" i="39"/>
  <c r="L13" i="39"/>
  <c r="M13" i="39"/>
  <c r="N13" i="39"/>
  <c r="O13" i="39"/>
  <c r="P13" i="39"/>
  <c r="B14" i="39"/>
  <c r="C14" i="39"/>
  <c r="D14" i="39"/>
  <c r="E14" i="39"/>
  <c r="F14" i="39"/>
  <c r="G14" i="39"/>
  <c r="H14" i="39"/>
  <c r="I14" i="39"/>
  <c r="J14" i="39"/>
  <c r="K14" i="39"/>
  <c r="L14" i="39"/>
  <c r="M14" i="39"/>
  <c r="N14" i="39"/>
  <c r="O14" i="39"/>
  <c r="P14" i="39"/>
  <c r="B15" i="39"/>
  <c r="C15" i="39"/>
  <c r="D15" i="39"/>
  <c r="E15" i="39"/>
  <c r="F15" i="39"/>
  <c r="G15" i="39"/>
  <c r="H15" i="39"/>
  <c r="I15" i="39"/>
  <c r="N15" i="39"/>
  <c r="O15" i="39"/>
  <c r="P15" i="39"/>
  <c r="B16" i="39"/>
  <c r="C16" i="39"/>
  <c r="D16" i="39"/>
  <c r="E16" i="39"/>
  <c r="F16" i="39"/>
  <c r="G16" i="39"/>
  <c r="H16" i="39"/>
  <c r="I16" i="39"/>
  <c r="J16" i="39"/>
  <c r="K16" i="39"/>
  <c r="L16" i="39"/>
  <c r="M16" i="39"/>
  <c r="N16" i="39"/>
  <c r="O16" i="39"/>
  <c r="P16" i="39"/>
  <c r="B17" i="39"/>
  <c r="C17" i="39"/>
  <c r="D17" i="39"/>
  <c r="E17" i="39"/>
  <c r="F17" i="39"/>
  <c r="G17" i="39"/>
  <c r="J17" i="39"/>
  <c r="K17" i="39"/>
  <c r="L17" i="39"/>
  <c r="M17" i="39"/>
  <c r="N17" i="39"/>
  <c r="O17" i="39"/>
  <c r="P17" i="39"/>
  <c r="B18" i="39"/>
  <c r="C18" i="39"/>
  <c r="D18" i="39"/>
  <c r="E18" i="39"/>
  <c r="F18" i="39"/>
  <c r="G18" i="39"/>
  <c r="J18" i="39"/>
  <c r="K18" i="39"/>
  <c r="L18" i="39"/>
  <c r="M18" i="39"/>
  <c r="N18" i="39"/>
  <c r="O18" i="39"/>
  <c r="P18" i="39"/>
  <c r="B19" i="39"/>
  <c r="C19" i="39"/>
  <c r="D19" i="39"/>
  <c r="E19" i="39"/>
  <c r="F19" i="39"/>
  <c r="G19" i="39"/>
  <c r="K19" i="39"/>
  <c r="L19" i="39"/>
  <c r="M19" i="39"/>
  <c r="N19" i="39"/>
  <c r="O19" i="39"/>
  <c r="P19" i="39"/>
  <c r="B20" i="39"/>
  <c r="C20" i="39"/>
  <c r="D20" i="39"/>
  <c r="E20" i="39"/>
  <c r="F20" i="39"/>
  <c r="G20" i="39"/>
  <c r="K20" i="39"/>
  <c r="L20" i="39"/>
  <c r="M20" i="39"/>
  <c r="N20" i="39"/>
  <c r="O20" i="39"/>
  <c r="P20" i="39"/>
  <c r="B21" i="39"/>
  <c r="C21" i="39"/>
  <c r="D21" i="39"/>
  <c r="E21" i="39"/>
  <c r="F21" i="39"/>
  <c r="G21" i="39"/>
  <c r="H21" i="39"/>
  <c r="I21" i="39"/>
  <c r="J21" i="39"/>
  <c r="K21" i="39"/>
  <c r="L21" i="39"/>
  <c r="M21" i="39"/>
  <c r="N21" i="39"/>
  <c r="O21" i="39"/>
  <c r="P21" i="39"/>
  <c r="B22" i="39"/>
  <c r="C22" i="39"/>
  <c r="D22" i="39"/>
  <c r="E22" i="39"/>
  <c r="F22" i="39"/>
  <c r="G22" i="39"/>
  <c r="H22" i="39"/>
  <c r="I22" i="39"/>
  <c r="J22" i="39"/>
  <c r="K22" i="39"/>
  <c r="L22" i="39"/>
  <c r="M22" i="39"/>
  <c r="N22" i="39"/>
  <c r="O22" i="39"/>
  <c r="P22" i="39"/>
  <c r="B23" i="39"/>
  <c r="C23" i="39"/>
  <c r="D23" i="39"/>
  <c r="E23" i="39"/>
  <c r="F23" i="39"/>
  <c r="G23" i="39"/>
  <c r="H23" i="39"/>
  <c r="I23" i="39"/>
  <c r="J23" i="39"/>
  <c r="K23" i="39"/>
  <c r="L23" i="39"/>
  <c r="M23" i="39"/>
  <c r="N23" i="39"/>
  <c r="O23" i="39"/>
  <c r="P23" i="39"/>
  <c r="B25" i="39"/>
  <c r="C25" i="39"/>
  <c r="D25" i="39"/>
  <c r="E25" i="39"/>
  <c r="F25" i="39"/>
  <c r="G25" i="39"/>
  <c r="H25" i="39"/>
  <c r="I25" i="39"/>
  <c r="B26" i="39"/>
  <c r="C26" i="39"/>
  <c r="D26" i="39"/>
  <c r="E26" i="39"/>
  <c r="F26" i="39"/>
  <c r="G26" i="39"/>
  <c r="H26" i="39"/>
  <c r="I26" i="39"/>
  <c r="B27" i="39"/>
  <c r="C27" i="39"/>
  <c r="D27" i="39"/>
  <c r="E27" i="39"/>
  <c r="F27" i="39"/>
  <c r="G27" i="39"/>
  <c r="H27" i="39"/>
  <c r="I27" i="39"/>
  <c r="B28" i="39"/>
  <c r="C28" i="39"/>
  <c r="D28" i="39"/>
  <c r="E28" i="39"/>
  <c r="F28" i="39"/>
  <c r="G28" i="39"/>
  <c r="H28" i="39"/>
  <c r="I28" i="39"/>
  <c r="B29" i="39"/>
  <c r="C29" i="39"/>
  <c r="D29" i="39"/>
  <c r="E29" i="39"/>
  <c r="F29" i="39"/>
  <c r="G29" i="39"/>
  <c r="H29" i="39"/>
  <c r="I29" i="39"/>
  <c r="B32" i="39"/>
  <c r="B33" i="39"/>
  <c r="C33" i="39"/>
  <c r="D33" i="39"/>
  <c r="E33" i="39"/>
  <c r="F33" i="39"/>
  <c r="G33" i="39"/>
  <c r="H33" i="39"/>
  <c r="I33" i="39"/>
  <c r="J33" i="39"/>
  <c r="K33" i="39"/>
  <c r="L33" i="39"/>
  <c r="M33" i="39"/>
  <c r="N33" i="39"/>
  <c r="O33" i="39"/>
  <c r="P33" i="39"/>
  <c r="B34" i="39"/>
  <c r="C34" i="39"/>
  <c r="D34" i="39"/>
  <c r="E34" i="39"/>
  <c r="F34" i="39"/>
  <c r="G34" i="39"/>
  <c r="H34" i="39"/>
  <c r="I34" i="39"/>
  <c r="J34" i="39"/>
  <c r="K34" i="39"/>
  <c r="L34" i="39"/>
  <c r="M34" i="39"/>
  <c r="N34" i="39"/>
  <c r="O34" i="39"/>
  <c r="P34" i="39"/>
  <c r="B35" i="39"/>
  <c r="C35" i="39"/>
  <c r="D35" i="39"/>
  <c r="E35" i="39"/>
  <c r="F35" i="39"/>
  <c r="G35" i="39"/>
  <c r="H35" i="39"/>
  <c r="I35" i="39"/>
  <c r="N35" i="39"/>
  <c r="O35" i="39"/>
  <c r="P35" i="39"/>
  <c r="B36" i="39"/>
  <c r="C36" i="39"/>
  <c r="D36" i="39"/>
  <c r="E36" i="39"/>
  <c r="F36" i="39"/>
  <c r="G36" i="39"/>
  <c r="H36" i="39"/>
  <c r="I36" i="39"/>
  <c r="J36" i="39"/>
  <c r="K36" i="39"/>
  <c r="L36" i="39"/>
  <c r="M36" i="39"/>
  <c r="N36" i="39"/>
  <c r="O36" i="39"/>
  <c r="P36" i="39"/>
  <c r="B37" i="39"/>
  <c r="C37" i="39"/>
  <c r="D37" i="39"/>
  <c r="E37" i="39"/>
  <c r="F37" i="39"/>
  <c r="G37" i="39"/>
  <c r="H37" i="39"/>
  <c r="I37" i="39"/>
  <c r="J37" i="39"/>
  <c r="K37" i="39"/>
  <c r="L37" i="39"/>
  <c r="M37" i="39"/>
  <c r="N37" i="39"/>
  <c r="O37" i="39"/>
  <c r="P37" i="39"/>
  <c r="B38" i="39"/>
  <c r="C38" i="39"/>
  <c r="D38" i="39"/>
  <c r="B39" i="39"/>
  <c r="C39" i="39"/>
  <c r="D39" i="39"/>
  <c r="E39" i="39"/>
  <c r="F39" i="39"/>
  <c r="G39" i="39"/>
  <c r="H39" i="39"/>
  <c r="I39" i="39"/>
  <c r="J39" i="39"/>
  <c r="K39" i="39"/>
  <c r="L39" i="39"/>
  <c r="M39" i="39"/>
  <c r="N39" i="39"/>
  <c r="O39" i="39"/>
  <c r="P39" i="39"/>
  <c r="B40" i="39"/>
  <c r="C40" i="39"/>
  <c r="D40" i="39"/>
  <c r="E40" i="39"/>
  <c r="F40" i="39"/>
  <c r="G40" i="39"/>
  <c r="H40" i="39"/>
  <c r="I40" i="39"/>
  <c r="J40" i="39"/>
  <c r="K40" i="39"/>
  <c r="L40" i="39"/>
  <c r="M40" i="39"/>
  <c r="N40" i="39"/>
  <c r="O40" i="39"/>
  <c r="P40" i="39"/>
  <c r="B41" i="39"/>
  <c r="C41" i="39"/>
  <c r="D41" i="39"/>
  <c r="E41" i="39"/>
  <c r="F41" i="39"/>
  <c r="G41" i="39"/>
  <c r="H41" i="39"/>
  <c r="I41" i="39"/>
  <c r="J41" i="39"/>
  <c r="K41" i="39"/>
  <c r="L41" i="39"/>
  <c r="M41" i="39"/>
  <c r="N41" i="39"/>
  <c r="O41" i="39"/>
  <c r="P41" i="39"/>
  <c r="B42" i="39"/>
  <c r="C42" i="39"/>
  <c r="D42" i="39"/>
  <c r="E42" i="39"/>
  <c r="F42" i="39"/>
  <c r="G42" i="39"/>
  <c r="H42" i="39"/>
  <c r="I42" i="39"/>
  <c r="J42" i="39"/>
  <c r="K42" i="39"/>
  <c r="L42" i="39"/>
  <c r="M42" i="39"/>
  <c r="N42" i="39"/>
  <c r="O42" i="39"/>
  <c r="P42" i="39"/>
  <c r="B43" i="39"/>
  <c r="C43" i="39"/>
  <c r="D43" i="39"/>
  <c r="E43" i="39"/>
  <c r="F43" i="39"/>
  <c r="G43" i="39"/>
  <c r="H43" i="39"/>
  <c r="I43" i="39"/>
  <c r="J43" i="39"/>
  <c r="K43" i="39"/>
  <c r="L43" i="39"/>
  <c r="M43" i="39"/>
  <c r="N43" i="39"/>
  <c r="O43" i="39"/>
  <c r="P43" i="39"/>
  <c r="B44" i="39"/>
  <c r="C44" i="39"/>
  <c r="D44" i="39"/>
  <c r="E44" i="39"/>
  <c r="F44" i="39"/>
  <c r="G44" i="39"/>
  <c r="H44" i="39"/>
  <c r="I44" i="39"/>
  <c r="J44" i="39"/>
  <c r="K44" i="39"/>
  <c r="L44" i="39"/>
  <c r="M44" i="39"/>
  <c r="N44" i="39"/>
  <c r="O44" i="39"/>
  <c r="P44" i="39"/>
  <c r="B45" i="39"/>
  <c r="C45" i="39"/>
  <c r="D45" i="39"/>
  <c r="E45" i="39"/>
  <c r="F45" i="39"/>
  <c r="G45" i="39"/>
  <c r="H45" i="39"/>
  <c r="I45" i="39"/>
  <c r="J45" i="39"/>
  <c r="K45" i="39"/>
  <c r="L45" i="39"/>
  <c r="M45" i="39"/>
  <c r="N45" i="39"/>
  <c r="O45" i="39"/>
  <c r="P45" i="39"/>
  <c r="B46" i="39"/>
  <c r="C46" i="39"/>
  <c r="D46" i="39"/>
  <c r="E46" i="39"/>
  <c r="F46" i="39"/>
  <c r="G46" i="39"/>
  <c r="H46" i="39"/>
  <c r="I46" i="39"/>
  <c r="J46" i="39"/>
  <c r="K46" i="39"/>
  <c r="L46" i="39"/>
  <c r="M46" i="39"/>
  <c r="N46" i="39"/>
  <c r="O46" i="39"/>
  <c r="P46" i="39"/>
  <c r="B47" i="39"/>
  <c r="C47" i="39"/>
  <c r="D47" i="39"/>
  <c r="E47" i="39"/>
  <c r="F47" i="39"/>
  <c r="G47" i="39"/>
  <c r="H47" i="39"/>
  <c r="I47" i="39"/>
  <c r="J47" i="39"/>
  <c r="K47" i="39"/>
  <c r="L47" i="39"/>
  <c r="M47" i="39"/>
  <c r="N47" i="39"/>
  <c r="O47" i="39"/>
  <c r="P47" i="39"/>
  <c r="B48" i="39"/>
  <c r="C48" i="39"/>
  <c r="D48" i="39"/>
  <c r="E48" i="39"/>
  <c r="F48" i="39"/>
  <c r="G48" i="39"/>
  <c r="H48" i="39"/>
  <c r="I48" i="39"/>
  <c r="J48" i="39"/>
  <c r="K48" i="39"/>
  <c r="L48" i="39"/>
  <c r="M48" i="39"/>
  <c r="N48" i="39"/>
  <c r="O48" i="39"/>
  <c r="P48" i="39"/>
  <c r="B49" i="39"/>
  <c r="C49" i="39"/>
  <c r="D49" i="39"/>
  <c r="E49" i="39"/>
  <c r="F49" i="39"/>
  <c r="G49" i="39"/>
  <c r="H49" i="39"/>
  <c r="J49" i="39"/>
  <c r="K49" i="39"/>
  <c r="L49" i="39"/>
  <c r="M49" i="39"/>
  <c r="N49" i="39"/>
  <c r="O49" i="39"/>
  <c r="P49" i="39"/>
  <c r="B50" i="39"/>
  <c r="C50" i="39"/>
  <c r="D50" i="39"/>
  <c r="B51" i="39"/>
  <c r="C51" i="39"/>
  <c r="D51" i="39"/>
  <c r="B52" i="39"/>
  <c r="C52" i="39"/>
  <c r="D52" i="39"/>
  <c r="E52" i="39"/>
  <c r="F52" i="39"/>
  <c r="G52" i="39"/>
  <c r="H52" i="39"/>
  <c r="I52" i="39"/>
  <c r="J52" i="39"/>
  <c r="K52" i="39"/>
  <c r="L52" i="39"/>
  <c r="M52" i="39"/>
  <c r="N52" i="39"/>
  <c r="O52" i="39"/>
  <c r="P52" i="39"/>
  <c r="B53" i="39"/>
  <c r="C53" i="39"/>
  <c r="D53" i="39"/>
  <c r="E53" i="39"/>
  <c r="F53" i="39"/>
  <c r="G53" i="39"/>
  <c r="H53" i="39"/>
  <c r="I53" i="39"/>
  <c r="B54" i="39"/>
  <c r="C54" i="39"/>
  <c r="D54" i="39"/>
  <c r="E54" i="39"/>
  <c r="F54" i="39"/>
  <c r="G54" i="39"/>
  <c r="H54" i="39"/>
  <c r="I54" i="39"/>
  <c r="B55" i="39"/>
  <c r="C55" i="39"/>
  <c r="D55" i="39"/>
  <c r="B56" i="39"/>
  <c r="C56" i="39"/>
  <c r="D56" i="39"/>
  <c r="B57" i="39"/>
  <c r="C57" i="39"/>
  <c r="D57" i="39"/>
  <c r="E57" i="39"/>
  <c r="B58" i="39"/>
  <c r="C58" i="39"/>
  <c r="D58" i="39"/>
  <c r="E58" i="39"/>
  <c r="F58" i="39"/>
  <c r="G58" i="39"/>
  <c r="H58" i="39"/>
  <c r="I58" i="39"/>
  <c r="J58" i="39"/>
  <c r="K58" i="39"/>
  <c r="L58" i="39"/>
  <c r="M58" i="39"/>
  <c r="N58" i="39"/>
  <c r="O58" i="39"/>
  <c r="P58" i="39"/>
  <c r="B59" i="39"/>
  <c r="C59" i="39"/>
  <c r="D59" i="39"/>
  <c r="B60" i="39"/>
  <c r="C60" i="39"/>
  <c r="D60" i="39"/>
  <c r="E60" i="39"/>
  <c r="K60" i="39"/>
  <c r="AK60" i="39" s="1"/>
  <c r="L60" i="39"/>
  <c r="AL60" i="39" s="1"/>
  <c r="B61" i="39"/>
  <c r="C61" i="39"/>
  <c r="D61" i="39"/>
  <c r="B62" i="39"/>
  <c r="C62" i="39"/>
  <c r="D62" i="39"/>
  <c r="E62" i="39"/>
  <c r="F62" i="39"/>
  <c r="G62" i="39"/>
  <c r="H62" i="39"/>
  <c r="I62" i="39"/>
  <c r="J62" i="39"/>
  <c r="K62" i="39"/>
  <c r="L62" i="39"/>
  <c r="M62" i="39"/>
  <c r="N62" i="39"/>
  <c r="O62" i="39"/>
  <c r="P62" i="39"/>
  <c r="B63" i="39"/>
  <c r="C63" i="39"/>
  <c r="D63" i="39"/>
  <c r="E63" i="39"/>
  <c r="J63" i="39"/>
  <c r="K63" i="39"/>
  <c r="L63" i="39"/>
  <c r="M63" i="39"/>
  <c r="B64" i="39"/>
  <c r="C64" i="39"/>
  <c r="D64" i="39"/>
  <c r="E64" i="39"/>
  <c r="F64" i="39"/>
  <c r="G64" i="39"/>
  <c r="H64" i="39"/>
  <c r="I64" i="39"/>
  <c r="J64" i="39"/>
  <c r="K64" i="39"/>
  <c r="L64" i="39"/>
  <c r="M64" i="39"/>
  <c r="N64" i="39"/>
  <c r="O64" i="39"/>
  <c r="P64" i="39"/>
  <c r="B65" i="39"/>
  <c r="C65" i="39"/>
  <c r="D65" i="39"/>
  <c r="E65" i="39"/>
  <c r="F65" i="39"/>
  <c r="G65" i="39"/>
  <c r="H65" i="39"/>
  <c r="I65" i="39"/>
  <c r="J65" i="39"/>
  <c r="K65" i="39"/>
  <c r="L65" i="39"/>
  <c r="M65" i="39"/>
  <c r="N65" i="39"/>
  <c r="O65" i="39"/>
  <c r="P65" i="39"/>
  <c r="B66" i="39"/>
  <c r="C66" i="39"/>
  <c r="D66" i="39"/>
  <c r="E66" i="39"/>
  <c r="F66" i="39"/>
  <c r="G66" i="39"/>
  <c r="H66" i="39"/>
  <c r="I66" i="39"/>
  <c r="J66" i="39"/>
  <c r="K66" i="39"/>
  <c r="L66" i="39"/>
  <c r="M66" i="39"/>
  <c r="N66" i="39"/>
  <c r="O66" i="39"/>
  <c r="P66" i="39"/>
  <c r="B68" i="39"/>
  <c r="C68" i="39"/>
  <c r="D68" i="39"/>
  <c r="E68" i="39"/>
  <c r="F68" i="39"/>
  <c r="G68" i="39"/>
  <c r="H68" i="39"/>
  <c r="I68" i="39"/>
  <c r="J68" i="39"/>
  <c r="K68" i="39"/>
  <c r="B69" i="39"/>
  <c r="C69" i="39"/>
  <c r="D69" i="39"/>
  <c r="E69" i="39"/>
  <c r="F69" i="39"/>
  <c r="G69" i="39"/>
  <c r="H69" i="39"/>
  <c r="I69" i="39"/>
  <c r="J69" i="39"/>
  <c r="B70" i="39"/>
  <c r="C70" i="39"/>
  <c r="D70" i="39"/>
  <c r="E70" i="39"/>
  <c r="F70" i="39"/>
  <c r="G70" i="39"/>
  <c r="H70" i="39"/>
  <c r="I70" i="39"/>
  <c r="J70" i="39"/>
  <c r="K70" i="39"/>
  <c r="L70" i="39"/>
  <c r="M70" i="39"/>
  <c r="N70" i="39"/>
  <c r="O70" i="39"/>
  <c r="P70" i="39"/>
  <c r="B71" i="39"/>
  <c r="B72" i="39"/>
  <c r="K72" i="39"/>
  <c r="L72" i="39"/>
  <c r="M72" i="39"/>
  <c r="N72" i="39"/>
  <c r="O72" i="39"/>
  <c r="P72" i="39"/>
  <c r="B73" i="39"/>
  <c r="C73" i="39"/>
  <c r="D73" i="39"/>
  <c r="E73" i="39"/>
  <c r="F73" i="39"/>
  <c r="G73" i="39"/>
  <c r="H73" i="39"/>
  <c r="I73" i="39"/>
  <c r="J73" i="39"/>
  <c r="K73" i="39"/>
  <c r="L73" i="39"/>
  <c r="M73" i="39"/>
  <c r="N73" i="39"/>
  <c r="O73" i="39"/>
  <c r="P73" i="39"/>
  <c r="B74" i="39"/>
  <c r="C74" i="39"/>
  <c r="D74" i="39"/>
  <c r="E74" i="39"/>
  <c r="F74" i="39"/>
  <c r="G74" i="39"/>
  <c r="H74" i="39"/>
  <c r="I74" i="39"/>
  <c r="J74" i="39"/>
  <c r="K74" i="39"/>
  <c r="L74" i="39"/>
  <c r="M74" i="39"/>
  <c r="N74" i="39"/>
  <c r="O74" i="39"/>
  <c r="P74" i="39"/>
  <c r="B75" i="39"/>
  <c r="C75" i="39"/>
  <c r="D75" i="39"/>
  <c r="E75" i="39"/>
  <c r="F75" i="39"/>
  <c r="G75" i="39"/>
  <c r="H75" i="39"/>
  <c r="I75" i="39"/>
  <c r="N75" i="39"/>
  <c r="O75" i="39"/>
  <c r="P75" i="39"/>
  <c r="B76" i="39"/>
  <c r="C76" i="39"/>
  <c r="D76" i="39"/>
  <c r="E76" i="39"/>
  <c r="F76" i="39"/>
  <c r="G76" i="39"/>
  <c r="H76" i="39"/>
  <c r="I76" i="39"/>
  <c r="J76" i="39"/>
  <c r="K76" i="39"/>
  <c r="L76" i="39"/>
  <c r="M76" i="39"/>
  <c r="N76" i="39"/>
  <c r="O76" i="39"/>
  <c r="P76" i="39"/>
  <c r="B77" i="39"/>
  <c r="C77" i="39"/>
  <c r="D77" i="39"/>
  <c r="E77" i="39"/>
  <c r="F77" i="39"/>
  <c r="G77" i="39"/>
  <c r="H77" i="39"/>
  <c r="I77" i="39"/>
  <c r="J77" i="39"/>
  <c r="K77" i="39"/>
  <c r="L77" i="39"/>
  <c r="M77" i="39"/>
  <c r="N77" i="39"/>
  <c r="O77" i="39"/>
  <c r="P77" i="39"/>
  <c r="B78" i="39"/>
  <c r="C78" i="39"/>
  <c r="D78" i="39"/>
  <c r="E78" i="39"/>
  <c r="B79" i="39"/>
  <c r="C79" i="39"/>
  <c r="D79" i="39"/>
  <c r="E79" i="39"/>
  <c r="B80" i="39"/>
  <c r="C80" i="39"/>
  <c r="D80" i="39"/>
  <c r="E80" i="39"/>
  <c r="B81" i="39"/>
  <c r="C81" i="39"/>
  <c r="D81" i="39"/>
  <c r="E81" i="39"/>
  <c r="B82" i="39"/>
  <c r="C82" i="39"/>
  <c r="D82" i="39"/>
  <c r="E82" i="39"/>
  <c r="F82" i="39"/>
  <c r="G82" i="39"/>
  <c r="H82" i="39"/>
  <c r="I82" i="39"/>
  <c r="J82" i="39"/>
  <c r="K82" i="39"/>
  <c r="L82" i="39"/>
  <c r="M82" i="39"/>
  <c r="N82" i="39"/>
  <c r="O82" i="39"/>
  <c r="P82" i="39"/>
  <c r="B83" i="39"/>
  <c r="C83" i="39"/>
  <c r="D83" i="39"/>
  <c r="E83" i="39"/>
  <c r="B84" i="39"/>
  <c r="C84" i="39"/>
  <c r="D84" i="39"/>
  <c r="E84" i="39"/>
  <c r="F84" i="39"/>
  <c r="G84" i="39"/>
  <c r="H84" i="39"/>
  <c r="I84" i="39"/>
  <c r="J84" i="39"/>
  <c r="K84" i="39"/>
  <c r="L84" i="39"/>
  <c r="M84" i="39"/>
  <c r="N84" i="39"/>
  <c r="O84" i="39"/>
  <c r="P84" i="39"/>
  <c r="B85" i="39"/>
  <c r="C85" i="39"/>
  <c r="D85" i="39"/>
  <c r="E85" i="39"/>
  <c r="F85" i="39"/>
  <c r="G85" i="39"/>
  <c r="H85" i="39"/>
  <c r="I85" i="39"/>
  <c r="J85" i="39"/>
  <c r="K85" i="39"/>
  <c r="L85" i="39"/>
  <c r="M85" i="39"/>
  <c r="N85" i="39"/>
  <c r="O85" i="39"/>
  <c r="P85" i="39"/>
  <c r="B86" i="39"/>
  <c r="C86" i="39"/>
  <c r="D86" i="39"/>
  <c r="E86" i="39"/>
  <c r="F86" i="39"/>
  <c r="G86" i="39"/>
  <c r="H86" i="39"/>
  <c r="I86" i="39"/>
  <c r="J86" i="39"/>
  <c r="K86" i="39"/>
  <c r="B87" i="39"/>
  <c r="C87" i="39"/>
  <c r="D87" i="39"/>
  <c r="E87" i="39"/>
  <c r="F87" i="39"/>
  <c r="G87" i="39"/>
  <c r="H87" i="39"/>
  <c r="I87" i="39"/>
  <c r="J87" i="39"/>
  <c r="K87" i="39"/>
  <c r="L87" i="39"/>
  <c r="M87" i="39"/>
  <c r="N87" i="39"/>
  <c r="O87" i="39"/>
  <c r="P87" i="39"/>
  <c r="B88" i="39"/>
  <c r="C88" i="39"/>
  <c r="D88" i="39"/>
  <c r="E88" i="39"/>
  <c r="F88" i="39"/>
  <c r="G88" i="39"/>
  <c r="H88" i="39"/>
  <c r="I88" i="39"/>
  <c r="J88" i="39"/>
  <c r="K88" i="39"/>
  <c r="L88" i="39"/>
  <c r="M88" i="39"/>
  <c r="N88" i="39"/>
  <c r="O88" i="39"/>
  <c r="P88" i="39"/>
  <c r="B89" i="39"/>
  <c r="C89" i="39"/>
  <c r="D89" i="39"/>
  <c r="E89" i="39"/>
  <c r="F89" i="39"/>
  <c r="G89" i="39"/>
  <c r="H89" i="39"/>
  <c r="I89" i="39"/>
  <c r="J89" i="39"/>
  <c r="K89" i="39"/>
  <c r="L89" i="39"/>
  <c r="M89" i="39"/>
  <c r="N89" i="39"/>
  <c r="O89" i="39"/>
  <c r="P89" i="39"/>
  <c r="B90" i="39"/>
  <c r="C90" i="39"/>
  <c r="D90" i="39"/>
  <c r="E90" i="39"/>
  <c r="F90" i="39"/>
  <c r="G90" i="39"/>
  <c r="H90" i="39"/>
  <c r="I90" i="39"/>
  <c r="J90" i="39"/>
  <c r="K90" i="39"/>
  <c r="L90" i="39"/>
  <c r="M90" i="39"/>
  <c r="N90" i="39"/>
  <c r="O90" i="39"/>
  <c r="P90" i="39"/>
  <c r="B91" i="39"/>
  <c r="C91" i="39"/>
  <c r="D91" i="39"/>
  <c r="E91" i="39"/>
  <c r="F91" i="39"/>
  <c r="G91" i="39"/>
  <c r="H91" i="39"/>
  <c r="I91" i="39"/>
  <c r="J91" i="39"/>
  <c r="K91" i="39"/>
  <c r="L91" i="39"/>
  <c r="M91" i="39"/>
  <c r="N91" i="39"/>
  <c r="O91" i="39"/>
  <c r="P91" i="39"/>
  <c r="B92" i="39"/>
  <c r="C92" i="39"/>
  <c r="D92" i="39"/>
  <c r="E92" i="39"/>
  <c r="F92" i="39"/>
  <c r="G92" i="39"/>
  <c r="H92" i="39"/>
  <c r="I92" i="39"/>
  <c r="J92" i="39"/>
  <c r="K92" i="39"/>
  <c r="L92" i="39"/>
  <c r="M92" i="39"/>
  <c r="N92" i="39"/>
  <c r="O92" i="39"/>
  <c r="P92" i="39"/>
  <c r="B93" i="39"/>
  <c r="C93" i="39"/>
  <c r="D93" i="39"/>
  <c r="E93" i="39"/>
  <c r="F93" i="39"/>
  <c r="G93" i="39"/>
  <c r="H93" i="39"/>
  <c r="I93" i="39"/>
  <c r="J93" i="39"/>
  <c r="K93" i="39"/>
  <c r="L93" i="39"/>
  <c r="M93" i="39"/>
  <c r="N93" i="39"/>
  <c r="O93" i="39"/>
  <c r="P93" i="39"/>
  <c r="B94" i="39"/>
  <c r="C94" i="39"/>
  <c r="D94" i="39"/>
  <c r="E94" i="39"/>
  <c r="F94" i="39"/>
  <c r="G94" i="39"/>
  <c r="H94" i="39"/>
  <c r="I94" i="39"/>
  <c r="J94" i="39"/>
  <c r="K94" i="39"/>
  <c r="L94" i="39"/>
  <c r="M94" i="39"/>
  <c r="N94" i="39"/>
  <c r="O94" i="39"/>
  <c r="P94" i="39"/>
  <c r="B95" i="39"/>
  <c r="C95" i="39"/>
  <c r="D95" i="39"/>
  <c r="E95" i="39"/>
  <c r="F95" i="39"/>
  <c r="G95" i="39"/>
  <c r="H95" i="39"/>
  <c r="I95" i="39"/>
  <c r="J95" i="39"/>
  <c r="K95" i="39"/>
  <c r="L95" i="39"/>
  <c r="M95" i="39"/>
  <c r="N95" i="39"/>
  <c r="O95" i="39"/>
  <c r="P95" i="39"/>
  <c r="E96" i="39"/>
  <c r="F96" i="39"/>
  <c r="G96" i="39"/>
  <c r="H96" i="39"/>
  <c r="I96" i="39"/>
  <c r="J96" i="39"/>
  <c r="K96" i="39"/>
  <c r="L96" i="39"/>
  <c r="M96" i="39"/>
  <c r="N96" i="39"/>
  <c r="O96" i="39"/>
  <c r="P96" i="39"/>
  <c r="B97" i="39"/>
  <c r="E97" i="39"/>
  <c r="F97" i="39"/>
  <c r="G97" i="39"/>
  <c r="H97" i="39"/>
  <c r="I97" i="39"/>
  <c r="J97" i="39"/>
  <c r="K97" i="39"/>
  <c r="L97" i="39"/>
  <c r="M97" i="39"/>
  <c r="N97" i="39"/>
  <c r="O97" i="39"/>
  <c r="P97" i="39"/>
  <c r="B98" i="39"/>
  <c r="E98" i="39"/>
  <c r="F98" i="39"/>
  <c r="G98" i="39"/>
  <c r="H98" i="39"/>
  <c r="I98" i="39"/>
  <c r="J98" i="39"/>
  <c r="K98" i="39"/>
  <c r="L98" i="39"/>
  <c r="M98" i="39"/>
  <c r="N98" i="39"/>
  <c r="O98" i="39"/>
  <c r="P98" i="39"/>
  <c r="B99" i="39"/>
  <c r="C99" i="39"/>
  <c r="E99" i="39"/>
  <c r="F99" i="39"/>
  <c r="G99" i="39"/>
  <c r="H99" i="39"/>
  <c r="I99" i="39"/>
  <c r="J99" i="39"/>
  <c r="K99" i="39"/>
  <c r="L99" i="39"/>
  <c r="M99" i="39"/>
  <c r="N99" i="39"/>
  <c r="O99" i="39"/>
  <c r="P99" i="39"/>
  <c r="B100" i="39"/>
  <c r="C100" i="39"/>
  <c r="D100" i="39"/>
  <c r="E100" i="39"/>
  <c r="F100" i="39"/>
  <c r="G100" i="39"/>
  <c r="H100" i="39"/>
  <c r="I100" i="39"/>
  <c r="J100" i="39"/>
  <c r="K100" i="39"/>
  <c r="L100" i="39"/>
  <c r="M100" i="39"/>
  <c r="N100" i="39"/>
  <c r="O100" i="39"/>
  <c r="P100" i="39"/>
  <c r="B101" i="39"/>
  <c r="C101" i="39"/>
  <c r="E101" i="39"/>
  <c r="F101" i="39"/>
  <c r="G101" i="39"/>
  <c r="H101" i="39"/>
  <c r="I101" i="39"/>
  <c r="J101" i="39"/>
  <c r="K101" i="39"/>
  <c r="L101" i="39"/>
  <c r="M101" i="39"/>
  <c r="N101" i="39"/>
  <c r="O101" i="39"/>
  <c r="P101" i="39"/>
  <c r="B102" i="39"/>
  <c r="C102" i="39"/>
  <c r="D102" i="39"/>
  <c r="E102" i="39"/>
  <c r="F102" i="39"/>
  <c r="G102" i="39"/>
  <c r="H102" i="39"/>
  <c r="I102" i="39"/>
  <c r="J102" i="39"/>
  <c r="K102" i="39"/>
  <c r="L102" i="39"/>
  <c r="M102" i="39"/>
  <c r="N102" i="39"/>
  <c r="O102" i="39"/>
  <c r="P102" i="39"/>
  <c r="B103" i="39"/>
  <c r="C103" i="39"/>
  <c r="E103" i="39"/>
  <c r="F103" i="39"/>
  <c r="G103" i="39"/>
  <c r="H103" i="39"/>
  <c r="I103" i="39"/>
  <c r="J103" i="39"/>
  <c r="K103" i="39"/>
  <c r="L103" i="39"/>
  <c r="M103" i="39"/>
  <c r="N103" i="39"/>
  <c r="O103" i="39"/>
  <c r="P103" i="39"/>
  <c r="B104" i="39"/>
  <c r="C104" i="39"/>
  <c r="D104" i="39"/>
  <c r="E104" i="39"/>
  <c r="F104" i="39"/>
  <c r="G104" i="39"/>
  <c r="H104" i="39"/>
  <c r="I104" i="39"/>
  <c r="J104" i="39"/>
  <c r="K104" i="39"/>
  <c r="L104" i="39"/>
  <c r="M104" i="39"/>
  <c r="N104" i="39"/>
  <c r="O104" i="39"/>
  <c r="P104" i="39"/>
  <c r="B105" i="39"/>
  <c r="C105" i="39"/>
  <c r="D105" i="39"/>
  <c r="E105" i="39"/>
  <c r="F105" i="39"/>
  <c r="G105" i="39"/>
  <c r="H105" i="39"/>
  <c r="I105" i="39"/>
  <c r="J105" i="39"/>
  <c r="K105" i="39"/>
  <c r="L105" i="39"/>
  <c r="M105" i="39"/>
  <c r="N105" i="39"/>
  <c r="O105" i="39"/>
  <c r="P105" i="39"/>
  <c r="B106" i="39"/>
  <c r="C106" i="39"/>
  <c r="E106" i="39"/>
  <c r="F106" i="39"/>
  <c r="G106" i="39"/>
  <c r="H106" i="39"/>
  <c r="I106" i="39"/>
  <c r="J106" i="39"/>
  <c r="K106" i="39"/>
  <c r="L106" i="39"/>
  <c r="M106" i="39"/>
  <c r="N106" i="39"/>
  <c r="O106" i="39"/>
  <c r="P106" i="39"/>
  <c r="B107" i="39"/>
  <c r="C107" i="39"/>
  <c r="D107" i="39"/>
  <c r="E107" i="39"/>
  <c r="F107" i="39"/>
  <c r="G107" i="39"/>
  <c r="H107" i="39"/>
  <c r="I107" i="39"/>
  <c r="J107" i="39"/>
  <c r="K107" i="39"/>
  <c r="L107" i="39"/>
  <c r="M107" i="39"/>
  <c r="N107" i="39"/>
  <c r="O107" i="39"/>
  <c r="P107" i="39"/>
  <c r="B108" i="39"/>
  <c r="C108" i="39"/>
  <c r="E108" i="39"/>
  <c r="F108" i="39"/>
  <c r="G108" i="39"/>
  <c r="H108" i="39"/>
  <c r="I108" i="39"/>
  <c r="J108" i="39"/>
  <c r="K108" i="39"/>
  <c r="L108" i="39"/>
  <c r="M108" i="39"/>
  <c r="N108" i="39"/>
  <c r="O108" i="39"/>
  <c r="P108" i="39"/>
  <c r="B109" i="39"/>
  <c r="C109" i="39"/>
  <c r="D109" i="39"/>
  <c r="E109" i="39"/>
  <c r="F109" i="39"/>
  <c r="G109" i="39"/>
  <c r="H109" i="39"/>
  <c r="I109" i="39"/>
  <c r="J109" i="39"/>
  <c r="K109" i="39"/>
  <c r="L109" i="39"/>
  <c r="M109" i="39"/>
  <c r="N109" i="39"/>
  <c r="O109" i="39"/>
  <c r="P109" i="39"/>
  <c r="B110" i="39"/>
  <c r="C110" i="39"/>
  <c r="D110" i="39"/>
  <c r="E110" i="39"/>
  <c r="F110" i="39"/>
  <c r="G110" i="39"/>
  <c r="H110" i="39"/>
  <c r="I110" i="39"/>
  <c r="J110" i="39"/>
  <c r="K110" i="39"/>
  <c r="L110" i="39"/>
  <c r="M110" i="39"/>
  <c r="N110" i="39"/>
  <c r="O110" i="39"/>
  <c r="P110" i="39"/>
  <c r="B111" i="39"/>
  <c r="C111" i="39"/>
  <c r="D111" i="39"/>
  <c r="E111" i="39"/>
  <c r="F111" i="39"/>
  <c r="G111" i="39"/>
  <c r="H111" i="39"/>
  <c r="I111" i="39"/>
  <c r="J111" i="39"/>
  <c r="K111" i="39"/>
  <c r="L111" i="39"/>
  <c r="M111" i="39"/>
  <c r="N111" i="39"/>
  <c r="O111" i="39"/>
  <c r="P111" i="39"/>
  <c r="B112" i="39"/>
  <c r="C112" i="39"/>
  <c r="D112" i="39"/>
  <c r="E112" i="39"/>
  <c r="F112" i="39"/>
  <c r="G112" i="39"/>
  <c r="H112" i="39"/>
  <c r="I112" i="39"/>
  <c r="J112" i="39"/>
  <c r="K112" i="39"/>
  <c r="L112" i="39"/>
  <c r="M112" i="39"/>
  <c r="N112" i="39"/>
  <c r="O112" i="39"/>
  <c r="P112" i="39"/>
  <c r="B113" i="39"/>
  <c r="C113" i="39"/>
  <c r="D113" i="39"/>
  <c r="E113" i="39"/>
  <c r="F113" i="39"/>
  <c r="G113" i="39"/>
  <c r="H113" i="39"/>
  <c r="I113" i="39"/>
  <c r="J113" i="39"/>
  <c r="K113" i="39"/>
  <c r="L113" i="39"/>
  <c r="M113" i="39"/>
  <c r="N113" i="39"/>
  <c r="O113" i="39"/>
  <c r="P113" i="39"/>
  <c r="B114" i="39"/>
  <c r="C114" i="39"/>
  <c r="D114" i="39"/>
  <c r="E114" i="39"/>
  <c r="F114" i="39"/>
  <c r="G114" i="39"/>
  <c r="H114" i="39"/>
  <c r="I114" i="39"/>
  <c r="J114" i="39"/>
  <c r="K114" i="39"/>
  <c r="L114" i="39"/>
  <c r="M114" i="39"/>
  <c r="N114" i="39"/>
  <c r="O114" i="39"/>
  <c r="P114" i="39"/>
  <c r="B115" i="39"/>
  <c r="E115" i="39"/>
  <c r="F115" i="39"/>
  <c r="G115" i="39"/>
  <c r="H115" i="39"/>
  <c r="I115" i="39"/>
  <c r="J115" i="39"/>
  <c r="K115" i="39"/>
  <c r="L115" i="39"/>
  <c r="M115" i="39"/>
  <c r="N115" i="39"/>
  <c r="O115" i="39"/>
  <c r="P115" i="39"/>
  <c r="E116" i="39"/>
  <c r="F116" i="39"/>
  <c r="G116" i="39"/>
  <c r="H116" i="39"/>
  <c r="I116" i="39"/>
  <c r="J116" i="39"/>
  <c r="K116" i="39"/>
  <c r="L116" i="39"/>
  <c r="M116" i="39"/>
  <c r="N116" i="39"/>
  <c r="O116" i="39"/>
  <c r="P116" i="39"/>
  <c r="E117" i="39"/>
  <c r="F117" i="39"/>
  <c r="G117" i="39"/>
  <c r="H117" i="39"/>
  <c r="I117" i="39"/>
  <c r="J117" i="39"/>
  <c r="K117" i="39"/>
  <c r="L117" i="39"/>
  <c r="M117" i="39"/>
  <c r="N117" i="39"/>
  <c r="O117" i="39"/>
  <c r="P117" i="39"/>
  <c r="E118" i="39"/>
  <c r="F118" i="39"/>
  <c r="G118" i="39"/>
  <c r="H118" i="39"/>
  <c r="I118" i="39"/>
  <c r="J118" i="39"/>
  <c r="K118" i="39"/>
  <c r="L118" i="39"/>
  <c r="M118" i="39"/>
  <c r="N118" i="39"/>
  <c r="O118" i="39"/>
  <c r="P118" i="39"/>
  <c r="B119" i="39"/>
  <c r="C119" i="39"/>
  <c r="E119" i="39"/>
  <c r="F119" i="39"/>
  <c r="G119" i="39"/>
  <c r="H119" i="39"/>
  <c r="I119" i="39"/>
  <c r="J119" i="39"/>
  <c r="K119" i="39"/>
  <c r="L119" i="39"/>
  <c r="M119" i="39"/>
  <c r="N119" i="39"/>
  <c r="O119" i="39"/>
  <c r="P119" i="39"/>
  <c r="B120" i="39"/>
  <c r="C120" i="39"/>
  <c r="D120" i="39"/>
  <c r="E120" i="39"/>
  <c r="F120" i="39"/>
  <c r="G120" i="39"/>
  <c r="H120" i="39"/>
  <c r="I120" i="39"/>
  <c r="J120" i="39"/>
  <c r="K120" i="39"/>
  <c r="L120" i="39"/>
  <c r="M120" i="39"/>
  <c r="N120" i="39"/>
  <c r="O120" i="39"/>
  <c r="P120" i="39"/>
  <c r="B121" i="39"/>
  <c r="C121" i="39"/>
  <c r="D121" i="39"/>
  <c r="E121" i="39"/>
  <c r="F121" i="39"/>
  <c r="G121" i="39"/>
  <c r="H121" i="39"/>
  <c r="I121" i="39"/>
  <c r="J121" i="39"/>
  <c r="K121" i="39"/>
  <c r="L121" i="39"/>
  <c r="M121" i="39"/>
  <c r="N121" i="39"/>
  <c r="O121" i="39"/>
  <c r="P121" i="39"/>
  <c r="B122" i="39"/>
  <c r="C122" i="39"/>
  <c r="D122" i="39"/>
  <c r="E122" i="39"/>
  <c r="F122" i="39"/>
  <c r="G122" i="39"/>
  <c r="H122" i="39"/>
  <c r="I122" i="39"/>
  <c r="J122" i="39"/>
  <c r="K122" i="39"/>
  <c r="L122" i="39"/>
  <c r="M122" i="39"/>
  <c r="N122" i="39"/>
  <c r="O122" i="39"/>
  <c r="P122" i="39"/>
  <c r="B123" i="39"/>
  <c r="C123" i="39"/>
  <c r="D123" i="39"/>
  <c r="E123" i="39"/>
  <c r="F123" i="39"/>
  <c r="G123" i="39"/>
  <c r="H123" i="39"/>
  <c r="I123" i="39"/>
  <c r="J123" i="39"/>
  <c r="K123" i="39"/>
  <c r="L123" i="39"/>
  <c r="M123" i="39"/>
  <c r="N123" i="39"/>
  <c r="O123" i="39"/>
  <c r="P123" i="39"/>
  <c r="B124" i="39"/>
  <c r="C124" i="39"/>
  <c r="D124" i="39"/>
  <c r="E124" i="39"/>
  <c r="F124" i="39"/>
  <c r="G124" i="39"/>
  <c r="H124" i="39"/>
  <c r="I124" i="39"/>
  <c r="J124" i="39"/>
  <c r="K124" i="39"/>
  <c r="L124" i="39"/>
  <c r="M124" i="39"/>
  <c r="N124" i="39"/>
  <c r="O124" i="39"/>
  <c r="P124" i="39"/>
  <c r="B125" i="39"/>
  <c r="C125" i="39"/>
  <c r="D125" i="39"/>
  <c r="E125" i="39"/>
  <c r="F125" i="39"/>
  <c r="G125" i="39"/>
  <c r="H125" i="39"/>
  <c r="I125" i="39"/>
  <c r="J125" i="39"/>
  <c r="K125" i="39"/>
  <c r="L125" i="39"/>
  <c r="M125" i="39"/>
  <c r="N125" i="39"/>
  <c r="O125" i="39"/>
  <c r="P125" i="39"/>
  <c r="B126" i="39"/>
  <c r="C126" i="39"/>
  <c r="D126" i="39"/>
  <c r="E126" i="39"/>
  <c r="F126" i="39"/>
  <c r="G126" i="39"/>
  <c r="B127" i="39"/>
  <c r="C127" i="39"/>
  <c r="D127" i="39"/>
  <c r="E127" i="39"/>
  <c r="F127" i="39"/>
  <c r="G127" i="39"/>
  <c r="H127" i="39"/>
  <c r="I127" i="39"/>
  <c r="J127" i="39"/>
  <c r="K127" i="39"/>
  <c r="L127" i="39"/>
  <c r="M127" i="39"/>
  <c r="N127" i="39"/>
  <c r="O127" i="39"/>
  <c r="P127" i="39"/>
  <c r="B128" i="39"/>
  <c r="C128" i="39"/>
  <c r="D128" i="39"/>
  <c r="E128" i="39"/>
  <c r="F128" i="39"/>
  <c r="G128" i="39"/>
  <c r="H128" i="39"/>
  <c r="B129" i="39"/>
  <c r="C129" i="39"/>
  <c r="D129" i="39"/>
  <c r="E129" i="39"/>
  <c r="F129" i="39"/>
  <c r="G129" i="39"/>
  <c r="B130" i="39"/>
  <c r="C130" i="39"/>
  <c r="D130" i="39"/>
  <c r="E130" i="39"/>
  <c r="F130" i="39"/>
  <c r="G130" i="39"/>
  <c r="H130" i="39"/>
  <c r="I130" i="39"/>
  <c r="J130" i="39"/>
  <c r="K130" i="39"/>
  <c r="L130" i="39"/>
  <c r="M130" i="39"/>
  <c r="N130" i="39"/>
  <c r="O130" i="39"/>
  <c r="P130" i="39"/>
  <c r="B131" i="39"/>
  <c r="C131" i="39"/>
  <c r="D131" i="39"/>
  <c r="E131" i="39"/>
  <c r="F131" i="39"/>
  <c r="G131" i="39"/>
  <c r="H131" i="39"/>
  <c r="I131" i="39"/>
  <c r="J131" i="39"/>
  <c r="K131" i="39"/>
  <c r="L131" i="39"/>
  <c r="M131" i="39"/>
  <c r="N131" i="39"/>
  <c r="O131" i="39"/>
  <c r="P131" i="39"/>
  <c r="B132" i="39"/>
  <c r="C132" i="39"/>
  <c r="D132" i="39"/>
  <c r="E132" i="39"/>
  <c r="F132" i="39"/>
  <c r="G132" i="39"/>
  <c r="B133" i="39"/>
  <c r="C133" i="39"/>
  <c r="D133" i="39"/>
  <c r="E133" i="39"/>
  <c r="F133" i="39"/>
  <c r="G133" i="39"/>
  <c r="H133" i="39"/>
  <c r="I133" i="39"/>
  <c r="J133" i="39"/>
  <c r="K133" i="39"/>
  <c r="L133" i="39"/>
  <c r="M133" i="39"/>
  <c r="N133" i="39"/>
  <c r="O133" i="39"/>
  <c r="P133" i="39"/>
  <c r="B134" i="39"/>
  <c r="C134" i="39"/>
  <c r="D134" i="39"/>
  <c r="E134" i="39"/>
  <c r="F134" i="39"/>
  <c r="G134" i="39"/>
  <c r="H134" i="39"/>
  <c r="I134" i="39"/>
  <c r="J134" i="39"/>
  <c r="K134" i="39"/>
  <c r="L134" i="39"/>
  <c r="M134" i="39"/>
  <c r="N134" i="39"/>
  <c r="O134" i="39"/>
  <c r="P134" i="39"/>
  <c r="B135" i="39"/>
  <c r="C135" i="39"/>
  <c r="D135" i="39"/>
  <c r="E135" i="39"/>
  <c r="F135" i="39"/>
  <c r="G135" i="39"/>
  <c r="H135" i="39"/>
  <c r="I135" i="39"/>
  <c r="J135" i="39"/>
  <c r="K135" i="39"/>
  <c r="L135" i="39"/>
  <c r="M135" i="39"/>
  <c r="N135" i="39"/>
  <c r="O135" i="39"/>
  <c r="P135" i="39"/>
  <c r="B136" i="39"/>
  <c r="C136" i="39"/>
  <c r="D136" i="39"/>
  <c r="E136" i="39"/>
  <c r="F136" i="39"/>
  <c r="G136" i="39"/>
  <c r="B137" i="39"/>
  <c r="C137" i="39"/>
  <c r="D137" i="39"/>
  <c r="E137" i="39"/>
  <c r="F137" i="39"/>
  <c r="G137" i="39"/>
  <c r="B138" i="39"/>
  <c r="C138" i="39"/>
  <c r="D138" i="39"/>
  <c r="E138" i="39"/>
  <c r="F138" i="39"/>
  <c r="G138" i="39"/>
  <c r="H138" i="39"/>
  <c r="I138" i="39"/>
  <c r="J138" i="39"/>
  <c r="K138" i="39"/>
  <c r="L138" i="39"/>
  <c r="M138" i="39"/>
  <c r="N138" i="39"/>
  <c r="O138" i="39"/>
  <c r="P138" i="39"/>
  <c r="B139" i="39"/>
  <c r="C139" i="39"/>
  <c r="D139" i="39"/>
  <c r="E139" i="39"/>
  <c r="F139" i="39"/>
  <c r="G139" i="39"/>
  <c r="H139" i="39"/>
  <c r="I139" i="39"/>
  <c r="J139" i="39"/>
  <c r="K139" i="39"/>
  <c r="L139" i="39"/>
  <c r="M139" i="39"/>
  <c r="B140" i="39"/>
  <c r="C140" i="39"/>
  <c r="D140" i="39"/>
  <c r="E140" i="39"/>
  <c r="F140" i="39"/>
  <c r="G140" i="39"/>
  <c r="H140" i="39"/>
  <c r="I140" i="39"/>
  <c r="J140" i="39"/>
  <c r="K140" i="39"/>
  <c r="L140" i="39"/>
  <c r="M140" i="39"/>
  <c r="N140" i="39"/>
  <c r="O140" i="39"/>
  <c r="P140" i="39"/>
  <c r="B141" i="39"/>
  <c r="C141" i="39"/>
  <c r="D141" i="39"/>
  <c r="E141" i="39"/>
  <c r="F141" i="39"/>
  <c r="G141" i="39"/>
  <c r="H141" i="39"/>
  <c r="I141" i="39"/>
  <c r="J141" i="39"/>
  <c r="K141" i="39"/>
  <c r="L141" i="39"/>
  <c r="M141" i="39"/>
  <c r="N141" i="39"/>
  <c r="O141" i="39"/>
  <c r="P141" i="39"/>
  <c r="B142" i="39"/>
  <c r="C142" i="39"/>
  <c r="D142" i="39"/>
  <c r="E142" i="39"/>
  <c r="F142" i="39"/>
  <c r="G142" i="39"/>
  <c r="H142" i="39"/>
  <c r="I142" i="39"/>
  <c r="J142" i="39"/>
  <c r="K142" i="39"/>
  <c r="L142" i="39"/>
  <c r="M142" i="39"/>
  <c r="N142" i="39"/>
  <c r="O142" i="39"/>
  <c r="P142" i="39"/>
  <c r="B143" i="39"/>
  <c r="C143" i="39"/>
  <c r="D143" i="39"/>
  <c r="E143" i="39"/>
  <c r="F143" i="39"/>
  <c r="G143" i="39"/>
  <c r="H143" i="39"/>
  <c r="I143" i="39"/>
  <c r="J143" i="39"/>
  <c r="K143" i="39"/>
  <c r="L143" i="39"/>
  <c r="M143" i="39"/>
  <c r="N143" i="39"/>
  <c r="O143" i="39"/>
  <c r="P143" i="39"/>
  <c r="B144" i="39"/>
  <c r="C144" i="39"/>
  <c r="D144" i="39"/>
  <c r="E144" i="39"/>
  <c r="F144" i="39"/>
  <c r="G144" i="39"/>
  <c r="H144" i="39"/>
  <c r="I144" i="39"/>
  <c r="J144" i="39"/>
  <c r="K144" i="39"/>
  <c r="L144" i="39"/>
  <c r="M144" i="39"/>
  <c r="N144" i="39"/>
  <c r="O144" i="39"/>
  <c r="P144" i="39"/>
  <c r="B145" i="39"/>
  <c r="C145" i="39"/>
  <c r="D145" i="39"/>
  <c r="E145" i="39"/>
  <c r="F145" i="39"/>
  <c r="G145" i="39"/>
  <c r="H145" i="39"/>
  <c r="I145" i="39"/>
  <c r="J145" i="39"/>
  <c r="K145" i="39"/>
  <c r="L145" i="39"/>
  <c r="M145" i="39"/>
  <c r="N145" i="39"/>
  <c r="O145" i="39"/>
  <c r="P145" i="39"/>
  <c r="B146" i="39"/>
  <c r="C146" i="39"/>
  <c r="D146" i="39"/>
  <c r="E146" i="39"/>
  <c r="F146" i="39"/>
  <c r="G146" i="39"/>
  <c r="H146" i="39"/>
  <c r="I146" i="39"/>
  <c r="J146" i="39"/>
  <c r="K146" i="39"/>
  <c r="L146" i="39"/>
  <c r="M146" i="39"/>
  <c r="N146" i="39"/>
  <c r="O146" i="39"/>
  <c r="P146" i="39"/>
  <c r="D147" i="39"/>
  <c r="E147" i="39"/>
  <c r="F147" i="39"/>
  <c r="G147" i="39"/>
  <c r="H147" i="39"/>
  <c r="I147" i="39"/>
  <c r="J147" i="39"/>
  <c r="K147" i="39"/>
  <c r="L147" i="39"/>
  <c r="M147" i="39"/>
  <c r="N147" i="39"/>
  <c r="O147" i="39"/>
  <c r="P147" i="39"/>
  <c r="B148" i="39"/>
  <c r="C148" i="39"/>
  <c r="D148" i="39"/>
  <c r="E148" i="39"/>
  <c r="F148" i="39"/>
  <c r="G148" i="39"/>
  <c r="H148" i="39"/>
  <c r="I148" i="39"/>
  <c r="J148" i="39"/>
  <c r="K148" i="39"/>
  <c r="L148" i="39"/>
  <c r="M148" i="39"/>
  <c r="N148" i="39"/>
  <c r="O148" i="39"/>
  <c r="P148" i="39"/>
  <c r="B149" i="39"/>
  <c r="C149" i="39"/>
  <c r="D149" i="39"/>
  <c r="E149" i="39"/>
  <c r="F149" i="39"/>
  <c r="G149" i="39"/>
  <c r="H149" i="39"/>
  <c r="I149" i="39"/>
  <c r="J149" i="39"/>
  <c r="K149" i="39"/>
  <c r="L149" i="39"/>
  <c r="M149" i="39"/>
  <c r="N149" i="39"/>
  <c r="O149" i="39"/>
  <c r="P149" i="39"/>
  <c r="D150" i="39"/>
  <c r="E150" i="39"/>
  <c r="F150" i="39"/>
  <c r="G150" i="39"/>
  <c r="H150" i="39"/>
  <c r="I150" i="39"/>
  <c r="J150" i="39"/>
  <c r="K150" i="39"/>
  <c r="L150" i="39"/>
  <c r="M150" i="39"/>
  <c r="N150" i="39"/>
  <c r="O150" i="39"/>
  <c r="P150" i="39"/>
  <c r="D151" i="39"/>
  <c r="E151" i="39"/>
  <c r="F151" i="39"/>
  <c r="G151" i="39"/>
  <c r="H151" i="39"/>
  <c r="I151" i="39"/>
  <c r="J151" i="39"/>
  <c r="K151" i="39"/>
  <c r="L151" i="39"/>
  <c r="M151" i="39"/>
  <c r="N151" i="39"/>
  <c r="O151" i="39"/>
  <c r="P151" i="39"/>
  <c r="D152" i="39"/>
  <c r="E152" i="39"/>
  <c r="F152" i="39"/>
  <c r="G152" i="39"/>
  <c r="H152" i="39"/>
  <c r="I152" i="39"/>
  <c r="J152" i="39"/>
  <c r="K152" i="39"/>
  <c r="L152" i="39"/>
  <c r="M152" i="39"/>
  <c r="N152" i="39"/>
  <c r="O152" i="39"/>
  <c r="P152" i="39"/>
  <c r="D153" i="39"/>
  <c r="E153" i="39"/>
  <c r="F153" i="39"/>
  <c r="G153" i="39"/>
  <c r="H153" i="39"/>
  <c r="I153" i="39"/>
  <c r="J153" i="39"/>
  <c r="K153" i="39"/>
  <c r="L153" i="39"/>
  <c r="M153" i="39"/>
  <c r="N153" i="39"/>
  <c r="O153" i="39"/>
  <c r="P153" i="39"/>
  <c r="A2" i="39"/>
  <c r="A5" i="39"/>
  <c r="A6" i="39"/>
  <c r="AI6" i="39" s="1"/>
  <c r="A7" i="39"/>
  <c r="AI7" i="39" s="1"/>
  <c r="A8" i="39"/>
  <c r="AI8" i="39" s="1"/>
  <c r="A9" i="39"/>
  <c r="AI9" i="39" s="1"/>
  <c r="A10" i="39"/>
  <c r="AI10" i="39" s="1"/>
  <c r="A11" i="39"/>
  <c r="A12" i="39"/>
  <c r="A13" i="39"/>
  <c r="A14" i="39"/>
  <c r="A15" i="39"/>
  <c r="A16" i="39"/>
  <c r="A17" i="39"/>
  <c r="A18" i="39"/>
  <c r="A19" i="39"/>
  <c r="A20" i="39"/>
  <c r="A21" i="39"/>
  <c r="A22" i="39"/>
  <c r="A23" i="39"/>
  <c r="A24" i="39"/>
  <c r="A25" i="39"/>
  <c r="AI25" i="39" s="1"/>
  <c r="A26" i="39"/>
  <c r="AI26" i="39" s="1"/>
  <c r="A27" i="39"/>
  <c r="AI27" i="39" s="1"/>
  <c r="A28" i="39"/>
  <c r="AI28" i="39" s="1"/>
  <c r="A29" i="39"/>
  <c r="AI29" i="39" s="1"/>
  <c r="A30" i="39"/>
  <c r="AI30" i="39" s="1"/>
  <c r="A31" i="39"/>
  <c r="A32" i="39"/>
  <c r="A33" i="39"/>
  <c r="A34" i="39"/>
  <c r="A35" i="39"/>
  <c r="A36" i="39"/>
  <c r="A37" i="39"/>
  <c r="A38" i="39"/>
  <c r="A39" i="39"/>
  <c r="A40" i="39"/>
  <c r="A41" i="39"/>
  <c r="A42" i="39"/>
  <c r="A43" i="39"/>
  <c r="A44" i="39"/>
  <c r="A45" i="39"/>
  <c r="A46" i="39"/>
  <c r="A47" i="39"/>
  <c r="A48" i="39"/>
  <c r="A49" i="39"/>
  <c r="A50" i="39"/>
  <c r="AI50" i="39" s="1"/>
  <c r="A51" i="39"/>
  <c r="A52" i="39"/>
  <c r="A53" i="39"/>
  <c r="AI53" i="39" s="1"/>
  <c r="A54" i="39"/>
  <c r="AI54" i="39" s="1"/>
  <c r="A55" i="39"/>
  <c r="AI55" i="39" s="1"/>
  <c r="A56" i="39"/>
  <c r="A57" i="39"/>
  <c r="A58" i="39"/>
  <c r="A59" i="39"/>
  <c r="AI59" i="39" s="1"/>
  <c r="A60" i="39"/>
  <c r="AI60" i="39" s="1"/>
  <c r="A61" i="39"/>
  <c r="AI61" i="39" s="1"/>
  <c r="A62" i="39"/>
  <c r="A63" i="39"/>
  <c r="A64" i="39"/>
  <c r="A65" i="39"/>
  <c r="A66" i="39"/>
  <c r="A67" i="39"/>
  <c r="A68" i="39"/>
  <c r="A69" i="39"/>
  <c r="A70" i="39"/>
  <c r="A71" i="39"/>
  <c r="AI71" i="39" s="1"/>
  <c r="A72" i="39"/>
  <c r="A73" i="39"/>
  <c r="A74" i="39"/>
  <c r="A75" i="39"/>
  <c r="A76" i="39"/>
  <c r="A77" i="39"/>
  <c r="A78" i="39"/>
  <c r="A79" i="39"/>
  <c r="A80" i="39"/>
  <c r="A81" i="39"/>
  <c r="A82" i="39"/>
  <c r="A83" i="39"/>
  <c r="A84" i="39"/>
  <c r="A85" i="39"/>
  <c r="A86" i="39"/>
  <c r="A87" i="39"/>
  <c r="A88" i="39"/>
  <c r="A89" i="39"/>
  <c r="A90" i="39"/>
  <c r="A91" i="39"/>
  <c r="A92" i="39"/>
  <c r="A93" i="39"/>
  <c r="A94" i="39"/>
  <c r="A95" i="39"/>
  <c r="A96" i="39"/>
  <c r="A97" i="39"/>
  <c r="A98" i="39"/>
  <c r="A99" i="39"/>
  <c r="A100" i="39"/>
  <c r="A101" i="39"/>
  <c r="A102" i="39"/>
  <c r="A103" i="39"/>
  <c r="A104" i="39"/>
  <c r="A105" i="39"/>
  <c r="A106" i="39"/>
  <c r="A107" i="39"/>
  <c r="A108" i="39"/>
  <c r="A109" i="39"/>
  <c r="A110" i="39"/>
  <c r="A111" i="39"/>
  <c r="A112" i="39"/>
  <c r="A113" i="39"/>
  <c r="A114" i="39"/>
  <c r="A115" i="39"/>
  <c r="A116" i="39"/>
  <c r="A117" i="39"/>
  <c r="A118" i="39"/>
  <c r="A119" i="39"/>
  <c r="A120" i="39"/>
  <c r="A121" i="39"/>
  <c r="A122" i="39"/>
  <c r="A123" i="39"/>
  <c r="A124" i="39"/>
  <c r="A125" i="39"/>
  <c r="A126" i="39"/>
  <c r="A127" i="39"/>
  <c r="A128" i="39"/>
  <c r="A129" i="39"/>
  <c r="A130" i="39"/>
  <c r="A131" i="39"/>
  <c r="A132" i="39"/>
  <c r="A133" i="39"/>
  <c r="A134" i="39"/>
  <c r="A135" i="39"/>
  <c r="A136" i="39"/>
  <c r="A137" i="39"/>
  <c r="A138" i="39"/>
  <c r="A139" i="39"/>
  <c r="A140" i="39"/>
  <c r="A141" i="39"/>
  <c r="A142" i="39"/>
  <c r="A143" i="39"/>
  <c r="A144" i="39"/>
  <c r="A145" i="39"/>
  <c r="A146" i="39"/>
  <c r="A147" i="39"/>
  <c r="A148" i="39"/>
  <c r="A149" i="39"/>
  <c r="A150" i="39"/>
  <c r="A151" i="39"/>
  <c r="A152" i="39"/>
  <c r="A153" i="39"/>
  <c r="C25" i="36"/>
  <c r="D25" i="36" s="1"/>
  <c r="O25" i="36"/>
  <c r="C26" i="36"/>
  <c r="O26" i="36"/>
  <c r="C27" i="36"/>
  <c r="D27" i="36" s="1"/>
  <c r="O27" i="36"/>
  <c r="C28" i="36"/>
  <c r="D28" i="36" s="1"/>
  <c r="O28" i="36"/>
  <c r="C29" i="36"/>
  <c r="D29" i="36" s="1"/>
  <c r="O29" i="36"/>
  <c r="C30" i="36"/>
  <c r="D30" i="36" s="1"/>
  <c r="O30" i="36"/>
  <c r="N31" i="36"/>
  <c r="O31" i="36" s="1"/>
  <c r="B34" i="36"/>
  <c r="B37" i="36" s="1"/>
  <c r="E35" i="36"/>
  <c r="E36" i="36"/>
  <c r="J51" i="36"/>
  <c r="K51" i="36" s="1"/>
  <c r="I52" i="36"/>
  <c r="I54" i="36" s="1"/>
  <c r="I55" i="36" s="1"/>
  <c r="I58" i="36" s="1"/>
  <c r="AN97" i="32"/>
  <c r="AN95" i="32"/>
  <c r="AN94" i="32"/>
  <c r="AN92" i="32"/>
  <c r="AN93" i="32" s="1"/>
  <c r="AN76" i="32"/>
  <c r="AN74" i="32"/>
  <c r="AN73" i="32"/>
  <c r="AN71" i="32"/>
  <c r="AN72" i="32" s="1"/>
  <c r="AN55" i="32"/>
  <c r="AN53" i="32"/>
  <c r="AN52" i="32"/>
  <c r="AN50" i="32"/>
  <c r="AN51" i="32" s="1"/>
  <c r="AN33" i="32"/>
  <c r="AN31" i="32"/>
  <c r="AN30" i="32"/>
  <c r="AN28" i="32"/>
  <c r="AN29" i="32" s="1"/>
  <c r="AN19" i="32"/>
  <c r="AN13" i="32"/>
  <c r="AN12" i="32"/>
  <c r="AN10" i="32"/>
  <c r="AN9" i="32"/>
  <c r="AN7" i="32"/>
  <c r="AN8" i="32" s="1"/>
  <c r="P175" i="16"/>
  <c r="P126" i="39" s="1"/>
  <c r="O175" i="16"/>
  <c r="O126" i="39" s="1"/>
  <c r="N175" i="16"/>
  <c r="N126" i="39" s="1"/>
  <c r="M175" i="16"/>
  <c r="M126" i="39" s="1"/>
  <c r="L175" i="16"/>
  <c r="L126" i="39" s="1"/>
  <c r="K175" i="16"/>
  <c r="K126" i="39" s="1"/>
  <c r="J175" i="16"/>
  <c r="J126" i="39" s="1"/>
  <c r="I175" i="16"/>
  <c r="I126" i="39" s="1"/>
  <c r="H175" i="16"/>
  <c r="H126" i="39" s="1"/>
  <c r="C49" i="21"/>
  <c r="I239" i="5"/>
  <c r="H239" i="5"/>
  <c r="J239" i="5"/>
  <c r="J79" i="1"/>
  <c r="L79" i="1" s="1"/>
  <c r="M79" i="1" s="1"/>
  <c r="N79" i="1" s="1"/>
  <c r="O79" i="1" s="1"/>
  <c r="P79" i="1" s="1"/>
  <c r="Q79" i="1" s="1"/>
  <c r="R79" i="1" s="1"/>
  <c r="S79" i="1" s="1"/>
  <c r="T79" i="1" s="1"/>
  <c r="U79" i="1" s="1"/>
  <c r="V79" i="1" s="1"/>
  <c r="C260" i="5"/>
  <c r="D260" i="5"/>
  <c r="E260" i="5"/>
  <c r="I92" i="5"/>
  <c r="AF172" i="29"/>
  <c r="CR99" i="29"/>
  <c r="CT99" i="29"/>
  <c r="AF181" i="29"/>
  <c r="AJ182" i="29" s="1"/>
  <c r="CT128" i="29"/>
  <c r="CR128" i="29"/>
  <c r="AE132" i="29"/>
  <c r="AF132" i="29"/>
  <c r="AE129" i="29"/>
  <c r="J286" i="5"/>
  <c r="Q285" i="5"/>
  <c r="P285" i="5"/>
  <c r="O285" i="5"/>
  <c r="N285" i="5"/>
  <c r="M285" i="5"/>
  <c r="J285" i="5"/>
  <c r="I11" i="35"/>
  <c r="I12" i="35" s="1"/>
  <c r="K11" i="35"/>
  <c r="K12" i="35" s="1"/>
  <c r="J11" i="35"/>
  <c r="J12" i="35" s="1"/>
  <c r="K7" i="35"/>
  <c r="K8" i="35" s="1"/>
  <c r="J7" i="35"/>
  <c r="J8" i="35" s="1"/>
  <c r="K3" i="35"/>
  <c r="K4" i="35" s="1"/>
  <c r="J3" i="35"/>
  <c r="J4" i="35" s="1"/>
  <c r="J184" i="5"/>
  <c r="I184" i="5"/>
  <c r="H184" i="5"/>
  <c r="G184" i="5"/>
  <c r="F184" i="5"/>
  <c r="E184" i="5"/>
  <c r="D184" i="5"/>
  <c r="B166" i="16"/>
  <c r="B117" i="39" s="1"/>
  <c r="B145" i="16"/>
  <c r="C145" i="16"/>
  <c r="C96" i="39" s="1"/>
  <c r="D145" i="16"/>
  <c r="D96" i="39" s="1"/>
  <c r="C147" i="16"/>
  <c r="C98" i="39" s="1"/>
  <c r="D147" i="16"/>
  <c r="L10" i="1"/>
  <c r="M10" i="1" s="1"/>
  <c r="N10" i="1" s="1"/>
  <c r="J97" i="1"/>
  <c r="I97" i="1"/>
  <c r="H97" i="1"/>
  <c r="G97" i="1"/>
  <c r="F97" i="1"/>
  <c r="E97" i="1"/>
  <c r="G111" i="1"/>
  <c r="G112" i="1" s="1"/>
  <c r="H111" i="1"/>
  <c r="H112" i="1" s="1"/>
  <c r="J115" i="1" s="1"/>
  <c r="K115" i="1" s="1"/>
  <c r="C199" i="16"/>
  <c r="C200" i="16" s="1"/>
  <c r="C201" i="16" s="1"/>
  <c r="B199" i="16"/>
  <c r="B150" i="39" s="1"/>
  <c r="C196" i="16"/>
  <c r="C147" i="39" s="1"/>
  <c r="B196" i="16"/>
  <c r="B147" i="39" s="1"/>
  <c r="H18" i="16"/>
  <c r="H18" i="39" s="1"/>
  <c r="H17" i="16"/>
  <c r="H17" i="39" s="1"/>
  <c r="I17" i="16"/>
  <c r="I17" i="39" s="1"/>
  <c r="K32" i="1"/>
  <c r="H63" i="1"/>
  <c r="H64" i="1" s="1"/>
  <c r="I17" i="1"/>
  <c r="H17" i="1"/>
  <c r="G17" i="1"/>
  <c r="I27" i="1"/>
  <c r="H27" i="1"/>
  <c r="I16" i="1"/>
  <c r="D89" i="15" s="1"/>
  <c r="J66" i="1"/>
  <c r="A100" i="35"/>
  <c r="A101" i="35" s="1"/>
  <c r="A102" i="35" s="1"/>
  <c r="A103" i="35" s="1"/>
  <c r="A104" i="35" s="1"/>
  <c r="A105" i="35" s="1"/>
  <c r="A106" i="35" s="1"/>
  <c r="A107" i="35" s="1"/>
  <c r="A108" i="35" s="1"/>
  <c r="A109" i="35" s="1"/>
  <c r="A110" i="35" s="1"/>
  <c r="A111" i="35" s="1"/>
  <c r="A112" i="35" s="1"/>
  <c r="A113" i="35" s="1"/>
  <c r="A114" i="35" s="1"/>
  <c r="A115" i="35" s="1"/>
  <c r="A116" i="35" s="1"/>
  <c r="A117" i="35" s="1"/>
  <c r="A118" i="35" s="1"/>
  <c r="A119" i="35" s="1"/>
  <c r="A120" i="35" s="1"/>
  <c r="A121" i="35" s="1"/>
  <c r="A122" i="35" s="1"/>
  <c r="A123" i="35" s="1"/>
  <c r="A124" i="35" s="1"/>
  <c r="A125" i="35" s="1"/>
  <c r="A126" i="35" s="1"/>
  <c r="A127" i="35" s="1"/>
  <c r="A128" i="35" s="1"/>
  <c r="A129" i="35" s="1"/>
  <c r="A130" i="35" s="1"/>
  <c r="A131" i="35" s="1"/>
  <c r="A132" i="35" s="1"/>
  <c r="A133" i="35" s="1"/>
  <c r="A134" i="35" s="1"/>
  <c r="A135" i="35" s="1"/>
  <c r="A136" i="35" s="1"/>
  <c r="A137" i="35" s="1"/>
  <c r="A138" i="35" s="1"/>
  <c r="A139" i="35" s="1"/>
  <c r="A140" i="35" s="1"/>
  <c r="A141" i="35" s="1"/>
  <c r="A142" i="35" s="1"/>
  <c r="A143" i="35" s="1"/>
  <c r="A144" i="35" s="1"/>
  <c r="A145" i="35" s="1"/>
  <c r="A146" i="35" s="1"/>
  <c r="A147" i="35" s="1"/>
  <c r="A148" i="35" s="1"/>
  <c r="A149" i="35" s="1"/>
  <c r="A150" i="35" s="1"/>
  <c r="A151" i="35" s="1"/>
  <c r="A152" i="35" s="1"/>
  <c r="A153" i="35" s="1"/>
  <c r="A154" i="35" s="1"/>
  <c r="A155" i="35" s="1"/>
  <c r="A156" i="35" s="1"/>
  <c r="A157" i="35" s="1"/>
  <c r="A158" i="35" s="1"/>
  <c r="A159" i="35" s="1"/>
  <c r="A160" i="35" s="1"/>
  <c r="A161" i="35" s="1"/>
  <c r="A162" i="35" s="1"/>
  <c r="A163" i="35" s="1"/>
  <c r="A164" i="35" s="1"/>
  <c r="A165" i="35" s="1"/>
  <c r="A166" i="35" s="1"/>
  <c r="A167" i="35" s="1"/>
  <c r="A168" i="35" s="1"/>
  <c r="A169" i="35" s="1"/>
  <c r="A170" i="35" s="1"/>
  <c r="A171" i="35" s="1"/>
  <c r="A172" i="35" s="1"/>
  <c r="A173" i="35" s="1"/>
  <c r="A174" i="35" s="1"/>
  <c r="A175" i="35" s="1"/>
  <c r="A176" i="35" s="1"/>
  <c r="A177" i="35" s="1"/>
  <c r="A178" i="35" s="1"/>
  <c r="A179" i="35" s="1"/>
  <c r="A180" i="35" s="1"/>
  <c r="A181" i="35" s="1"/>
  <c r="A182" i="35" s="1"/>
  <c r="A183" i="35" s="1"/>
  <c r="A184" i="35" s="1"/>
  <c r="A185" i="35" s="1"/>
  <c r="A186" i="35" s="1"/>
  <c r="A187" i="35" s="1"/>
  <c r="A188" i="35" s="1"/>
  <c r="A189" i="35" s="1"/>
  <c r="A190" i="35" s="1"/>
  <c r="A191" i="35" s="1"/>
  <c r="A192" i="35" s="1"/>
  <c r="A193" i="35" s="1"/>
  <c r="A194" i="35" s="1"/>
  <c r="A195" i="35" s="1"/>
  <c r="A196" i="35" s="1"/>
  <c r="A197" i="35" s="1"/>
  <c r="A198" i="35" s="1"/>
  <c r="A199" i="35" s="1"/>
  <c r="A200" i="35" s="1"/>
  <c r="A201" i="35" s="1"/>
  <c r="A202" i="35" s="1"/>
  <c r="A203" i="35" s="1"/>
  <c r="A204" i="35" s="1"/>
  <c r="A205" i="35" s="1"/>
  <c r="A206" i="35" s="1"/>
  <c r="A207" i="35" s="1"/>
  <c r="A208" i="35" s="1"/>
  <c r="A209" i="35" s="1"/>
  <c r="A210" i="35" s="1"/>
  <c r="A211" i="35" s="1"/>
  <c r="A212" i="35" s="1"/>
  <c r="A213" i="35" s="1"/>
  <c r="A214" i="35" s="1"/>
  <c r="A215" i="35" s="1"/>
  <c r="A216" i="35" s="1"/>
  <c r="A217" i="35" s="1"/>
  <c r="A218" i="35" s="1"/>
  <c r="A219" i="35" s="1"/>
  <c r="A220" i="35" s="1"/>
  <c r="A221" i="35" s="1"/>
  <c r="A222" i="35" s="1"/>
  <c r="A223" i="35" s="1"/>
  <c r="A224" i="35" s="1"/>
  <c r="A225" i="35" s="1"/>
  <c r="A226" i="35" s="1"/>
  <c r="A227" i="35" s="1"/>
  <c r="A228" i="35" s="1"/>
  <c r="A229" i="35" s="1"/>
  <c r="A230" i="35" s="1"/>
  <c r="A231" i="35" s="1"/>
  <c r="A232" i="35" s="1"/>
  <c r="A233" i="35" s="1"/>
  <c r="A234" i="35" s="1"/>
  <c r="A235" i="35" s="1"/>
  <c r="A236" i="35" s="1"/>
  <c r="A237" i="35" s="1"/>
  <c r="A238" i="35" s="1"/>
  <c r="A239" i="35" s="1"/>
  <c r="A240" i="35" s="1"/>
  <c r="A241" i="35" s="1"/>
  <c r="A242" i="35" s="1"/>
  <c r="A243" i="35" s="1"/>
  <c r="A244" i="35" s="1"/>
  <c r="A245" i="35" s="1"/>
  <c r="A246" i="35" s="1"/>
  <c r="A247" i="35" s="1"/>
  <c r="A248" i="35" s="1"/>
  <c r="A249" i="35" s="1"/>
  <c r="A250" i="35" s="1"/>
  <c r="A251" i="35" s="1"/>
  <c r="A252" i="35" s="1"/>
  <c r="A253" i="35" s="1"/>
  <c r="A254" i="35" s="1"/>
  <c r="A255" i="35" s="1"/>
  <c r="A256" i="35" s="1"/>
  <c r="A257" i="35" s="1"/>
  <c r="A258" i="35" s="1"/>
  <c r="A259" i="35" s="1"/>
  <c r="A260" i="35" s="1"/>
  <c r="A261" i="35" s="1"/>
  <c r="A262" i="35" s="1"/>
  <c r="A263" i="35" s="1"/>
  <c r="A264" i="35" s="1"/>
  <c r="A265" i="35" s="1"/>
  <c r="A266" i="35" s="1"/>
  <c r="A267" i="35" s="1"/>
  <c r="A268" i="35" s="1"/>
  <c r="A269" i="35" s="1"/>
  <c r="A270" i="35" s="1"/>
  <c r="A271" i="35" s="1"/>
  <c r="A272" i="35" s="1"/>
  <c r="A273" i="35" s="1"/>
  <c r="A274" i="35" s="1"/>
  <c r="A275" i="35" s="1"/>
  <c r="A276" i="35" s="1"/>
  <c r="A277" i="35" s="1"/>
  <c r="A278" i="35" s="1"/>
  <c r="A279" i="35" s="1"/>
  <c r="A280" i="35" s="1"/>
  <c r="A281" i="35" s="1"/>
  <c r="A282" i="35" s="1"/>
  <c r="A283" i="35" s="1"/>
  <c r="A284" i="35" s="1"/>
  <c r="A285" i="35" s="1"/>
  <c r="A286" i="35" s="1"/>
  <c r="A287" i="35" s="1"/>
  <c r="A288" i="35" s="1"/>
  <c r="A289" i="35" s="1"/>
  <c r="A290" i="35" s="1"/>
  <c r="A291" i="35" s="1"/>
  <c r="A292" i="35" s="1"/>
  <c r="A293" i="35" s="1"/>
  <c r="A294" i="35" s="1"/>
  <c r="A295" i="35" s="1"/>
  <c r="A296" i="35" s="1"/>
  <c r="A297" i="35" s="1"/>
  <c r="A298" i="35" s="1"/>
  <c r="A299" i="35" s="1"/>
  <c r="A300" i="35" s="1"/>
  <c r="A301" i="35" s="1"/>
  <c r="A302" i="35" s="1"/>
  <c r="A303" i="35" s="1"/>
  <c r="A304" i="35" s="1"/>
  <c r="A305" i="35" s="1"/>
  <c r="A306" i="35" s="1"/>
  <c r="A307" i="35" s="1"/>
  <c r="A308" i="35" s="1"/>
  <c r="A309" i="35" s="1"/>
  <c r="A310" i="35" s="1"/>
  <c r="A311" i="35" s="1"/>
  <c r="A312" i="35" s="1"/>
  <c r="A313" i="35" s="1"/>
  <c r="A314" i="35" s="1"/>
  <c r="A315" i="35" s="1"/>
  <c r="A316" i="35" s="1"/>
  <c r="A317" i="35" s="1"/>
  <c r="A318" i="35" s="1"/>
  <c r="A319" i="35" s="1"/>
  <c r="A320" i="35" s="1"/>
  <c r="A321" i="35" s="1"/>
  <c r="A322" i="35" s="1"/>
  <c r="A323" i="35" s="1"/>
  <c r="A324" i="35" s="1"/>
  <c r="A325" i="35" s="1"/>
  <c r="A326" i="35" s="1"/>
  <c r="A327" i="35" s="1"/>
  <c r="A328" i="35" s="1"/>
  <c r="A329" i="35" s="1"/>
  <c r="A330" i="35" s="1"/>
  <c r="A331" i="35" s="1"/>
  <c r="A332" i="35" s="1"/>
  <c r="A333" i="35" s="1"/>
  <c r="A334" i="35" s="1"/>
  <c r="A335" i="35" s="1"/>
  <c r="A336" i="35" s="1"/>
  <c r="A337" i="35" s="1"/>
  <c r="A338" i="35" s="1"/>
  <c r="A339" i="35" s="1"/>
  <c r="A340" i="35" s="1"/>
  <c r="A341" i="35" s="1"/>
  <c r="A342" i="35" s="1"/>
  <c r="A343" i="35" s="1"/>
  <c r="A344" i="35" s="1"/>
  <c r="A345" i="35" s="1"/>
  <c r="A346" i="35" s="1"/>
  <c r="A347" i="35" s="1"/>
  <c r="A348" i="35" s="1"/>
  <c r="A349" i="35" s="1"/>
  <c r="A350" i="35" s="1"/>
  <c r="A351" i="35" s="1"/>
  <c r="A352" i="35" s="1"/>
  <c r="A353" i="35" s="1"/>
  <c r="A354" i="35" s="1"/>
  <c r="A355" i="35" s="1"/>
  <c r="A356" i="35" s="1"/>
  <c r="A357" i="35" s="1"/>
  <c r="A358" i="35" s="1"/>
  <c r="A359" i="35" s="1"/>
  <c r="A360" i="35" s="1"/>
  <c r="A361" i="35" s="1"/>
  <c r="A362" i="35" s="1"/>
  <c r="A363" i="35" s="1"/>
  <c r="A364" i="35" s="1"/>
  <c r="F11" i="1"/>
  <c r="K11" i="1"/>
  <c r="I11" i="1"/>
  <c r="H11" i="1"/>
  <c r="G11" i="1"/>
  <c r="J11" i="1"/>
  <c r="I8" i="1"/>
  <c r="I63" i="1"/>
  <c r="I64" i="1" s="1"/>
  <c r="J63" i="1"/>
  <c r="J64" i="1" s="1"/>
  <c r="J113" i="17"/>
  <c r="I105" i="17"/>
  <c r="I106" i="17" s="1"/>
  <c r="J105" i="17"/>
  <c r="J106" i="17" s="1"/>
  <c r="J80" i="17"/>
  <c r="J78" i="17"/>
  <c r="I80" i="17"/>
  <c r="I79" i="17"/>
  <c r="I78" i="17"/>
  <c r="I77" i="17"/>
  <c r="I76" i="17"/>
  <c r="J71" i="17"/>
  <c r="E102" i="15" s="1"/>
  <c r="I44" i="17"/>
  <c r="I35" i="17"/>
  <c r="I34" i="17"/>
  <c r="I33" i="17"/>
  <c r="I32" i="17"/>
  <c r="K11" i="17"/>
  <c r="L11" i="17" s="1"/>
  <c r="M11" i="17" s="1"/>
  <c r="N11" i="17" s="1"/>
  <c r="O11" i="17" s="1"/>
  <c r="P11" i="17" s="1"/>
  <c r="Q11" i="17" s="1"/>
  <c r="R11" i="17" s="1"/>
  <c r="S11" i="17" s="1"/>
  <c r="T11" i="17" s="1"/>
  <c r="U11" i="17" s="1"/>
  <c r="V11" i="17" s="1"/>
  <c r="K7" i="17"/>
  <c r="L7" i="17" s="1"/>
  <c r="J93" i="18"/>
  <c r="J16" i="18"/>
  <c r="H16" i="18"/>
  <c r="I16" i="18"/>
  <c r="J85" i="18"/>
  <c r="J86" i="18" s="1"/>
  <c r="I85" i="18"/>
  <c r="I86" i="18" s="1"/>
  <c r="I52" i="20"/>
  <c r="I53" i="20" s="1"/>
  <c r="J51" i="20"/>
  <c r="I18" i="16" s="1"/>
  <c r="I18" i="39" s="1"/>
  <c r="I35" i="18"/>
  <c r="I34" i="18"/>
  <c r="I33" i="18"/>
  <c r="K10" i="18"/>
  <c r="L10" i="18" s="1"/>
  <c r="M10" i="18" s="1"/>
  <c r="N10" i="18" s="1"/>
  <c r="O10" i="18" s="1"/>
  <c r="P10" i="18" s="1"/>
  <c r="Q10" i="18" s="1"/>
  <c r="R10" i="18" s="1"/>
  <c r="S10" i="18" s="1"/>
  <c r="T10" i="18" s="1"/>
  <c r="U10" i="18" s="1"/>
  <c r="V10" i="18" s="1"/>
  <c r="K9" i="18"/>
  <c r="C11" i="18"/>
  <c r="D11" i="18"/>
  <c r="E11" i="18"/>
  <c r="F11" i="18"/>
  <c r="K9" i="20"/>
  <c r="L9" i="20" s="1"/>
  <c r="M9" i="20" s="1"/>
  <c r="N9" i="20" s="1"/>
  <c r="O9" i="20" s="1"/>
  <c r="P9" i="20" s="1"/>
  <c r="Q9" i="20" s="1"/>
  <c r="R9" i="20" s="1"/>
  <c r="S9" i="20" s="1"/>
  <c r="T9" i="20" s="1"/>
  <c r="U9" i="20" s="1"/>
  <c r="V9" i="20" s="1"/>
  <c r="J10" i="20"/>
  <c r="I10" i="20"/>
  <c r="H10" i="20"/>
  <c r="I55" i="20"/>
  <c r="H55" i="20"/>
  <c r="G55" i="20"/>
  <c r="J55" i="20"/>
  <c r="J74" i="18"/>
  <c r="J27" i="20"/>
  <c r="I16" i="20"/>
  <c r="I7" i="20"/>
  <c r="C259" i="5"/>
  <c r="I259" i="5"/>
  <c r="H259" i="5"/>
  <c r="G259" i="5"/>
  <c r="F259" i="5"/>
  <c r="E259" i="5"/>
  <c r="D259" i="5"/>
  <c r="J259" i="5"/>
  <c r="J197" i="5"/>
  <c r="J51" i="5" s="1"/>
  <c r="I172" i="39" s="1"/>
  <c r="K51" i="5"/>
  <c r="J172" i="39" s="1"/>
  <c r="J281" i="5"/>
  <c r="J253" i="5"/>
  <c r="J116" i="5"/>
  <c r="I197" i="39" s="1"/>
  <c r="G116" i="5"/>
  <c r="F197" i="39" s="1"/>
  <c r="H116" i="5"/>
  <c r="G197" i="39" s="1"/>
  <c r="I116" i="5"/>
  <c r="H197" i="39" s="1"/>
  <c r="E117" i="5"/>
  <c r="D198" i="39" s="1"/>
  <c r="D117" i="5"/>
  <c r="C198" i="39" s="1"/>
  <c r="C117" i="5"/>
  <c r="B198" i="39" s="1"/>
  <c r="J111" i="5"/>
  <c r="I122" i="16" s="1"/>
  <c r="I128" i="16" s="1"/>
  <c r="J92" i="5"/>
  <c r="L92" i="5" s="1"/>
  <c r="M92" i="5" s="1"/>
  <c r="N92" i="5" s="1"/>
  <c r="O92" i="5" s="1"/>
  <c r="P92" i="5" s="1"/>
  <c r="Q92" i="5" s="1"/>
  <c r="R92" i="5" s="1"/>
  <c r="S92" i="5" s="1"/>
  <c r="T92" i="5" s="1"/>
  <c r="U92" i="5" s="1"/>
  <c r="V92" i="5" s="1"/>
  <c r="J82" i="5"/>
  <c r="L82" i="5" s="1"/>
  <c r="M82" i="5" s="1"/>
  <c r="N82" i="5" s="1"/>
  <c r="O82" i="5" s="1"/>
  <c r="P82" i="5" s="1"/>
  <c r="Q82" i="5" s="1"/>
  <c r="R82" i="5" s="1"/>
  <c r="S82" i="5" s="1"/>
  <c r="T82" i="5" s="1"/>
  <c r="U82" i="5" s="1"/>
  <c r="V82" i="5" s="1"/>
  <c r="J49" i="5"/>
  <c r="I170" i="39" s="1"/>
  <c r="I63" i="16"/>
  <c r="J46" i="5" s="1"/>
  <c r="I188" i="5"/>
  <c r="I50" i="5" s="1"/>
  <c r="H171" i="39" s="1"/>
  <c r="J168" i="5"/>
  <c r="I154" i="5"/>
  <c r="I155" i="5"/>
  <c r="J145" i="5"/>
  <c r="I133" i="5"/>
  <c r="I137" i="5" s="1"/>
  <c r="I268" i="5" s="1"/>
  <c r="J27" i="5"/>
  <c r="I48" i="16"/>
  <c r="I63" i="39" s="1"/>
  <c r="C82" i="16"/>
  <c r="C67" i="39" s="1"/>
  <c r="D82" i="16"/>
  <c r="D67" i="39" s="1"/>
  <c r="E82" i="16"/>
  <c r="E67" i="39" s="1"/>
  <c r="F82" i="16"/>
  <c r="F67" i="39" s="1"/>
  <c r="G82" i="16"/>
  <c r="G67" i="39" s="1"/>
  <c r="H82" i="16"/>
  <c r="H67" i="39" s="1"/>
  <c r="I82" i="16"/>
  <c r="I67" i="39" s="1"/>
  <c r="J82" i="16"/>
  <c r="J67" i="39" s="1"/>
  <c r="K82" i="16"/>
  <c r="K67" i="39" s="1"/>
  <c r="L82" i="16"/>
  <c r="L67" i="39" s="1"/>
  <c r="M82" i="16"/>
  <c r="M67" i="39" s="1"/>
  <c r="N82" i="16"/>
  <c r="N67" i="39" s="1"/>
  <c r="O82" i="16"/>
  <c r="O67" i="39" s="1"/>
  <c r="P82" i="16"/>
  <c r="P67" i="39" s="1"/>
  <c r="B82" i="16"/>
  <c r="B67" i="39" s="1"/>
  <c r="C26" i="16"/>
  <c r="C24" i="39" s="1"/>
  <c r="D26" i="16"/>
  <c r="D24" i="39" s="1"/>
  <c r="E26" i="16"/>
  <c r="E24" i="39" s="1"/>
  <c r="F26" i="16"/>
  <c r="F24" i="39" s="1"/>
  <c r="G26" i="16"/>
  <c r="H26" i="16"/>
  <c r="H24" i="39" s="1"/>
  <c r="I26" i="16"/>
  <c r="I24" i="39" s="1"/>
  <c r="J26" i="16"/>
  <c r="E86" i="34" s="1"/>
  <c r="E101" i="34" s="1"/>
  <c r="K26" i="16"/>
  <c r="K24" i="39" s="1"/>
  <c r="L26" i="16"/>
  <c r="L24" i="39" s="1"/>
  <c r="M26" i="16"/>
  <c r="N26" i="16"/>
  <c r="N24" i="39" s="1"/>
  <c r="O26" i="16"/>
  <c r="O24" i="39" s="1"/>
  <c r="P26" i="16"/>
  <c r="P24" i="39" s="1"/>
  <c r="B26" i="16"/>
  <c r="B24" i="39" s="1"/>
  <c r="C5" i="16"/>
  <c r="C5" i="39" s="1"/>
  <c r="D5" i="16"/>
  <c r="D5" i="39" s="1"/>
  <c r="E5" i="16"/>
  <c r="E5" i="39" s="1"/>
  <c r="F5" i="16"/>
  <c r="F5" i="39" s="1"/>
  <c r="G5" i="16"/>
  <c r="G5" i="39" s="1"/>
  <c r="H5" i="16"/>
  <c r="H5" i="39" s="1"/>
  <c r="I5" i="16"/>
  <c r="I5" i="39" s="1"/>
  <c r="J5" i="16"/>
  <c r="J5" i="39" s="1"/>
  <c r="K5" i="16"/>
  <c r="K5" i="39" s="1"/>
  <c r="L5" i="16"/>
  <c r="L5" i="39" s="1"/>
  <c r="M5" i="16"/>
  <c r="M5" i="39" s="1"/>
  <c r="N5" i="16"/>
  <c r="N5" i="39" s="1"/>
  <c r="O5" i="16"/>
  <c r="O5" i="39" s="1"/>
  <c r="P5" i="16"/>
  <c r="P5" i="39" s="1"/>
  <c r="B5" i="16"/>
  <c r="B5" i="39" s="1"/>
  <c r="J100" i="18"/>
  <c r="J119" i="17"/>
  <c r="J88" i="1"/>
  <c r="C74" i="37"/>
  <c r="C76" i="37" s="1"/>
  <c r="B74" i="37"/>
  <c r="B76" i="37" s="1"/>
  <c r="C61" i="37"/>
  <c r="C60" i="37"/>
  <c r="E62" i="37"/>
  <c r="A62" i="37" s="1"/>
  <c r="E61" i="37"/>
  <c r="A61" i="37" s="1"/>
  <c r="E60" i="37"/>
  <c r="A60" i="37" s="1"/>
  <c r="E59" i="37"/>
  <c r="A59" i="37" s="1"/>
  <c r="E58" i="37"/>
  <c r="A58" i="37" s="1"/>
  <c r="B34" i="37"/>
  <c r="J166" i="39"/>
  <c r="AJ166" i="39" s="1"/>
  <c r="E12" i="37"/>
  <c r="D12" i="37"/>
  <c r="G12" i="37" s="1"/>
  <c r="C12" i="37"/>
  <c r="K14" i="37"/>
  <c r="K10" i="37"/>
  <c r="K6" i="37"/>
  <c r="G11" i="37"/>
  <c r="H11" i="37" s="1"/>
  <c r="K7" i="37"/>
  <c r="G14" i="37"/>
  <c r="H14" i="37" s="1"/>
  <c r="B15" i="37"/>
  <c r="B7" i="37"/>
  <c r="B8" i="37"/>
  <c r="B9" i="37"/>
  <c r="B10" i="37"/>
  <c r="B6" i="37"/>
  <c r="G10" i="37"/>
  <c r="G60" i="37" s="1"/>
  <c r="CH170" i="29"/>
  <c r="CF170" i="29"/>
  <c r="AD154" i="29"/>
  <c r="CH122" i="29"/>
  <c r="CF122" i="29"/>
  <c r="CH118" i="29"/>
  <c r="CF118" i="29"/>
  <c r="CH114" i="29"/>
  <c r="CF114" i="29"/>
  <c r="CH110" i="29"/>
  <c r="CF110" i="29"/>
  <c r="AD71" i="29"/>
  <c r="AN75" i="32" s="1"/>
  <c r="AD34" i="29"/>
  <c r="AD33" i="29"/>
  <c r="CF128" i="29"/>
  <c r="CF99" i="29"/>
  <c r="CH99" i="29"/>
  <c r="CH128" i="29"/>
  <c r="I104" i="1"/>
  <c r="I106" i="1" s="1"/>
  <c r="H104" i="1"/>
  <c r="H106" i="1" s="1"/>
  <c r="G104" i="1"/>
  <c r="F104" i="1"/>
  <c r="E104" i="1"/>
  <c r="CA34" i="29"/>
  <c r="BZ32" i="29"/>
  <c r="BZ33" i="29" s="1"/>
  <c r="Z35" i="29"/>
  <c r="BZ14" i="29" s="1"/>
  <c r="AB34" i="29"/>
  <c r="AA34" i="29"/>
  <c r="X34" i="29"/>
  <c r="W34" i="29"/>
  <c r="V34" i="29"/>
  <c r="U34" i="29"/>
  <c r="T34" i="29"/>
  <c r="AC34" i="29"/>
  <c r="BY50" i="29"/>
  <c r="BY46" i="29"/>
  <c r="P202" i="34"/>
  <c r="O202" i="34"/>
  <c r="N202" i="34"/>
  <c r="M202" i="34"/>
  <c r="L202" i="34"/>
  <c r="K202" i="34"/>
  <c r="L206" i="34"/>
  <c r="M206" i="34"/>
  <c r="N206" i="34"/>
  <c r="O206" i="34"/>
  <c r="P206" i="34"/>
  <c r="K206" i="34"/>
  <c r="CB148" i="29"/>
  <c r="CB147" i="29"/>
  <c r="BZ146" i="29"/>
  <c r="BZ147" i="29" s="1"/>
  <c r="CA140" i="29"/>
  <c r="CA137" i="29"/>
  <c r="BZ136" i="29"/>
  <c r="BZ138" i="29" s="1"/>
  <c r="AM19" i="32"/>
  <c r="AL19" i="32"/>
  <c r="AK19" i="32"/>
  <c r="AI19" i="32"/>
  <c r="AH19" i="32"/>
  <c r="AG19" i="32"/>
  <c r="AF19" i="32"/>
  <c r="AD19" i="32"/>
  <c r="AC19" i="32"/>
  <c r="AB19" i="32"/>
  <c r="AA19" i="32"/>
  <c r="Y19" i="32"/>
  <c r="X19" i="32"/>
  <c r="AC208" i="29"/>
  <c r="AB208" i="29"/>
  <c r="Y208" i="29"/>
  <c r="X208" i="29"/>
  <c r="W208" i="29"/>
  <c r="V208" i="29"/>
  <c r="U208" i="29"/>
  <c r="T208" i="29"/>
  <c r="S208" i="29"/>
  <c r="R208" i="29"/>
  <c r="Q208" i="29"/>
  <c r="AC207" i="29"/>
  <c r="AB207" i="29"/>
  <c r="AA207" i="29"/>
  <c r="Y207" i="29"/>
  <c r="X207" i="29"/>
  <c r="W207" i="29"/>
  <c r="V207" i="29"/>
  <c r="U207" i="29"/>
  <c r="T207" i="29"/>
  <c r="S207" i="29"/>
  <c r="Z207" i="29"/>
  <c r="Z208" i="29"/>
  <c r="AA208" i="29"/>
  <c r="AM97" i="32"/>
  <c r="AM95" i="32"/>
  <c r="AM94" i="32"/>
  <c r="AM92" i="32"/>
  <c r="AM93" i="32" s="1"/>
  <c r="AM76" i="32"/>
  <c r="AM74" i="32"/>
  <c r="AM73" i="32"/>
  <c r="AM71" i="32"/>
  <c r="AM72" i="32" s="1"/>
  <c r="AM55" i="32"/>
  <c r="AM53" i="32"/>
  <c r="AM52" i="32"/>
  <c r="AM50" i="32"/>
  <c r="AM51" i="32" s="1"/>
  <c r="AM33" i="32"/>
  <c r="AM31" i="32"/>
  <c r="AM30" i="32"/>
  <c r="AM28" i="32"/>
  <c r="AM29" i="32" s="1"/>
  <c r="AM13" i="32"/>
  <c r="AM12" i="32"/>
  <c r="AM10" i="32"/>
  <c r="AM9" i="32"/>
  <c r="AM7" i="32"/>
  <c r="AM8" i="32" s="1"/>
  <c r="AL97" i="32"/>
  <c r="AL95" i="32"/>
  <c r="AL94" i="32"/>
  <c r="AL92" i="32"/>
  <c r="AL93" i="32" s="1"/>
  <c r="AL76" i="32"/>
  <c r="AL74" i="32"/>
  <c r="AL73" i="32"/>
  <c r="AL71" i="32"/>
  <c r="AL72" i="32" s="1"/>
  <c r="AL55" i="32"/>
  <c r="AL53" i="32"/>
  <c r="AL52" i="32"/>
  <c r="AL50" i="32"/>
  <c r="AL51" i="32" s="1"/>
  <c r="AL33" i="32"/>
  <c r="AL31" i="32"/>
  <c r="AL30" i="32"/>
  <c r="AL28" i="32"/>
  <c r="AL29" i="32" s="1"/>
  <c r="AL13" i="32"/>
  <c r="AL12" i="32"/>
  <c r="AL10" i="32"/>
  <c r="AL9" i="32"/>
  <c r="AL7" i="32"/>
  <c r="AL8" i="32" s="1"/>
  <c r="AC131" i="29"/>
  <c r="AC138" i="29"/>
  <c r="AC46" i="29"/>
  <c r="AM37" i="32" s="1"/>
  <c r="BZ110" i="29"/>
  <c r="CA100" i="29"/>
  <c r="CA99" i="29"/>
  <c r="BK44" i="35"/>
  <c r="BK45" i="35" s="1"/>
  <c r="BH44" i="35" s="1"/>
  <c r="Y127" i="29"/>
  <c r="AC71" i="29"/>
  <c r="AM75" i="32" s="1"/>
  <c r="AC157" i="29"/>
  <c r="AB157" i="29"/>
  <c r="AC202" i="29"/>
  <c r="AB202" i="29"/>
  <c r="AA202" i="29"/>
  <c r="Z202" i="29"/>
  <c r="Y202" i="29"/>
  <c r="AC172" i="29"/>
  <c r="AC171" i="29"/>
  <c r="AC154" i="29"/>
  <c r="C3" i="36"/>
  <c r="C4" i="36"/>
  <c r="C5" i="36"/>
  <c r="C6" i="36"/>
  <c r="C8" i="36"/>
  <c r="C9" i="36"/>
  <c r="C10" i="36"/>
  <c r="C2" i="36"/>
  <c r="B7" i="36"/>
  <c r="AA199" i="29"/>
  <c r="Z199" i="29"/>
  <c r="Y199" i="29"/>
  <c r="X199" i="29"/>
  <c r="AB199" i="29"/>
  <c r="X191" i="29"/>
  <c r="X192" i="29" s="1"/>
  <c r="AB191" i="29"/>
  <c r="AB192" i="29" s="1"/>
  <c r="AW186" i="35"/>
  <c r="AW187" i="35"/>
  <c r="AW188" i="35"/>
  <c r="AW189" i="35"/>
  <c r="AW190" i="35"/>
  <c r="AW191" i="35"/>
  <c r="AW192" i="35"/>
  <c r="AW193" i="35"/>
  <c r="AW194" i="35"/>
  <c r="AW195" i="35"/>
  <c r="AW196" i="35"/>
  <c r="AW197" i="35"/>
  <c r="AW198" i="35"/>
  <c r="AW199" i="35"/>
  <c r="AW200" i="35"/>
  <c r="AW201" i="35"/>
  <c r="AW202" i="35"/>
  <c r="AW203" i="35"/>
  <c r="AW204" i="35"/>
  <c r="AW205" i="35"/>
  <c r="AW206" i="35"/>
  <c r="AW207" i="35"/>
  <c r="AW208" i="35"/>
  <c r="AW209" i="35"/>
  <c r="AW210" i="35"/>
  <c r="AW211" i="35"/>
  <c r="AW212" i="35"/>
  <c r="AW213" i="35"/>
  <c r="AW214" i="35"/>
  <c r="AW215" i="35"/>
  <c r="AW216" i="35"/>
  <c r="AW217" i="35"/>
  <c r="AW218" i="35"/>
  <c r="AW219" i="35"/>
  <c r="AW220" i="35"/>
  <c r="AW221" i="35"/>
  <c r="AW222" i="35"/>
  <c r="AW223" i="35"/>
  <c r="AW224" i="35"/>
  <c r="AW225" i="35"/>
  <c r="AW226" i="35"/>
  <c r="AW227" i="35"/>
  <c r="AW228" i="35"/>
  <c r="AW229" i="35"/>
  <c r="AW230" i="35"/>
  <c r="AW231" i="35"/>
  <c r="AC92" i="29"/>
  <c r="AC78" i="29"/>
  <c r="AM81" i="32" s="1"/>
  <c r="AC76" i="29"/>
  <c r="AM80" i="32" s="1"/>
  <c r="AC64" i="29"/>
  <c r="AC62" i="29"/>
  <c r="AC48" i="29"/>
  <c r="AM38" i="32" s="1"/>
  <c r="G237" i="34"/>
  <c r="G236" i="34"/>
  <c r="G235" i="34"/>
  <c r="G234" i="34"/>
  <c r="D237" i="34"/>
  <c r="D236" i="34"/>
  <c r="D235" i="34"/>
  <c r="D234" i="34"/>
  <c r="AB127" i="29"/>
  <c r="AB126" i="29" s="1"/>
  <c r="AC85" i="29"/>
  <c r="AM96" i="32" s="1"/>
  <c r="AC55" i="29"/>
  <c r="AM54" i="32" s="1"/>
  <c r="AC42" i="29"/>
  <c r="AC90" i="29"/>
  <c r="AC40" i="29"/>
  <c r="AM32" i="32" s="1"/>
  <c r="AC13" i="29"/>
  <c r="X108" i="29"/>
  <c r="Y108" i="29" s="1"/>
  <c r="Z108" i="29" s="1"/>
  <c r="AB109" i="29"/>
  <c r="AB108" i="29" s="1"/>
  <c r="AB172" i="29"/>
  <c r="AB171" i="29"/>
  <c r="AB154" i="29"/>
  <c r="AB140" i="29"/>
  <c r="AB138" i="29"/>
  <c r="AB123" i="29"/>
  <c r="AB119" i="29"/>
  <c r="AB115" i="29"/>
  <c r="AB111" i="29"/>
  <c r="AB92" i="29"/>
  <c r="AB90" i="29"/>
  <c r="AL101" i="32" s="1"/>
  <c r="AB88" i="29"/>
  <c r="AB87" i="29"/>
  <c r="AB85" i="29"/>
  <c r="AL96" i="32" s="1"/>
  <c r="AB78" i="29"/>
  <c r="AL81" i="32" s="1"/>
  <c r="AB76" i="29"/>
  <c r="AL80" i="32" s="1"/>
  <c r="AB74" i="29"/>
  <c r="AB73" i="29"/>
  <c r="AB71" i="29"/>
  <c r="AL75" i="32" s="1"/>
  <c r="AB64" i="29"/>
  <c r="AB62" i="29"/>
  <c r="AL59" i="32" s="1"/>
  <c r="AB58" i="29"/>
  <c r="AB57" i="29"/>
  <c r="AB55" i="29"/>
  <c r="AL54" i="32" s="1"/>
  <c r="AB48" i="29"/>
  <c r="AL38" i="32" s="1"/>
  <c r="AB46" i="29"/>
  <c r="AL37" i="32" s="1"/>
  <c r="AB43" i="29"/>
  <c r="AB42" i="29"/>
  <c r="AB40" i="29"/>
  <c r="AL32" i="32" s="1"/>
  <c r="AB33" i="29"/>
  <c r="AB29" i="29"/>
  <c r="AL17" i="32" s="1"/>
  <c r="AB26" i="29"/>
  <c r="AB14" i="29"/>
  <c r="AB13" i="29"/>
  <c r="AB11" i="29"/>
  <c r="AL11" i="32" s="1"/>
  <c r="AB131" i="29"/>
  <c r="AB130" i="29"/>
  <c r="AB102" i="29"/>
  <c r="AB103" i="29" s="1"/>
  <c r="AA127" i="29"/>
  <c r="AA126" i="29" s="1"/>
  <c r="AW3" i="35"/>
  <c r="AW4" i="35"/>
  <c r="AW5" i="35"/>
  <c r="AW6" i="35"/>
  <c r="AW7" i="35"/>
  <c r="AW8" i="35"/>
  <c r="AW9" i="35"/>
  <c r="AW10" i="35"/>
  <c r="AW11" i="35"/>
  <c r="AW12" i="35"/>
  <c r="AW13" i="35"/>
  <c r="AW14" i="35"/>
  <c r="AW15" i="35"/>
  <c r="AW16" i="35"/>
  <c r="AW17" i="35"/>
  <c r="AW18" i="35"/>
  <c r="AW19" i="35"/>
  <c r="AW20" i="35"/>
  <c r="AW21" i="35"/>
  <c r="AW22" i="35"/>
  <c r="AW23" i="35"/>
  <c r="AW24" i="35"/>
  <c r="AW25" i="35"/>
  <c r="AW26" i="35"/>
  <c r="AW27" i="35"/>
  <c r="AW28" i="35"/>
  <c r="AW29" i="35"/>
  <c r="AW30" i="35"/>
  <c r="AW31" i="35"/>
  <c r="AW32" i="35"/>
  <c r="AW33" i="35"/>
  <c r="AW34" i="35"/>
  <c r="AW35" i="35"/>
  <c r="AW36" i="35"/>
  <c r="AW37" i="35"/>
  <c r="AW38" i="35"/>
  <c r="AW39" i="35"/>
  <c r="AW40" i="35"/>
  <c r="AW41" i="35"/>
  <c r="AW42" i="35"/>
  <c r="AW43" i="35"/>
  <c r="AW44" i="35"/>
  <c r="AW45" i="35"/>
  <c r="AW46" i="35"/>
  <c r="AW47" i="35"/>
  <c r="AW48" i="35"/>
  <c r="AW49" i="35"/>
  <c r="AW50" i="35"/>
  <c r="AW51" i="35"/>
  <c r="AW52" i="35"/>
  <c r="AW53" i="35"/>
  <c r="AW54" i="35"/>
  <c r="AW55" i="35"/>
  <c r="AW56" i="35"/>
  <c r="AW57" i="35"/>
  <c r="AW58" i="35"/>
  <c r="AW59" i="35"/>
  <c r="AW60" i="35"/>
  <c r="AW61" i="35"/>
  <c r="AW62" i="35"/>
  <c r="AW63" i="35"/>
  <c r="AW64" i="35"/>
  <c r="AW65" i="35"/>
  <c r="AW66" i="35"/>
  <c r="AW67" i="35"/>
  <c r="AW68" i="35"/>
  <c r="AW69" i="35"/>
  <c r="AW70" i="35"/>
  <c r="AW71" i="35"/>
  <c r="AW72" i="35"/>
  <c r="AW73" i="35"/>
  <c r="AW74" i="35"/>
  <c r="AW75" i="35"/>
  <c r="AW76" i="35"/>
  <c r="AW77" i="35"/>
  <c r="AW78" i="35"/>
  <c r="AW79" i="35"/>
  <c r="AW80" i="35"/>
  <c r="AW81" i="35"/>
  <c r="AW82" i="35"/>
  <c r="AW83" i="35"/>
  <c r="AW84" i="35"/>
  <c r="AW85" i="35"/>
  <c r="AW86" i="35"/>
  <c r="AW87" i="35"/>
  <c r="AW88" i="35"/>
  <c r="AW89" i="35"/>
  <c r="AW90" i="35"/>
  <c r="AW91" i="35"/>
  <c r="AW92" i="35"/>
  <c r="AW93" i="35"/>
  <c r="AW94" i="35"/>
  <c r="AW95" i="35"/>
  <c r="AW96" i="35"/>
  <c r="AW97" i="35"/>
  <c r="AW98" i="35"/>
  <c r="AW99" i="35"/>
  <c r="AW100" i="35"/>
  <c r="AW101" i="35"/>
  <c r="AW102" i="35"/>
  <c r="AW103" i="35"/>
  <c r="AW104" i="35"/>
  <c r="AW105" i="35"/>
  <c r="AW106" i="35"/>
  <c r="AW107" i="35"/>
  <c r="AW108" i="35"/>
  <c r="AW109" i="35"/>
  <c r="AW110" i="35"/>
  <c r="AW111" i="35"/>
  <c r="AW112" i="35"/>
  <c r="AW113" i="35"/>
  <c r="AW114" i="35"/>
  <c r="AW115" i="35"/>
  <c r="AW116" i="35"/>
  <c r="AW117" i="35"/>
  <c r="AW118" i="35"/>
  <c r="AW119" i="35"/>
  <c r="AW120" i="35"/>
  <c r="AW121" i="35"/>
  <c r="AW122" i="35"/>
  <c r="AW123" i="35"/>
  <c r="AW124" i="35"/>
  <c r="AW125" i="35"/>
  <c r="AW126" i="35"/>
  <c r="AW127" i="35"/>
  <c r="AW128" i="35"/>
  <c r="AW129" i="35"/>
  <c r="AW130" i="35"/>
  <c r="AW131" i="35"/>
  <c r="AW132" i="35"/>
  <c r="AW133" i="35"/>
  <c r="AW134" i="35"/>
  <c r="AW135" i="35"/>
  <c r="AW136" i="35"/>
  <c r="AW137" i="35"/>
  <c r="AW138" i="35"/>
  <c r="AW139" i="35"/>
  <c r="AW140" i="35"/>
  <c r="AW141" i="35"/>
  <c r="AW142" i="35"/>
  <c r="AW143" i="35"/>
  <c r="AW144" i="35"/>
  <c r="AW145" i="35"/>
  <c r="AW146" i="35"/>
  <c r="AW147" i="35"/>
  <c r="AW148" i="35"/>
  <c r="AW149" i="35"/>
  <c r="AW150" i="35"/>
  <c r="AW151" i="35"/>
  <c r="AW152" i="35"/>
  <c r="AW153" i="35"/>
  <c r="AW154" i="35"/>
  <c r="AW155" i="35"/>
  <c r="AW156" i="35"/>
  <c r="AW157" i="35"/>
  <c r="AW158" i="35"/>
  <c r="AW159" i="35"/>
  <c r="AW160" i="35"/>
  <c r="AW161" i="35"/>
  <c r="AW162" i="35"/>
  <c r="AW163" i="35"/>
  <c r="AW164" i="35"/>
  <c r="AW165" i="35"/>
  <c r="AW166" i="35"/>
  <c r="AW167" i="35"/>
  <c r="AW168" i="35"/>
  <c r="AW169" i="35"/>
  <c r="AW170" i="35"/>
  <c r="AW171" i="35"/>
  <c r="AW172" i="35"/>
  <c r="AW173" i="35"/>
  <c r="AW174" i="35"/>
  <c r="AW175" i="35"/>
  <c r="AW176" i="35"/>
  <c r="AW177" i="35"/>
  <c r="AW178" i="35"/>
  <c r="AW179" i="35"/>
  <c r="AW180" i="35"/>
  <c r="AW181" i="35"/>
  <c r="AW182" i="35"/>
  <c r="AW183" i="35"/>
  <c r="AW184" i="35"/>
  <c r="AW185" i="35"/>
  <c r="BB25" i="35"/>
  <c r="BA24" i="35"/>
  <c r="BA19" i="35"/>
  <c r="BH21" i="35" s="1"/>
  <c r="BK21" i="35" s="1"/>
  <c r="BB20" i="35"/>
  <c r="BB15" i="35"/>
  <c r="H252" i="34"/>
  <c r="G252" i="34"/>
  <c r="F252" i="34"/>
  <c r="E252" i="34"/>
  <c r="D252" i="34"/>
  <c r="C252" i="34"/>
  <c r="AI161" i="28"/>
  <c r="AH161" i="28"/>
  <c r="AG161" i="28"/>
  <c r="AF161" i="28"/>
  <c r="AE161" i="28"/>
  <c r="AD161" i="28"/>
  <c r="AC161" i="28"/>
  <c r="AB161" i="28"/>
  <c r="AA161" i="28"/>
  <c r="Z161" i="28"/>
  <c r="Y161" i="28"/>
  <c r="AA153" i="28"/>
  <c r="Z153" i="28"/>
  <c r="Y153" i="28"/>
  <c r="AA152" i="28"/>
  <c r="Z152" i="28"/>
  <c r="Y152" i="28"/>
  <c r="AD151" i="28"/>
  <c r="AC151" i="28"/>
  <c r="AB151" i="28"/>
  <c r="AA151" i="28"/>
  <c r="Z151" i="28"/>
  <c r="Y151" i="28"/>
  <c r="X153" i="28"/>
  <c r="X152" i="28"/>
  <c r="X151" i="28"/>
  <c r="B153" i="28"/>
  <c r="B152" i="28"/>
  <c r="B151" i="28"/>
  <c r="BD105" i="35"/>
  <c r="BD104" i="35"/>
  <c r="BT2" i="35"/>
  <c r="BC2" i="35"/>
  <c r="BC1" i="35"/>
  <c r="BD113" i="35"/>
  <c r="AZ124" i="35"/>
  <c r="BA121" i="35"/>
  <c r="BA124" i="35" s="1"/>
  <c r="BD112" i="35"/>
  <c r="AA133" i="29"/>
  <c r="AA109" i="29"/>
  <c r="BO222" i="35"/>
  <c r="BO223" i="35" s="1"/>
  <c r="BO224" i="35" s="1"/>
  <c r="BO225" i="35" s="1"/>
  <c r="BO226" i="35" s="1"/>
  <c r="BO227" i="35" s="1"/>
  <c r="BO228" i="35" s="1"/>
  <c r="BO229" i="35" s="1"/>
  <c r="BO230" i="35" s="1"/>
  <c r="BO231" i="35" s="1"/>
  <c r="BO232" i="35" s="1"/>
  <c r="BO233" i="35" s="1"/>
  <c r="BO234" i="35" s="1"/>
  <c r="BO235" i="35" s="1"/>
  <c r="BO236" i="35" s="1"/>
  <c r="BO237" i="35" s="1"/>
  <c r="BO238" i="35" s="1"/>
  <c r="BO239" i="35" s="1"/>
  <c r="BO240" i="35" s="1"/>
  <c r="BO241" i="35" s="1"/>
  <c r="BO242" i="35" s="1"/>
  <c r="BO243" i="35" s="1"/>
  <c r="BO244" i="35" s="1"/>
  <c r="BO245" i="35" s="1"/>
  <c r="BO246" i="35" s="1"/>
  <c r="BO247" i="35" s="1"/>
  <c r="BO248" i="35" s="1"/>
  <c r="BO249" i="35" s="1"/>
  <c r="BO250" i="35" s="1"/>
  <c r="BO251" i="35" s="1"/>
  <c r="BO252" i="35" s="1"/>
  <c r="BO253" i="35" s="1"/>
  <c r="BO254" i="35" s="1"/>
  <c r="BO255" i="35" s="1"/>
  <c r="BO256" i="35" s="1"/>
  <c r="BO257" i="35" s="1"/>
  <c r="BO258" i="35" s="1"/>
  <c r="BO259" i="35" s="1"/>
  <c r="BO260" i="35" s="1"/>
  <c r="BO261" i="35" s="1"/>
  <c r="BO262" i="35" s="1"/>
  <c r="BO263" i="35" s="1"/>
  <c r="BO264" i="35" s="1"/>
  <c r="BO265" i="35" s="1"/>
  <c r="BO266" i="35" s="1"/>
  <c r="BO267" i="35" s="1"/>
  <c r="BO268" i="35" s="1"/>
  <c r="BO269" i="35" s="1"/>
  <c r="BO270" i="35" s="1"/>
  <c r="BO271" i="35" s="1"/>
  <c r="BO272" i="35" s="1"/>
  <c r="BO273" i="35" s="1"/>
  <c r="BO274" i="35" s="1"/>
  <c r="BO275" i="35" s="1"/>
  <c r="BO276" i="35" s="1"/>
  <c r="BO277" i="35" s="1"/>
  <c r="BO278" i="35" s="1"/>
  <c r="BO279" i="35" s="1"/>
  <c r="BO280" i="35" s="1"/>
  <c r="BO281" i="35" s="1"/>
  <c r="BO282" i="35" s="1"/>
  <c r="BO283" i="35" s="1"/>
  <c r="BO284" i="35" s="1"/>
  <c r="BO285" i="35" s="1"/>
  <c r="BO286" i="35" s="1"/>
  <c r="BO287" i="35" s="1"/>
  <c r="BO288" i="35" s="1"/>
  <c r="BO289" i="35" s="1"/>
  <c r="BO290" i="35" s="1"/>
  <c r="BO291" i="35" s="1"/>
  <c r="BO292" i="35" s="1"/>
  <c r="BO293" i="35" s="1"/>
  <c r="BO294" i="35" s="1"/>
  <c r="BO295" i="35" s="1"/>
  <c r="BO296" i="35" s="1"/>
  <c r="BO297" i="35" s="1"/>
  <c r="BO298" i="35" s="1"/>
  <c r="BO299" i="35" s="1"/>
  <c r="BO300" i="35" s="1"/>
  <c r="BO301" i="35" s="1"/>
  <c r="BO302" i="35" s="1"/>
  <c r="BO303" i="35" s="1"/>
  <c r="BO304" i="35" s="1"/>
  <c r="BO305" i="35" s="1"/>
  <c r="BO306" i="35" s="1"/>
  <c r="BO307" i="35" s="1"/>
  <c r="BO308" i="35" s="1"/>
  <c r="BO309" i="35" s="1"/>
  <c r="BO310" i="35" s="1"/>
  <c r="BO311" i="35" s="1"/>
  <c r="BO312" i="35" s="1"/>
  <c r="BO133" i="35"/>
  <c r="BO134" i="35" s="1"/>
  <c r="BO135" i="35" s="1"/>
  <c r="BO136" i="35" s="1"/>
  <c r="BO137" i="35" s="1"/>
  <c r="BO138" i="35" s="1"/>
  <c r="BO139" i="35" s="1"/>
  <c r="BO140" i="35" s="1"/>
  <c r="BO141" i="35" s="1"/>
  <c r="BO142" i="35" s="1"/>
  <c r="BO143" i="35" s="1"/>
  <c r="BO144" i="35" s="1"/>
  <c r="BO145" i="35" s="1"/>
  <c r="BO146" i="35" s="1"/>
  <c r="BO147" i="35" s="1"/>
  <c r="BO148" i="35" s="1"/>
  <c r="BO149" i="35" s="1"/>
  <c r="BO150" i="35" s="1"/>
  <c r="BO151" i="35" s="1"/>
  <c r="BO152" i="35" s="1"/>
  <c r="BO153" i="35" s="1"/>
  <c r="BO154" i="35" s="1"/>
  <c r="BO155" i="35" s="1"/>
  <c r="BO156" i="35" s="1"/>
  <c r="BO157" i="35" s="1"/>
  <c r="BO158" i="35" s="1"/>
  <c r="BO159" i="35" s="1"/>
  <c r="BO160" i="35" s="1"/>
  <c r="BO161" i="35" s="1"/>
  <c r="BO162" i="35" s="1"/>
  <c r="BO163" i="35" s="1"/>
  <c r="BO164" i="35" s="1"/>
  <c r="BO165" i="35" s="1"/>
  <c r="BO166" i="35" s="1"/>
  <c r="BO167" i="35" s="1"/>
  <c r="BO168" i="35" s="1"/>
  <c r="BO169" i="35" s="1"/>
  <c r="BO170" i="35" s="1"/>
  <c r="BO171" i="35" s="1"/>
  <c r="BO172" i="35" s="1"/>
  <c r="BO173" i="35" s="1"/>
  <c r="BO174" i="35" s="1"/>
  <c r="BO175" i="35" s="1"/>
  <c r="BO176" i="35" s="1"/>
  <c r="BO177" i="35" s="1"/>
  <c r="BO178" i="35" s="1"/>
  <c r="BO179" i="35" s="1"/>
  <c r="BO180" i="35" s="1"/>
  <c r="BO181" i="35" s="1"/>
  <c r="BO182" i="35" s="1"/>
  <c r="BO183" i="35" s="1"/>
  <c r="BO184" i="35" s="1"/>
  <c r="BO185" i="35" s="1"/>
  <c r="BO186" i="35" s="1"/>
  <c r="BO187" i="35" s="1"/>
  <c r="BO188" i="35" s="1"/>
  <c r="BO189" i="35" s="1"/>
  <c r="BO190" i="35" s="1"/>
  <c r="BO191" i="35" s="1"/>
  <c r="BO192" i="35" s="1"/>
  <c r="BO193" i="35" s="1"/>
  <c r="BO194" i="35" s="1"/>
  <c r="BO195" i="35" s="1"/>
  <c r="BO196" i="35" s="1"/>
  <c r="BO197" i="35" s="1"/>
  <c r="BO198" i="35" s="1"/>
  <c r="BO199" i="35" s="1"/>
  <c r="BO200" i="35" s="1"/>
  <c r="BO201" i="35" s="1"/>
  <c r="BO202" i="35" s="1"/>
  <c r="BO203" i="35" s="1"/>
  <c r="BO204" i="35" s="1"/>
  <c r="BO205" i="35" s="1"/>
  <c r="BO206" i="35" s="1"/>
  <c r="BO207" i="35" s="1"/>
  <c r="BO208" i="35" s="1"/>
  <c r="BO209" i="35" s="1"/>
  <c r="BO210" i="35" s="1"/>
  <c r="BO211" i="35" s="1"/>
  <c r="BO212" i="35" s="1"/>
  <c r="BO213" i="35" s="1"/>
  <c r="BO214" i="35" s="1"/>
  <c r="BO215" i="35" s="1"/>
  <c r="BO216" i="35" s="1"/>
  <c r="BO217" i="35" s="1"/>
  <c r="BO218" i="35" s="1"/>
  <c r="BO219" i="35" s="1"/>
  <c r="BO220" i="35" s="1"/>
  <c r="AC139" i="29"/>
  <c r="AB139" i="29"/>
  <c r="AC137" i="29"/>
  <c r="AB137" i="29"/>
  <c r="AC144" i="29"/>
  <c r="AC143" i="29"/>
  <c r="AB144" i="29"/>
  <c r="AB143" i="29"/>
  <c r="AC148" i="29"/>
  <c r="AC147" i="29"/>
  <c r="AB148" i="29"/>
  <c r="AB147" i="29"/>
  <c r="CK154" i="29"/>
  <c r="AC152" i="29"/>
  <c r="AC151" i="29"/>
  <c r="AB152" i="29"/>
  <c r="AB151" i="29"/>
  <c r="AC129" i="29"/>
  <c r="AB129" i="29"/>
  <c r="W109" i="29"/>
  <c r="X109" i="29" s="1"/>
  <c r="Y109" i="29" s="1"/>
  <c r="AB100" i="29"/>
  <c r="AC123" i="29"/>
  <c r="AC119" i="29"/>
  <c r="AC115" i="29"/>
  <c r="AC111" i="29"/>
  <c r="I168" i="5"/>
  <c r="I163" i="5"/>
  <c r="I164" i="5" s="1"/>
  <c r="I49" i="5"/>
  <c r="H170" i="39" s="1"/>
  <c r="I46" i="5"/>
  <c r="H166" i="39" s="1"/>
  <c r="AC100" i="29"/>
  <c r="AC29" i="29"/>
  <c r="AM17" i="32" s="1"/>
  <c r="AT166" i="35"/>
  <c r="AW232" i="35" s="1"/>
  <c r="AC132" i="29"/>
  <c r="AB132" i="29"/>
  <c r="AC57" i="29"/>
  <c r="AC73" i="29"/>
  <c r="AD13" i="32"/>
  <c r="AC13" i="32"/>
  <c r="AB13" i="32"/>
  <c r="CA5" i="35"/>
  <c r="CA6" i="35" s="1"/>
  <c r="AC58" i="29"/>
  <c r="AC87" i="29"/>
  <c r="AC74" i="29"/>
  <c r="AK97" i="32"/>
  <c r="AK95" i="32"/>
  <c r="AK94" i="32"/>
  <c r="AK92" i="32"/>
  <c r="AK93" i="32" s="1"/>
  <c r="AK76" i="32"/>
  <c r="AK74" i="32"/>
  <c r="AK73" i="32"/>
  <c r="AK71" i="32"/>
  <c r="AK72" i="32" s="1"/>
  <c r="AK55" i="32"/>
  <c r="AK53" i="32"/>
  <c r="AK52" i="32"/>
  <c r="AK50" i="32"/>
  <c r="AK51" i="32" s="1"/>
  <c r="AK33" i="32"/>
  <c r="AK31" i="32"/>
  <c r="AK30" i="32"/>
  <c r="AK28" i="32"/>
  <c r="AK29" i="32" s="1"/>
  <c r="AK13" i="32"/>
  <c r="AK12" i="32"/>
  <c r="AK10" i="32"/>
  <c r="AK9" i="32"/>
  <c r="AK7" i="32"/>
  <c r="AK8" i="32" s="1"/>
  <c r="F229" i="34"/>
  <c r="E228" i="34"/>
  <c r="F228" i="34" s="1"/>
  <c r="E227" i="34"/>
  <c r="F227" i="34" s="1"/>
  <c r="E226" i="34"/>
  <c r="F226" i="34" s="1"/>
  <c r="D229" i="34"/>
  <c r="D228" i="34"/>
  <c r="D227" i="34"/>
  <c r="D226" i="34"/>
  <c r="AA131" i="29"/>
  <c r="Z131" i="29"/>
  <c r="AA140" i="29"/>
  <c r="AA138" i="29"/>
  <c r="AA102" i="29"/>
  <c r="AA103" i="29" s="1"/>
  <c r="AA157" i="29"/>
  <c r="AA172" i="29"/>
  <c r="AA171" i="29"/>
  <c r="AA154" i="29"/>
  <c r="AA152" i="29"/>
  <c r="AA151" i="29"/>
  <c r="AA148" i="29"/>
  <c r="AA147" i="29"/>
  <c r="AA144" i="29"/>
  <c r="AA143" i="29"/>
  <c r="AA139" i="29"/>
  <c r="AA137" i="29"/>
  <c r="AA132" i="29"/>
  <c r="AA129" i="29"/>
  <c r="AA123" i="29"/>
  <c r="AA119" i="29"/>
  <c r="AA115" i="29"/>
  <c r="AA111" i="29"/>
  <c r="AA100" i="29"/>
  <c r="AA92" i="29"/>
  <c r="AK102" i="32" s="1"/>
  <c r="AA90" i="29"/>
  <c r="AK101" i="32" s="1"/>
  <c r="AA88" i="29"/>
  <c r="AA87" i="29"/>
  <c r="AA85" i="29"/>
  <c r="AK96" i="32" s="1"/>
  <c r="AA78" i="29"/>
  <c r="AK81" i="32" s="1"/>
  <c r="AA76" i="29"/>
  <c r="AA74" i="29"/>
  <c r="AA73" i="29"/>
  <c r="AA71" i="29"/>
  <c r="AK75" i="32" s="1"/>
  <c r="AA64" i="29"/>
  <c r="AK60" i="32" s="1"/>
  <c r="AA62" i="29"/>
  <c r="AK59" i="32" s="1"/>
  <c r="AA58" i="29"/>
  <c r="AA57" i="29"/>
  <c r="AA55" i="29"/>
  <c r="AK54" i="32" s="1"/>
  <c r="AA48" i="29"/>
  <c r="AK38" i="32" s="1"/>
  <c r="AA46" i="29"/>
  <c r="AA43" i="29"/>
  <c r="AA42" i="29"/>
  <c r="AA40" i="29"/>
  <c r="AK32" i="32" s="1"/>
  <c r="AA33" i="29"/>
  <c r="AA29" i="29"/>
  <c r="AK17" i="32" s="1"/>
  <c r="AA26" i="29"/>
  <c r="AA14" i="29"/>
  <c r="AA13" i="29"/>
  <c r="AA11" i="29"/>
  <c r="AK11" i="32" s="1"/>
  <c r="I253" i="5"/>
  <c r="H253" i="5"/>
  <c r="I197" i="5"/>
  <c r="I260" i="5" s="1"/>
  <c r="I205" i="5"/>
  <c r="I224" i="5"/>
  <c r="I86" i="5" s="1"/>
  <c r="I111" i="5"/>
  <c r="H122" i="16" s="1"/>
  <c r="H128" i="16" s="1"/>
  <c r="H155" i="5"/>
  <c r="G155" i="5"/>
  <c r="F155" i="5"/>
  <c r="H154" i="5"/>
  <c r="G154" i="5"/>
  <c r="F154" i="5"/>
  <c r="I82" i="5"/>
  <c r="I281" i="5"/>
  <c r="H48" i="16"/>
  <c r="H63" i="39" s="1"/>
  <c r="I27" i="5"/>
  <c r="I113" i="17"/>
  <c r="L82" i="17"/>
  <c r="I74" i="18"/>
  <c r="I93" i="18"/>
  <c r="H35" i="18"/>
  <c r="H34" i="18"/>
  <c r="H33" i="18"/>
  <c r="I63" i="20"/>
  <c r="G30" i="20"/>
  <c r="H16" i="20"/>
  <c r="I36" i="17"/>
  <c r="H35" i="17"/>
  <c r="H34" i="17"/>
  <c r="H33" i="17"/>
  <c r="H32" i="17"/>
  <c r="H16" i="1"/>
  <c r="C89" i="15" s="1"/>
  <c r="I27" i="20"/>
  <c r="I79" i="1"/>
  <c r="I100" i="18"/>
  <c r="I119" i="17"/>
  <c r="I88" i="1"/>
  <c r="I66" i="1"/>
  <c r="I67" i="1" s="1"/>
  <c r="I43" i="1"/>
  <c r="D94" i="15" s="1"/>
  <c r="I30" i="1"/>
  <c r="D93" i="15" s="1"/>
  <c r="I22" i="1"/>
  <c r="H106" i="16" s="1"/>
  <c r="I21" i="1"/>
  <c r="AI97" i="32"/>
  <c r="AI95" i="32"/>
  <c r="AI94" i="32"/>
  <c r="AI92" i="32"/>
  <c r="AI93" i="32" s="1"/>
  <c r="AI76" i="32"/>
  <c r="AI74" i="32"/>
  <c r="AI73" i="32"/>
  <c r="AI71" i="32"/>
  <c r="AI72" i="32" s="1"/>
  <c r="AI55" i="32"/>
  <c r="AI53" i="32"/>
  <c r="AI52" i="32"/>
  <c r="AI50" i="32"/>
  <c r="AI51" i="32" s="1"/>
  <c r="AI33" i="32"/>
  <c r="AI31" i="32"/>
  <c r="AI30" i="32"/>
  <c r="AI28" i="32"/>
  <c r="AI29" i="32" s="1"/>
  <c r="AI13" i="32"/>
  <c r="AI12" i="32"/>
  <c r="AI10" i="32"/>
  <c r="AI9" i="32"/>
  <c r="AI7" i="32"/>
  <c r="AI8" i="32" s="1"/>
  <c r="AC11" i="29"/>
  <c r="AM11" i="32" s="1"/>
  <c r="AC26" i="29"/>
  <c r="AC14" i="29"/>
  <c r="AC43" i="29"/>
  <c r="AC88" i="29"/>
  <c r="Z154" i="29"/>
  <c r="Z102" i="29"/>
  <c r="Z103" i="29" s="1"/>
  <c r="Z33" i="29"/>
  <c r="Z29" i="29"/>
  <c r="AI17" i="32" s="1"/>
  <c r="Z26" i="29"/>
  <c r="AI16" i="32" s="1"/>
  <c r="AH97" i="32"/>
  <c r="AH95" i="32"/>
  <c r="AH94" i="32"/>
  <c r="AH92" i="32"/>
  <c r="AH93" i="32" s="1"/>
  <c r="AH76" i="32"/>
  <c r="AH74" i="32"/>
  <c r="AH73" i="32"/>
  <c r="AH71" i="32"/>
  <c r="AH72" i="32" s="1"/>
  <c r="AH55" i="32"/>
  <c r="AH53" i="32"/>
  <c r="AH52" i="32"/>
  <c r="AH50" i="32"/>
  <c r="AH51" i="32" s="1"/>
  <c r="AH33" i="32"/>
  <c r="AH31" i="32"/>
  <c r="AH30" i="32"/>
  <c r="AH28" i="32"/>
  <c r="AH29" i="32" s="1"/>
  <c r="AH13" i="32"/>
  <c r="AH12" i="32"/>
  <c r="AH10" i="32"/>
  <c r="AH9" i="32"/>
  <c r="AH7" i="32"/>
  <c r="AH8" i="32" s="1"/>
  <c r="H186" i="16"/>
  <c r="H137" i="39" s="1"/>
  <c r="V176" i="16"/>
  <c r="I177" i="16"/>
  <c r="I178" i="16" s="1"/>
  <c r="I129" i="39" s="1"/>
  <c r="J177" i="16"/>
  <c r="J128" i="39" s="1"/>
  <c r="K177" i="16"/>
  <c r="K128" i="39" s="1"/>
  <c r="L177" i="16"/>
  <c r="L178" i="16" s="1"/>
  <c r="L129" i="39" s="1"/>
  <c r="M177" i="16"/>
  <c r="M178" i="16" s="1"/>
  <c r="M129" i="39" s="1"/>
  <c r="N177" i="16"/>
  <c r="N178" i="16" s="1"/>
  <c r="N129" i="39" s="1"/>
  <c r="O177" i="16"/>
  <c r="P177" i="16"/>
  <c r="P178" i="16" s="1"/>
  <c r="P129" i="39" s="1"/>
  <c r="H178" i="16"/>
  <c r="H129" i="39" s="1"/>
  <c r="O157" i="29"/>
  <c r="Q157" i="29"/>
  <c r="P157" i="29"/>
  <c r="Y157" i="29"/>
  <c r="X157" i="29"/>
  <c r="W157" i="29"/>
  <c r="U157" i="29"/>
  <c r="T157" i="29"/>
  <c r="S157" i="29"/>
  <c r="E162" i="17"/>
  <c r="E161" i="17"/>
  <c r="B177" i="17"/>
  <c r="B173" i="17"/>
  <c r="J80" i="18"/>
  <c r="J81" i="18" s="1"/>
  <c r="L97" i="18"/>
  <c r="H78" i="18"/>
  <c r="G78" i="18"/>
  <c r="Y138" i="29"/>
  <c r="Y32" i="29"/>
  <c r="Y33" i="29" s="1"/>
  <c r="Y102" i="29"/>
  <c r="Y103" i="29" s="1"/>
  <c r="Y154" i="29"/>
  <c r="Y151" i="29"/>
  <c r="Y147" i="29"/>
  <c r="Y143" i="29"/>
  <c r="Y137" i="29"/>
  <c r="Y123" i="29"/>
  <c r="Y119" i="29"/>
  <c r="Y115" i="29"/>
  <c r="Y111" i="29"/>
  <c r="Y132" i="29"/>
  <c r="Y129" i="29"/>
  <c r="Y100" i="29"/>
  <c r="Y92" i="29"/>
  <c r="AH102" i="32" s="1"/>
  <c r="Y90" i="29"/>
  <c r="Y88" i="29"/>
  <c r="Y87" i="29"/>
  <c r="Y85" i="29"/>
  <c r="AH96" i="32" s="1"/>
  <c r="Y78" i="29"/>
  <c r="Y76" i="29"/>
  <c r="AH80" i="32" s="1"/>
  <c r="Y74" i="29"/>
  <c r="Y73" i="29"/>
  <c r="Y71" i="29"/>
  <c r="AH75" i="32" s="1"/>
  <c r="Y64" i="29"/>
  <c r="AH60" i="32" s="1"/>
  <c r="Y62" i="29"/>
  <c r="AH59" i="32" s="1"/>
  <c r="Y58" i="29"/>
  <c r="Y57" i="29"/>
  <c r="Y55" i="29"/>
  <c r="AH54" i="32" s="1"/>
  <c r="Y48" i="29"/>
  <c r="AH38" i="32" s="1"/>
  <c r="Y46" i="29"/>
  <c r="AH37" i="32" s="1"/>
  <c r="Y43" i="29"/>
  <c r="Y42" i="29"/>
  <c r="Y40" i="29"/>
  <c r="AH32" i="32" s="1"/>
  <c r="Y29" i="29"/>
  <c r="Y26" i="29"/>
  <c r="AH16" i="32" s="1"/>
  <c r="Y14" i="29"/>
  <c r="Y13" i="29"/>
  <c r="Y11" i="29"/>
  <c r="AH11" i="32" s="1"/>
  <c r="F154" i="34"/>
  <c r="E154" i="34"/>
  <c r="D154" i="34"/>
  <c r="C154" i="34"/>
  <c r="G153" i="34"/>
  <c r="G154" i="34" s="1"/>
  <c r="D122" i="34"/>
  <c r="E122" i="34" s="1"/>
  <c r="F122" i="34" s="1"/>
  <c r="G122" i="34" s="1"/>
  <c r="H122" i="34" s="1"/>
  <c r="I122" i="34" s="1"/>
  <c r="J122" i="34" s="1"/>
  <c r="K122" i="34" s="1"/>
  <c r="C104" i="34"/>
  <c r="K103" i="34"/>
  <c r="J103" i="34"/>
  <c r="I103" i="34"/>
  <c r="H103" i="34"/>
  <c r="G103" i="34"/>
  <c r="F103" i="34"/>
  <c r="M47" i="34"/>
  <c r="N47" i="34"/>
  <c r="O47" i="34"/>
  <c r="D72" i="34"/>
  <c r="D71" i="34"/>
  <c r="O55" i="34"/>
  <c r="N55" i="34"/>
  <c r="N59" i="34" s="1"/>
  <c r="T186" i="16" s="1"/>
  <c r="M55" i="34"/>
  <c r="M59" i="34" s="1"/>
  <c r="S186" i="16" s="1"/>
  <c r="L55" i="34"/>
  <c r="L59" i="34" s="1"/>
  <c r="R186" i="16" s="1"/>
  <c r="K55" i="34"/>
  <c r="J55" i="34"/>
  <c r="I55" i="34"/>
  <c r="I60" i="34" s="1"/>
  <c r="I62" i="34" s="1"/>
  <c r="H55" i="34"/>
  <c r="G55" i="34"/>
  <c r="F55" i="34"/>
  <c r="G104" i="34" s="1"/>
  <c r="E55" i="34"/>
  <c r="E60" i="34" s="1"/>
  <c r="E62" i="34" s="1"/>
  <c r="D55" i="34"/>
  <c r="D60" i="34" s="1"/>
  <c r="C55" i="34"/>
  <c r="D54" i="34"/>
  <c r="E103" i="34" s="1"/>
  <c r="C54" i="34"/>
  <c r="D103" i="34" s="1"/>
  <c r="B54" i="34"/>
  <c r="B53" i="34"/>
  <c r="M6" i="34"/>
  <c r="M7" i="34" s="1"/>
  <c r="L6" i="34"/>
  <c r="L7" i="34" s="1"/>
  <c r="K6" i="34"/>
  <c r="K7" i="34" s="1"/>
  <c r="E43" i="34"/>
  <c r="F43" i="34"/>
  <c r="G43" i="34"/>
  <c r="H43" i="34"/>
  <c r="I43" i="34"/>
  <c r="J43" i="34"/>
  <c r="K43" i="34"/>
  <c r="L43" i="34"/>
  <c r="D43" i="34"/>
  <c r="D41" i="34"/>
  <c r="D18" i="34"/>
  <c r="H31" i="34"/>
  <c r="C20" i="34"/>
  <c r="D20" i="34" s="1"/>
  <c r="E20" i="34" s="1"/>
  <c r="F20" i="34" s="1"/>
  <c r="G20" i="34" s="1"/>
  <c r="H20" i="34" s="1"/>
  <c r="I20" i="34" s="1"/>
  <c r="J20" i="34" s="1"/>
  <c r="K20" i="34" s="1"/>
  <c r="L20" i="34" s="1"/>
  <c r="E6" i="34"/>
  <c r="E5" i="34"/>
  <c r="L16" i="34"/>
  <c r="L42" i="34" s="1"/>
  <c r="K16" i="34"/>
  <c r="K42" i="34" s="1"/>
  <c r="J16" i="34"/>
  <c r="J42" i="34" s="1"/>
  <c r="I16" i="34"/>
  <c r="I42" i="34" s="1"/>
  <c r="H16" i="34"/>
  <c r="H42" i="34" s="1"/>
  <c r="G16" i="34"/>
  <c r="G42" i="34" s="1"/>
  <c r="F16" i="34"/>
  <c r="F42" i="34" s="1"/>
  <c r="E16" i="34"/>
  <c r="E42" i="34" s="1"/>
  <c r="D16" i="34"/>
  <c r="D42" i="34" s="1"/>
  <c r="C17" i="34"/>
  <c r="C15" i="34"/>
  <c r="D15" i="34" s="1"/>
  <c r="E15" i="34" s="1"/>
  <c r="F15" i="34" s="1"/>
  <c r="G15" i="34" s="1"/>
  <c r="H15" i="34" s="1"/>
  <c r="I15" i="34" s="1"/>
  <c r="J15" i="34" s="1"/>
  <c r="K15" i="34" s="1"/>
  <c r="L15" i="34" s="1"/>
  <c r="C8" i="34"/>
  <c r="B8" i="34"/>
  <c r="C7" i="34"/>
  <c r="B7" i="34"/>
  <c r="Q31" i="34"/>
  <c r="P31" i="34"/>
  <c r="O31" i="34"/>
  <c r="N31" i="34"/>
  <c r="M31" i="34"/>
  <c r="L31" i="34"/>
  <c r="K31" i="34"/>
  <c r="J31" i="34"/>
  <c r="I31" i="34"/>
  <c r="D31" i="34"/>
  <c r="D35" i="34" s="1"/>
  <c r="G31" i="34"/>
  <c r="G35" i="34" s="1"/>
  <c r="F31" i="34"/>
  <c r="F35" i="34" s="1"/>
  <c r="E31" i="34"/>
  <c r="E28" i="34"/>
  <c r="E41" i="34" s="1"/>
  <c r="CK118" i="29"/>
  <c r="I78" i="18"/>
  <c r="N188" i="16"/>
  <c r="O188" i="16" s="1"/>
  <c r="P188" i="16" s="1"/>
  <c r="CX118" i="29"/>
  <c r="AH119" i="29" s="1"/>
  <c r="AD119" i="29"/>
  <c r="E43" i="5"/>
  <c r="D163" i="39" s="1"/>
  <c r="D68" i="5"/>
  <c r="E68" i="5"/>
  <c r="F68" i="5"/>
  <c r="G68" i="5"/>
  <c r="H68" i="5"/>
  <c r="I68" i="5"/>
  <c r="J68" i="5"/>
  <c r="K68" i="5"/>
  <c r="L68" i="5"/>
  <c r="M68" i="5"/>
  <c r="N68" i="5"/>
  <c r="O68" i="5"/>
  <c r="P68" i="5"/>
  <c r="Q68" i="5"/>
  <c r="C68" i="5"/>
  <c r="D40" i="5"/>
  <c r="C160" i="39" s="1"/>
  <c r="E40" i="5"/>
  <c r="D160" i="39" s="1"/>
  <c r="F40" i="5"/>
  <c r="E160" i="39" s="1"/>
  <c r="G40" i="5"/>
  <c r="F160" i="39" s="1"/>
  <c r="H40" i="5"/>
  <c r="G160" i="39" s="1"/>
  <c r="I40" i="5"/>
  <c r="H160" i="39" s="1"/>
  <c r="J40" i="5"/>
  <c r="I160" i="39" s="1"/>
  <c r="K40" i="5"/>
  <c r="J160" i="39" s="1"/>
  <c r="L40" i="5"/>
  <c r="K160" i="39" s="1"/>
  <c r="M40" i="5"/>
  <c r="L160" i="39" s="1"/>
  <c r="N40" i="5"/>
  <c r="M160" i="39" s="1"/>
  <c r="O40" i="5"/>
  <c r="N160" i="39" s="1"/>
  <c r="P40" i="5"/>
  <c r="O160" i="39" s="1"/>
  <c r="Q40" i="5"/>
  <c r="P160" i="39" s="1"/>
  <c r="AG97" i="32"/>
  <c r="AG95" i="32"/>
  <c r="AG94" i="32"/>
  <c r="AG92" i="32"/>
  <c r="AG93" i="32" s="1"/>
  <c r="AG76" i="32"/>
  <c r="AG74" i="32"/>
  <c r="AG73" i="32"/>
  <c r="AG71" i="32"/>
  <c r="AG72" i="32" s="1"/>
  <c r="AG55" i="32"/>
  <c r="AG53" i="32"/>
  <c r="AG52" i="32"/>
  <c r="AG50" i="32"/>
  <c r="AG51" i="32" s="1"/>
  <c r="AG33" i="32"/>
  <c r="AG31" i="32"/>
  <c r="AG30" i="32"/>
  <c r="AG28" i="32"/>
  <c r="AG29" i="32" s="1"/>
  <c r="AG13" i="32"/>
  <c r="AG12" i="32"/>
  <c r="AG10" i="32"/>
  <c r="AG9" i="32"/>
  <c r="AG7" i="32"/>
  <c r="AG8" i="32" s="1"/>
  <c r="Y172" i="29"/>
  <c r="Y171" i="29"/>
  <c r="Y144" i="29"/>
  <c r="H60" i="17"/>
  <c r="H59" i="17"/>
  <c r="H58" i="17"/>
  <c r="H57" i="17"/>
  <c r="A58" i="17"/>
  <c r="A59" i="17"/>
  <c r="A60" i="17"/>
  <c r="A61" i="17"/>
  <c r="A57" i="17"/>
  <c r="Y148" i="29"/>
  <c r="Y152" i="29"/>
  <c r="X152" i="29"/>
  <c r="W152" i="29"/>
  <c r="U152" i="29"/>
  <c r="T152" i="29"/>
  <c r="S152" i="29"/>
  <c r="Q152" i="29"/>
  <c r="P152" i="29"/>
  <c r="O152" i="29"/>
  <c r="X148" i="29"/>
  <c r="W148" i="29"/>
  <c r="U148" i="29"/>
  <c r="T148" i="29"/>
  <c r="S148" i="29"/>
  <c r="Q148" i="29"/>
  <c r="P148" i="29"/>
  <c r="O148" i="29"/>
  <c r="X144" i="29"/>
  <c r="W144" i="29"/>
  <c r="U144" i="29"/>
  <c r="T144" i="29"/>
  <c r="S144" i="29"/>
  <c r="Q144" i="29"/>
  <c r="P144" i="29"/>
  <c r="O144" i="29"/>
  <c r="G29" i="17"/>
  <c r="B98" i="15" s="1"/>
  <c r="K10" i="17"/>
  <c r="L10" i="17" s="1"/>
  <c r="M10" i="17" s="1"/>
  <c r="N10" i="17" s="1"/>
  <c r="O10" i="17" s="1"/>
  <c r="P10" i="17" s="1"/>
  <c r="Q10" i="17" s="1"/>
  <c r="R10" i="17" s="1"/>
  <c r="S10" i="17" s="1"/>
  <c r="T10" i="17" s="1"/>
  <c r="K8" i="17"/>
  <c r="L8" i="17" s="1"/>
  <c r="M8" i="17" s="1"/>
  <c r="N8" i="17" s="1"/>
  <c r="O8" i="17" s="1"/>
  <c r="P8" i="17" s="1"/>
  <c r="Q8" i="17" s="1"/>
  <c r="R8" i="17" s="1"/>
  <c r="S8" i="17" s="1"/>
  <c r="T8" i="17" s="1"/>
  <c r="U8" i="17" s="1"/>
  <c r="V8" i="17" s="1"/>
  <c r="H12" i="17"/>
  <c r="G12" i="17"/>
  <c r="F12" i="17"/>
  <c r="D12" i="17"/>
  <c r="C12" i="17"/>
  <c r="B12" i="17"/>
  <c r="I12" i="17"/>
  <c r="D162" i="17"/>
  <c r="D161" i="17"/>
  <c r="J167" i="17"/>
  <c r="J166" i="17"/>
  <c r="I167" i="17"/>
  <c r="B178" i="17"/>
  <c r="B174" i="17"/>
  <c r="B168" i="17"/>
  <c r="B163" i="17"/>
  <c r="B157" i="17"/>
  <c r="B156" i="17"/>
  <c r="X58" i="29"/>
  <c r="X60" i="29" s="1"/>
  <c r="B167" i="17" s="1"/>
  <c r="W58" i="29"/>
  <c r="V58" i="29"/>
  <c r="U58" i="29"/>
  <c r="T58" i="29"/>
  <c r="S58" i="29"/>
  <c r="R58" i="29"/>
  <c r="Q58" i="29"/>
  <c r="X57" i="29"/>
  <c r="X59" i="29" s="1"/>
  <c r="B166" i="17" s="1"/>
  <c r="W57" i="29"/>
  <c r="V57" i="29"/>
  <c r="U57" i="29"/>
  <c r="T57" i="29"/>
  <c r="S57" i="29"/>
  <c r="R57" i="29"/>
  <c r="Q57" i="29"/>
  <c r="X74" i="29"/>
  <c r="W74" i="29"/>
  <c r="V74" i="29"/>
  <c r="U74" i="29"/>
  <c r="T74" i="29"/>
  <c r="S74" i="29"/>
  <c r="R74" i="29"/>
  <c r="Q74" i="29"/>
  <c r="X73" i="29"/>
  <c r="W73" i="29"/>
  <c r="V73" i="29"/>
  <c r="U73" i="29"/>
  <c r="T73" i="29"/>
  <c r="S73" i="29"/>
  <c r="R73" i="29"/>
  <c r="Q73" i="29"/>
  <c r="X88" i="29"/>
  <c r="W88" i="29"/>
  <c r="V88" i="29"/>
  <c r="U88" i="29"/>
  <c r="T88" i="29"/>
  <c r="S88" i="29"/>
  <c r="R88" i="29"/>
  <c r="Q88" i="29"/>
  <c r="X87" i="29"/>
  <c r="W87" i="29"/>
  <c r="V87" i="29"/>
  <c r="U87" i="29"/>
  <c r="T87" i="29"/>
  <c r="S87" i="29"/>
  <c r="R87" i="29"/>
  <c r="Q87" i="29"/>
  <c r="D7" i="20"/>
  <c r="E7" i="20"/>
  <c r="F7" i="20"/>
  <c r="G7" i="20"/>
  <c r="H7" i="20"/>
  <c r="C7" i="20"/>
  <c r="Y139" i="29"/>
  <c r="W139" i="29"/>
  <c r="U139" i="29"/>
  <c r="T139" i="29"/>
  <c r="S139" i="29"/>
  <c r="Q139" i="29"/>
  <c r="P139" i="29"/>
  <c r="O139" i="29"/>
  <c r="X139" i="29"/>
  <c r="X43" i="29"/>
  <c r="W43" i="29"/>
  <c r="V43" i="29"/>
  <c r="U43" i="29"/>
  <c r="T43" i="29"/>
  <c r="S43" i="29"/>
  <c r="R43" i="29"/>
  <c r="Q43" i="29"/>
  <c r="W42" i="29"/>
  <c r="V42" i="29"/>
  <c r="U42" i="29"/>
  <c r="T42" i="29"/>
  <c r="S42" i="29"/>
  <c r="R42" i="29"/>
  <c r="Q42" i="29"/>
  <c r="X42" i="29"/>
  <c r="X11" i="29"/>
  <c r="AG11" i="32" s="1"/>
  <c r="X13" i="29"/>
  <c r="X14" i="29"/>
  <c r="X17" i="29"/>
  <c r="X18" i="29" s="1"/>
  <c r="H8" i="1"/>
  <c r="F8" i="1"/>
  <c r="E8" i="1"/>
  <c r="D8" i="1"/>
  <c r="C8" i="1"/>
  <c r="H53" i="17"/>
  <c r="H81" i="17" s="1"/>
  <c r="C103" i="15" s="1"/>
  <c r="G53" i="17"/>
  <c r="B100" i="15" s="1"/>
  <c r="D16" i="24"/>
  <c r="D15" i="24"/>
  <c r="D14" i="24"/>
  <c r="F119" i="17"/>
  <c r="F99" i="17"/>
  <c r="E99" i="17"/>
  <c r="D99" i="17"/>
  <c r="F114" i="17"/>
  <c r="E114" i="17"/>
  <c r="D114" i="17"/>
  <c r="E113" i="17"/>
  <c r="D113" i="17"/>
  <c r="C113" i="17"/>
  <c r="E108" i="17"/>
  <c r="D108" i="17"/>
  <c r="C108" i="17"/>
  <c r="X138" i="29"/>
  <c r="X20" i="29"/>
  <c r="X21" i="29" s="1"/>
  <c r="X22" i="29" s="1"/>
  <c r="V172" i="29"/>
  <c r="U172" i="29"/>
  <c r="T172" i="29"/>
  <c r="X102" i="29"/>
  <c r="X103" i="29" s="1"/>
  <c r="X172" i="29"/>
  <c r="X171" i="29"/>
  <c r="X154" i="29"/>
  <c r="X151" i="29"/>
  <c r="X147" i="29"/>
  <c r="X143" i="29"/>
  <c r="X137" i="29"/>
  <c r="X132" i="29"/>
  <c r="X129" i="29"/>
  <c r="X123" i="29"/>
  <c r="X119" i="29"/>
  <c r="X115" i="29"/>
  <c r="X111" i="29"/>
  <c r="X100" i="29"/>
  <c r="X92" i="29"/>
  <c r="AG102" i="32" s="1"/>
  <c r="X90" i="29"/>
  <c r="AG101" i="32" s="1"/>
  <c r="X85" i="29"/>
  <c r="AG96" i="32" s="1"/>
  <c r="X78" i="29"/>
  <c r="X76" i="29"/>
  <c r="X71" i="29"/>
  <c r="AG75" i="32" s="1"/>
  <c r="X64" i="29"/>
  <c r="AG60" i="32" s="1"/>
  <c r="X62" i="29"/>
  <c r="AG59" i="32" s="1"/>
  <c r="X55" i="29"/>
  <c r="AG54" i="32" s="1"/>
  <c r="X48" i="29"/>
  <c r="AG38" i="32" s="1"/>
  <c r="X46" i="29"/>
  <c r="X40" i="29"/>
  <c r="AG32" i="32" s="1"/>
  <c r="X33" i="29"/>
  <c r="X29" i="29"/>
  <c r="AG17" i="32" s="1"/>
  <c r="X26" i="29"/>
  <c r="J61" i="17"/>
  <c r="AA13" i="32"/>
  <c r="AF13" i="32"/>
  <c r="AF97" i="32"/>
  <c r="AF95" i="32"/>
  <c r="AF94" i="32"/>
  <c r="AF92" i="32"/>
  <c r="AF93" i="32" s="1"/>
  <c r="AF76" i="32"/>
  <c r="AF74" i="32"/>
  <c r="AF73" i="32"/>
  <c r="AF71" i="32"/>
  <c r="AF72" i="32" s="1"/>
  <c r="AF55" i="32"/>
  <c r="AF53" i="32"/>
  <c r="AF52" i="32"/>
  <c r="AF50" i="32"/>
  <c r="AF51" i="32" s="1"/>
  <c r="AF33" i="32"/>
  <c r="AF31" i="32"/>
  <c r="AF30" i="32"/>
  <c r="AF28" i="32"/>
  <c r="AF29" i="32" s="1"/>
  <c r="AF12" i="32"/>
  <c r="AF10" i="32"/>
  <c r="AF9" i="32"/>
  <c r="AF7" i="32"/>
  <c r="AF8" i="32" s="1"/>
  <c r="W33" i="29"/>
  <c r="Q26" i="29"/>
  <c r="X16" i="32" s="1"/>
  <c r="R26" i="29"/>
  <c r="Y16" i="32" s="1"/>
  <c r="S26" i="29"/>
  <c r="AA16" i="32" s="1"/>
  <c r="T26" i="29"/>
  <c r="U26" i="29"/>
  <c r="AC16" i="32" s="1"/>
  <c r="V26" i="29"/>
  <c r="W26" i="29"/>
  <c r="T14" i="29"/>
  <c r="T13" i="29"/>
  <c r="S14" i="29"/>
  <c r="S13" i="29"/>
  <c r="W17" i="29"/>
  <c r="W18" i="29" s="1"/>
  <c r="W102" i="29"/>
  <c r="W103" i="29" s="1"/>
  <c r="S172" i="29"/>
  <c r="W172" i="29"/>
  <c r="W171" i="29"/>
  <c r="W151" i="29"/>
  <c r="W147" i="29"/>
  <c r="W143" i="29"/>
  <c r="W137" i="29"/>
  <c r="W138" i="29" s="1"/>
  <c r="W132" i="29"/>
  <c r="W90" i="29"/>
  <c r="AF101" i="32" s="1"/>
  <c r="W76" i="29"/>
  <c r="AF80" i="32" s="1"/>
  <c r="W115" i="29"/>
  <c r="W111" i="29"/>
  <c r="W112" i="29" s="1"/>
  <c r="W100" i="29"/>
  <c r="W92" i="29"/>
  <c r="W85" i="29"/>
  <c r="AF96" i="32" s="1"/>
  <c r="W71" i="29"/>
  <c r="AF75" i="32" s="1"/>
  <c r="W62" i="29"/>
  <c r="AF59" i="32" s="1"/>
  <c r="W55" i="29"/>
  <c r="AF54" i="32" s="1"/>
  <c r="W48" i="29"/>
  <c r="W46" i="29"/>
  <c r="AF37" i="32" s="1"/>
  <c r="W40" i="29"/>
  <c r="AF32" i="32" s="1"/>
  <c r="W29" i="29"/>
  <c r="AF17" i="32" s="1"/>
  <c r="W14" i="29"/>
  <c r="W13" i="29"/>
  <c r="W11" i="29"/>
  <c r="AF11" i="32" s="1"/>
  <c r="AC97" i="32"/>
  <c r="AB97" i="32"/>
  <c r="AD95" i="32"/>
  <c r="AC95" i="32"/>
  <c r="AB95" i="32"/>
  <c r="AD94" i="32"/>
  <c r="AC94" i="32"/>
  <c r="AB94" i="32"/>
  <c r="AC92" i="32"/>
  <c r="AC93" i="32" s="1"/>
  <c r="AB92" i="32"/>
  <c r="AB93" i="32" s="1"/>
  <c r="AA97" i="32"/>
  <c r="X97" i="32"/>
  <c r="W97" i="32"/>
  <c r="Y95" i="32"/>
  <c r="X95" i="32"/>
  <c r="W95" i="32"/>
  <c r="Y94" i="32"/>
  <c r="X94" i="32"/>
  <c r="W94" i="32"/>
  <c r="AA92" i="32"/>
  <c r="AA93" i="32" s="1"/>
  <c r="X92" i="32"/>
  <c r="X93" i="32" s="1"/>
  <c r="W92" i="32"/>
  <c r="W93" i="32" s="1"/>
  <c r="V97" i="32"/>
  <c r="V95" i="32"/>
  <c r="V94" i="32"/>
  <c r="V92" i="32"/>
  <c r="V93" i="32" s="1"/>
  <c r="AC76" i="32"/>
  <c r="AB76" i="32"/>
  <c r="AD74" i="32"/>
  <c r="AC74" i="32"/>
  <c r="AB74" i="32"/>
  <c r="AD73" i="32"/>
  <c r="AC73" i="32"/>
  <c r="AB73" i="32"/>
  <c r="AC71" i="32"/>
  <c r="AC72" i="32" s="1"/>
  <c r="AB71" i="32"/>
  <c r="AB72" i="32" s="1"/>
  <c r="AA76" i="32"/>
  <c r="X76" i="32"/>
  <c r="W76" i="32"/>
  <c r="Y74" i="32"/>
  <c r="X74" i="32"/>
  <c r="W74" i="32"/>
  <c r="Y73" i="32"/>
  <c r="X73" i="32"/>
  <c r="W73" i="32"/>
  <c r="AA71" i="32"/>
  <c r="AA72" i="32" s="1"/>
  <c r="X71" i="32"/>
  <c r="X72" i="32" s="1"/>
  <c r="W71" i="32"/>
  <c r="W72" i="32" s="1"/>
  <c r="V76" i="32"/>
  <c r="V74" i="32"/>
  <c r="V73" i="32"/>
  <c r="V71" i="32"/>
  <c r="V72" i="32" s="1"/>
  <c r="AC55" i="32"/>
  <c r="AB55" i="32"/>
  <c r="AD53" i="32"/>
  <c r="AC53" i="32"/>
  <c r="AB53" i="32"/>
  <c r="AD52" i="32"/>
  <c r="AC52" i="32"/>
  <c r="AB52" i="32"/>
  <c r="AC50" i="32"/>
  <c r="AC51" i="32" s="1"/>
  <c r="AB50" i="32"/>
  <c r="AB51" i="32" s="1"/>
  <c r="AA55" i="32"/>
  <c r="X55" i="32"/>
  <c r="W55" i="32"/>
  <c r="Y53" i="32"/>
  <c r="X53" i="32"/>
  <c r="W53" i="32"/>
  <c r="Y52" i="32"/>
  <c r="X52" i="32"/>
  <c r="W52" i="32"/>
  <c r="AA50" i="32"/>
  <c r="AA51" i="32" s="1"/>
  <c r="X50" i="32"/>
  <c r="X51" i="32" s="1"/>
  <c r="W50" i="32"/>
  <c r="W51" i="32" s="1"/>
  <c r="V55" i="32"/>
  <c r="V53" i="32"/>
  <c r="V52" i="32"/>
  <c r="V50" i="32"/>
  <c r="V51" i="32" s="1"/>
  <c r="AC33" i="32"/>
  <c r="AB33" i="32"/>
  <c r="AD31" i="32"/>
  <c r="AC31" i="32"/>
  <c r="AB31" i="32"/>
  <c r="AD30" i="32"/>
  <c r="AC30" i="32"/>
  <c r="AB30" i="32"/>
  <c r="AA33" i="32"/>
  <c r="X33" i="32"/>
  <c r="W33" i="32"/>
  <c r="Y31" i="32"/>
  <c r="X31" i="32"/>
  <c r="W31" i="32"/>
  <c r="Y30" i="32"/>
  <c r="X30" i="32"/>
  <c r="W30" i="32"/>
  <c r="U154" i="29"/>
  <c r="T154" i="29"/>
  <c r="Q154" i="29"/>
  <c r="P154" i="29"/>
  <c r="V33" i="32"/>
  <c r="AC28" i="32"/>
  <c r="AC29" i="32" s="1"/>
  <c r="AB28" i="32"/>
  <c r="AB29" i="32" s="1"/>
  <c r="W28" i="32"/>
  <c r="W29" i="32" s="1"/>
  <c r="X28" i="32"/>
  <c r="X29" i="32" s="1"/>
  <c r="AA28" i="32"/>
  <c r="AA29" i="32" s="1"/>
  <c r="V28" i="32"/>
  <c r="V29" i="32" s="1"/>
  <c r="T90" i="29"/>
  <c r="AB101" i="32" s="1"/>
  <c r="T92" i="29"/>
  <c r="AB102" i="32" s="1"/>
  <c r="AA74" i="32"/>
  <c r="AA73" i="32"/>
  <c r="T62" i="29"/>
  <c r="T64" i="29"/>
  <c r="AB60" i="32" s="1"/>
  <c r="O39" i="29"/>
  <c r="O46" i="29" s="1"/>
  <c r="V37" i="32" s="1"/>
  <c r="O38" i="29"/>
  <c r="T46" i="29"/>
  <c r="AB37" i="32" s="1"/>
  <c r="T48" i="29"/>
  <c r="AB38" i="32" s="1"/>
  <c r="U92" i="29"/>
  <c r="AC102" i="32" s="1"/>
  <c r="Q92" i="29"/>
  <c r="X102" i="32" s="1"/>
  <c r="P92" i="29"/>
  <c r="W102" i="32" s="1"/>
  <c r="V102" i="32"/>
  <c r="U90" i="29"/>
  <c r="Q90" i="29"/>
  <c r="X101" i="32" s="1"/>
  <c r="P90" i="29"/>
  <c r="W101" i="32" s="1"/>
  <c r="V101" i="32"/>
  <c r="U78" i="29"/>
  <c r="AC81" i="32" s="1"/>
  <c r="T78" i="29"/>
  <c r="S78" i="29"/>
  <c r="AA81" i="32" s="1"/>
  <c r="Q78" i="29"/>
  <c r="X81" i="32" s="1"/>
  <c r="P78" i="29"/>
  <c r="W81" i="32" s="1"/>
  <c r="V81" i="32"/>
  <c r="U76" i="29"/>
  <c r="T76" i="29"/>
  <c r="Q76" i="29"/>
  <c r="X80" i="32" s="1"/>
  <c r="P76" i="29"/>
  <c r="W80" i="32" s="1"/>
  <c r="V80" i="32"/>
  <c r="U64" i="29"/>
  <c r="Q64" i="29"/>
  <c r="X60" i="32" s="1"/>
  <c r="P64" i="29"/>
  <c r="W60" i="32" s="1"/>
  <c r="V60" i="32"/>
  <c r="U62" i="29"/>
  <c r="AC59" i="32" s="1"/>
  <c r="Q62" i="29"/>
  <c r="X59" i="32" s="1"/>
  <c r="P62" i="29"/>
  <c r="W59" i="32" s="1"/>
  <c r="V59" i="32"/>
  <c r="U48" i="29"/>
  <c r="AC38" i="32" s="1"/>
  <c r="Q48" i="29"/>
  <c r="X38" i="32" s="1"/>
  <c r="U46" i="29"/>
  <c r="AC37" i="32" s="1"/>
  <c r="Q46" i="29"/>
  <c r="X37" i="32" s="1"/>
  <c r="V29" i="29"/>
  <c r="U29" i="29"/>
  <c r="AC17" i="32" s="1"/>
  <c r="R29" i="29"/>
  <c r="Y17" i="32" s="1"/>
  <c r="Q29" i="29"/>
  <c r="AD12" i="32"/>
  <c r="AC12" i="32"/>
  <c r="AB12" i="32"/>
  <c r="Y12" i="32"/>
  <c r="X12" i="32"/>
  <c r="W12" i="32"/>
  <c r="AD10" i="32"/>
  <c r="AC10" i="32"/>
  <c r="AB10" i="32"/>
  <c r="AD9" i="32"/>
  <c r="AC9" i="32"/>
  <c r="AB9" i="32"/>
  <c r="Y10" i="32"/>
  <c r="X10" i="32"/>
  <c r="W10" i="32"/>
  <c r="Y9" i="32"/>
  <c r="X9" i="32"/>
  <c r="W9" i="32"/>
  <c r="AD7" i="32"/>
  <c r="AD8" i="32" s="1"/>
  <c r="AC7" i="32"/>
  <c r="AC8" i="32" s="1"/>
  <c r="AB7" i="32"/>
  <c r="AB8" i="32" s="1"/>
  <c r="AA7" i="32"/>
  <c r="AA8" i="32" s="1"/>
  <c r="Y7" i="32"/>
  <c r="Y8" i="32" s="1"/>
  <c r="X7" i="32"/>
  <c r="X8" i="32" s="1"/>
  <c r="W7" i="32"/>
  <c r="W8" i="32" s="1"/>
  <c r="V7" i="32"/>
  <c r="V8" i="32" s="1"/>
  <c r="S76" i="29"/>
  <c r="AA80" i="32" s="1"/>
  <c r="AA53" i="32"/>
  <c r="W123" i="29"/>
  <c r="W119" i="29"/>
  <c r="W78" i="29"/>
  <c r="W154" i="29"/>
  <c r="W64" i="29"/>
  <c r="AF60" i="32" s="1"/>
  <c r="AA94" i="32"/>
  <c r="AA31" i="32"/>
  <c r="S46" i="29"/>
  <c r="AA95" i="32"/>
  <c r="AA30" i="32"/>
  <c r="AA52" i="32"/>
  <c r="S90" i="29"/>
  <c r="AA101" i="32" s="1"/>
  <c r="S92" i="29"/>
  <c r="AA102" i="32" s="1"/>
  <c r="S62" i="29"/>
  <c r="AA59" i="32" s="1"/>
  <c r="S64" i="29"/>
  <c r="AA60" i="32" s="1"/>
  <c r="S48" i="29"/>
  <c r="AA38" i="32" s="1"/>
  <c r="D72" i="1"/>
  <c r="B32" i="16"/>
  <c r="B30" i="39" s="1"/>
  <c r="C32" i="16"/>
  <c r="D32" i="16"/>
  <c r="D30" i="39" s="1"/>
  <c r="B10" i="16"/>
  <c r="B10" i="39" s="1"/>
  <c r="C10" i="16"/>
  <c r="C10" i="39" s="1"/>
  <c r="D10" i="16"/>
  <c r="D55" i="1"/>
  <c r="J40" i="29"/>
  <c r="V85" i="29"/>
  <c r="AD96" i="32" s="1"/>
  <c r="U85" i="29"/>
  <c r="AC96" i="32" s="1"/>
  <c r="T85" i="29"/>
  <c r="AB96" i="32" s="1"/>
  <c r="S85" i="29"/>
  <c r="AA96" i="32" s="1"/>
  <c r="R85" i="29"/>
  <c r="Y96" i="32" s="1"/>
  <c r="Q85" i="29"/>
  <c r="X96" i="32" s="1"/>
  <c r="P85" i="29"/>
  <c r="W96" i="32" s="1"/>
  <c r="V96" i="32"/>
  <c r="V71" i="29"/>
  <c r="AD75" i="32" s="1"/>
  <c r="U71" i="29"/>
  <c r="AC75" i="32" s="1"/>
  <c r="T71" i="29"/>
  <c r="AB75" i="32" s="1"/>
  <c r="S71" i="29"/>
  <c r="AA75" i="32" s="1"/>
  <c r="R71" i="29"/>
  <c r="Y75" i="32" s="1"/>
  <c r="Q71" i="29"/>
  <c r="X75" i="32" s="1"/>
  <c r="P71" i="29"/>
  <c r="W75" i="32" s="1"/>
  <c r="V75" i="32"/>
  <c r="V55" i="29"/>
  <c r="AD54" i="32" s="1"/>
  <c r="U55" i="29"/>
  <c r="AC54" i="32" s="1"/>
  <c r="T55" i="29"/>
  <c r="AB54" i="32" s="1"/>
  <c r="S55" i="29"/>
  <c r="AA54" i="32" s="1"/>
  <c r="R55" i="29"/>
  <c r="Y54" i="32" s="1"/>
  <c r="Q55" i="29"/>
  <c r="X54" i="32" s="1"/>
  <c r="P55" i="29"/>
  <c r="W54" i="32" s="1"/>
  <c r="V54" i="32"/>
  <c r="U40" i="29"/>
  <c r="AC32" i="32" s="1"/>
  <c r="T40" i="29"/>
  <c r="AB32" i="32" s="1"/>
  <c r="S40" i="29"/>
  <c r="AA32" i="32" s="1"/>
  <c r="R40" i="29"/>
  <c r="Y32" i="32" s="1"/>
  <c r="Q40" i="29"/>
  <c r="X32" i="32" s="1"/>
  <c r="P40" i="29"/>
  <c r="W32" i="32" s="1"/>
  <c r="V40" i="29"/>
  <c r="AD32" i="32" s="1"/>
  <c r="R150" i="29"/>
  <c r="Y97" i="32" s="1"/>
  <c r="R146" i="29"/>
  <c r="Y76" i="32" s="1"/>
  <c r="R142" i="29"/>
  <c r="V143" i="29" s="1"/>
  <c r="R136" i="29"/>
  <c r="Y33" i="32" s="1"/>
  <c r="U151" i="29"/>
  <c r="T151" i="29"/>
  <c r="S151" i="29"/>
  <c r="U147" i="29"/>
  <c r="T147" i="29"/>
  <c r="S147" i="29"/>
  <c r="U143" i="29"/>
  <c r="T143" i="29"/>
  <c r="S143" i="29"/>
  <c r="U137" i="29"/>
  <c r="T137" i="29"/>
  <c r="S137" i="29"/>
  <c r="R122" i="29"/>
  <c r="R92" i="29" s="1"/>
  <c r="Y102" i="32" s="1"/>
  <c r="V122" i="29"/>
  <c r="AD92" i="32" s="1"/>
  <c r="AD93" i="32" s="1"/>
  <c r="R118" i="29"/>
  <c r="Y71" i="32" s="1"/>
  <c r="Y72" i="32" s="1"/>
  <c r="V118" i="29"/>
  <c r="V78" i="29" s="1"/>
  <c r="R114" i="29"/>
  <c r="V114" i="29"/>
  <c r="V144" i="29" s="1"/>
  <c r="U123" i="29"/>
  <c r="T123" i="29"/>
  <c r="S123" i="29"/>
  <c r="U119" i="29"/>
  <c r="T119" i="29"/>
  <c r="S119" i="29"/>
  <c r="U115" i="29"/>
  <c r="T115" i="29"/>
  <c r="S115" i="29"/>
  <c r="R110" i="29"/>
  <c r="V110" i="29"/>
  <c r="V157" i="29" s="1"/>
  <c r="U111" i="29"/>
  <c r="T111" i="29"/>
  <c r="S111" i="29"/>
  <c r="S100" i="29"/>
  <c r="O10" i="29"/>
  <c r="O9" i="29"/>
  <c r="P13" i="29" s="1"/>
  <c r="N11" i="29"/>
  <c r="J11" i="29"/>
  <c r="F11" i="29"/>
  <c r="B11" i="29"/>
  <c r="AD55" i="32"/>
  <c r="AD76" i="32"/>
  <c r="AD97" i="32"/>
  <c r="D71" i="1"/>
  <c r="C71" i="1"/>
  <c r="AD33" i="32"/>
  <c r="V154" i="29"/>
  <c r="AA10" i="32"/>
  <c r="AA9" i="32"/>
  <c r="T29" i="29"/>
  <c r="S29" i="29"/>
  <c r="AA17" i="32" s="1"/>
  <c r="D59" i="21"/>
  <c r="H27" i="5"/>
  <c r="G27" i="5"/>
  <c r="H78" i="5"/>
  <c r="I152" i="5"/>
  <c r="H152" i="5"/>
  <c r="D150" i="5"/>
  <c r="E150" i="5" s="1"/>
  <c r="F150" i="5" s="1"/>
  <c r="G150" i="5" s="1"/>
  <c r="H150" i="5" s="1"/>
  <c r="I150" i="5" s="1"/>
  <c r="J150" i="5" s="1"/>
  <c r="K150" i="5" s="1"/>
  <c r="L150" i="5" s="1"/>
  <c r="M150" i="5" s="1"/>
  <c r="N150" i="5" s="1"/>
  <c r="O150" i="5" s="1"/>
  <c r="P150" i="5" s="1"/>
  <c r="Q150" i="5" s="1"/>
  <c r="R150" i="5" s="1"/>
  <c r="S150" i="5" s="1"/>
  <c r="T150" i="5" s="1"/>
  <c r="U150" i="5" s="1"/>
  <c r="V150" i="5" s="1"/>
  <c r="H281" i="5"/>
  <c r="H188" i="5"/>
  <c r="H50" i="5" s="1"/>
  <c r="G171" i="39" s="1"/>
  <c r="H49" i="5"/>
  <c r="G170" i="39" s="1"/>
  <c r="H197" i="5"/>
  <c r="H260" i="5" s="1"/>
  <c r="H54" i="5"/>
  <c r="G175" i="39" s="1"/>
  <c r="G54" i="5"/>
  <c r="C54" i="5"/>
  <c r="B175" i="39" s="1"/>
  <c r="D54" i="5"/>
  <c r="C175" i="39" s="1"/>
  <c r="E54" i="5"/>
  <c r="D175" i="39" s="1"/>
  <c r="F54" i="5"/>
  <c r="E175" i="39" s="1"/>
  <c r="I78" i="5"/>
  <c r="C7" i="5"/>
  <c r="C11" i="5" s="1"/>
  <c r="D7" i="5"/>
  <c r="D11" i="5" s="1"/>
  <c r="D41" i="5" s="1"/>
  <c r="F9" i="5"/>
  <c r="X138" i="28" s="1"/>
  <c r="F10" i="5"/>
  <c r="X139" i="28" s="1"/>
  <c r="H224" i="5"/>
  <c r="H86" i="5" s="1"/>
  <c r="H205" i="5"/>
  <c r="H163" i="5"/>
  <c r="H164" i="5" s="1"/>
  <c r="H141" i="5"/>
  <c r="H111" i="5"/>
  <c r="H96" i="5"/>
  <c r="H92" i="5"/>
  <c r="H82" i="5"/>
  <c r="H133" i="5"/>
  <c r="H137" i="5" s="1"/>
  <c r="H46" i="5"/>
  <c r="G166" i="39" s="1"/>
  <c r="F95" i="16"/>
  <c r="F78" i="39" s="1"/>
  <c r="F96" i="16"/>
  <c r="F79" i="39" s="1"/>
  <c r="F97" i="16"/>
  <c r="F98" i="16"/>
  <c r="G26" i="5" s="1"/>
  <c r="G98" i="16"/>
  <c r="G97" i="16"/>
  <c r="Z159" i="28" s="1"/>
  <c r="G96" i="16"/>
  <c r="G79" i="39" s="1"/>
  <c r="G95" i="16"/>
  <c r="Z157" i="28" s="1"/>
  <c r="E14" i="5"/>
  <c r="E7" i="5"/>
  <c r="E11" i="5" s="1"/>
  <c r="B135" i="18"/>
  <c r="B131" i="18"/>
  <c r="B114" i="18"/>
  <c r="B125" i="18"/>
  <c r="B124" i="18"/>
  <c r="B120" i="18"/>
  <c r="B113" i="18"/>
  <c r="W20" i="29" s="1"/>
  <c r="W21" i="29" s="1"/>
  <c r="B134" i="18"/>
  <c r="B130" i="18"/>
  <c r="G100" i="18"/>
  <c r="H42" i="18"/>
  <c r="H55" i="18" s="1"/>
  <c r="C123" i="15" s="1"/>
  <c r="H70" i="20"/>
  <c r="G70" i="20"/>
  <c r="H27" i="20"/>
  <c r="H119" i="17"/>
  <c r="G119" i="17"/>
  <c r="H30" i="1"/>
  <c r="AI153" i="28"/>
  <c r="AH153" i="28"/>
  <c r="AG153" i="28"/>
  <c r="AF153" i="28"/>
  <c r="AE153" i="28"/>
  <c r="AD153" i="28"/>
  <c r="AC153" i="28"/>
  <c r="AB153" i="28"/>
  <c r="AC152" i="28"/>
  <c r="AB152" i="28"/>
  <c r="E72" i="1"/>
  <c r="H79" i="1"/>
  <c r="H43" i="1"/>
  <c r="C94" i="15" s="1"/>
  <c r="E55" i="1"/>
  <c r="H22" i="1"/>
  <c r="G106" i="16" s="1"/>
  <c r="H21" i="1"/>
  <c r="G48" i="16"/>
  <c r="G63" i="39" s="1"/>
  <c r="C21" i="34"/>
  <c r="K78" i="5"/>
  <c r="J78" i="5"/>
  <c r="J152" i="5"/>
  <c r="H88" i="1"/>
  <c r="H100" i="18"/>
  <c r="H66" i="1"/>
  <c r="H67" i="1" s="1"/>
  <c r="H73" i="1"/>
  <c r="F72" i="1"/>
  <c r="E71" i="1"/>
  <c r="D62" i="9" s="1"/>
  <c r="AA8" i="15"/>
  <c r="U14" i="29"/>
  <c r="R14" i="29"/>
  <c r="Q14" i="29"/>
  <c r="U13" i="29"/>
  <c r="R13" i="29"/>
  <c r="Q13" i="29"/>
  <c r="V14" i="29"/>
  <c r="V13" i="29"/>
  <c r="O128" i="29"/>
  <c r="U132" i="29"/>
  <c r="T132" i="29"/>
  <c r="Q132" i="29"/>
  <c r="P132" i="29"/>
  <c r="V132" i="29"/>
  <c r="U129" i="29"/>
  <c r="T129" i="29"/>
  <c r="V129" i="29"/>
  <c r="V100" i="29"/>
  <c r="V11" i="29"/>
  <c r="AD11" i="32" s="1"/>
  <c r="T100" i="29"/>
  <c r="T11" i="29"/>
  <c r="AB11" i="32" s="1"/>
  <c r="S11" i="29"/>
  <c r="AA11" i="32" s="1"/>
  <c r="R11" i="29"/>
  <c r="Y11" i="32" s="1"/>
  <c r="Q11" i="29"/>
  <c r="X11" i="32" s="1"/>
  <c r="P11" i="29"/>
  <c r="W11" i="32" s="1"/>
  <c r="U100" i="29"/>
  <c r="U11" i="29"/>
  <c r="AC11" i="32" s="1"/>
  <c r="S154" i="29"/>
  <c r="W129" i="29"/>
  <c r="S132" i="29"/>
  <c r="AA12" i="32"/>
  <c r="R132" i="29"/>
  <c r="B252" i="28"/>
  <c r="B232" i="28"/>
  <c r="B231" i="28"/>
  <c r="B225" i="28"/>
  <c r="B154" i="28"/>
  <c r="B148" i="28"/>
  <c r="B147" i="28"/>
  <c r="B140" i="28"/>
  <c r="B144" i="28"/>
  <c r="B145" i="28"/>
  <c r="B146" i="28"/>
  <c r="B143" i="28"/>
  <c r="B137" i="28"/>
  <c r="B138" i="28"/>
  <c r="B139" i="28"/>
  <c r="B136" i="28"/>
  <c r="AI119" i="28"/>
  <c r="AH119" i="28"/>
  <c r="AG119" i="28"/>
  <c r="AF119" i="28"/>
  <c r="AE119" i="28"/>
  <c r="AD119" i="28"/>
  <c r="AI117" i="28"/>
  <c r="AH117" i="28"/>
  <c r="AG117" i="28"/>
  <c r="AF117" i="28"/>
  <c r="AE117" i="28"/>
  <c r="AD117" i="28"/>
  <c r="AC117" i="28"/>
  <c r="AB117" i="28"/>
  <c r="AA117" i="28"/>
  <c r="Z117" i="28"/>
  <c r="Y117" i="28"/>
  <c r="Y116" i="28"/>
  <c r="Y115" i="28"/>
  <c r="X119" i="28"/>
  <c r="X117" i="28"/>
  <c r="X116" i="28"/>
  <c r="X115" i="28"/>
  <c r="AC15" i="28"/>
  <c r="AB15" i="28"/>
  <c r="AA15" i="28"/>
  <c r="Z15" i="28"/>
  <c r="Y15" i="28"/>
  <c r="X15" i="28"/>
  <c r="AC13" i="28"/>
  <c r="AB13" i="28"/>
  <c r="AA13" i="28"/>
  <c r="Z13" i="28"/>
  <c r="Y13" i="28"/>
  <c r="X13" i="28"/>
  <c r="AI12" i="28"/>
  <c r="AH12" i="28"/>
  <c r="AG12" i="28"/>
  <c r="AF12" i="28"/>
  <c r="AE12" i="28"/>
  <c r="AD12" i="28"/>
  <c r="AC12" i="28"/>
  <c r="AB12" i="28"/>
  <c r="AA12" i="28"/>
  <c r="Z12" i="28"/>
  <c r="Y12" i="28"/>
  <c r="X12" i="28"/>
  <c r="AI11" i="28"/>
  <c r="AH11" i="28"/>
  <c r="AG11" i="28"/>
  <c r="AF11" i="28"/>
  <c r="AE11" i="28"/>
  <c r="AD11" i="28"/>
  <c r="AC11" i="28"/>
  <c r="AB11" i="28"/>
  <c r="AA11" i="28"/>
  <c r="Z11" i="28"/>
  <c r="Y11" i="28"/>
  <c r="X11" i="28"/>
  <c r="X6" i="28"/>
  <c r="X52" i="27"/>
  <c r="Y52" i="27"/>
  <c r="Z52" i="27"/>
  <c r="AA52" i="27"/>
  <c r="AB52" i="27"/>
  <c r="AC52" i="27"/>
  <c r="AD52" i="27"/>
  <c r="AE52" i="27"/>
  <c r="AF52" i="27"/>
  <c r="X54" i="27"/>
  <c r="W54" i="27"/>
  <c r="W52" i="27"/>
  <c r="X49" i="27"/>
  <c r="X53" i="27" s="1"/>
  <c r="Y49" i="27"/>
  <c r="Y53" i="27" s="1"/>
  <c r="Z49" i="27"/>
  <c r="Z53" i="27" s="1"/>
  <c r="AA49" i="27"/>
  <c r="AA53" i="27" s="1"/>
  <c r="AB49" i="27"/>
  <c r="AB53" i="27" s="1"/>
  <c r="AC49" i="27"/>
  <c r="AC53" i="27" s="1"/>
  <c r="AD49" i="27"/>
  <c r="AD53" i="27" s="1"/>
  <c r="AE49" i="27"/>
  <c r="AE53" i="27" s="1"/>
  <c r="AF49" i="27"/>
  <c r="AF53" i="27" s="1"/>
  <c r="W49" i="27"/>
  <c r="W53" i="27" s="1"/>
  <c r="B23" i="27"/>
  <c r="D13" i="27"/>
  <c r="D14" i="27"/>
  <c r="D15" i="27"/>
  <c r="D12" i="27"/>
  <c r="C12" i="27"/>
  <c r="C13" i="27"/>
  <c r="C14" i="27"/>
  <c r="F15" i="27"/>
  <c r="C15" i="27" s="1"/>
  <c r="E14" i="27"/>
  <c r="D12" i="26"/>
  <c r="E12" i="26"/>
  <c r="F12" i="26"/>
  <c r="G12" i="26"/>
  <c r="H12" i="26"/>
  <c r="C12" i="26"/>
  <c r="C3" i="27"/>
  <c r="B4" i="27"/>
  <c r="Z6" i="28"/>
  <c r="F86" i="25"/>
  <c r="F87" i="25" s="1"/>
  <c r="F93" i="25" s="1"/>
  <c r="E86" i="25"/>
  <c r="E87" i="25" s="1"/>
  <c r="E93" i="25" s="1"/>
  <c r="D86" i="25"/>
  <c r="D87" i="25" s="1"/>
  <c r="D93" i="25" s="1"/>
  <c r="C86" i="25"/>
  <c r="C87" i="25" s="1"/>
  <c r="C93" i="25" s="1"/>
  <c r="B86" i="25"/>
  <c r="B87" i="25" s="1"/>
  <c r="B93" i="25" s="1"/>
  <c r="G85" i="25"/>
  <c r="F89" i="25"/>
  <c r="F94" i="25" s="1"/>
  <c r="E89" i="25"/>
  <c r="E94" i="25" s="1"/>
  <c r="D89" i="25"/>
  <c r="D94" i="25" s="1"/>
  <c r="C89" i="25"/>
  <c r="C94" i="25" s="1"/>
  <c r="B89" i="25"/>
  <c r="B94" i="25" s="1"/>
  <c r="G88" i="25"/>
  <c r="C84" i="25"/>
  <c r="D84" i="25" s="1"/>
  <c r="C13" i="25"/>
  <c r="D13" i="25" s="1"/>
  <c r="D30" i="25"/>
  <c r="D44" i="25" s="1"/>
  <c r="C44" i="25"/>
  <c r="D35" i="25"/>
  <c r="D37" i="25" s="1"/>
  <c r="D34" i="25"/>
  <c r="C35" i="25"/>
  <c r="C37" i="25" s="1"/>
  <c r="C34" i="25"/>
  <c r="F93" i="15"/>
  <c r="C5" i="25"/>
  <c r="D5" i="25" s="1"/>
  <c r="B19" i="25"/>
  <c r="G73" i="1"/>
  <c r="B11" i="25"/>
  <c r="B7" i="25"/>
  <c r="C6" i="25"/>
  <c r="C7" i="25" s="1"/>
  <c r="G42" i="18"/>
  <c r="C9" i="15" s="1"/>
  <c r="J336" i="5"/>
  <c r="K336" i="5" s="1"/>
  <c r="F63" i="15"/>
  <c r="G63" i="15" s="1"/>
  <c r="H63" i="15" s="1"/>
  <c r="I63" i="15" s="1"/>
  <c r="J63" i="15" s="1"/>
  <c r="K63" i="15" s="1"/>
  <c r="L63" i="15" s="1"/>
  <c r="M63" i="15" s="1"/>
  <c r="N63" i="15" s="1"/>
  <c r="O63" i="15" s="1"/>
  <c r="P63" i="15" s="1"/>
  <c r="Q63" i="15" s="1"/>
  <c r="R63" i="15" s="1"/>
  <c r="F62" i="15"/>
  <c r="G62" i="15" s="1"/>
  <c r="H62" i="15" s="1"/>
  <c r="I62" i="15" s="1"/>
  <c r="J62" i="15" s="1"/>
  <c r="K62" i="15" s="1"/>
  <c r="L62" i="15" s="1"/>
  <c r="M62" i="15" s="1"/>
  <c r="N62" i="15" s="1"/>
  <c r="O62" i="15" s="1"/>
  <c r="P62" i="15" s="1"/>
  <c r="Q62" i="15" s="1"/>
  <c r="R62" i="15" s="1"/>
  <c r="F61" i="15"/>
  <c r="G61" i="15" s="1"/>
  <c r="H61" i="15" s="1"/>
  <c r="I61" i="15" s="1"/>
  <c r="J61" i="15" s="1"/>
  <c r="K61" i="15" s="1"/>
  <c r="L61" i="15" s="1"/>
  <c r="M61" i="15" s="1"/>
  <c r="D63" i="15"/>
  <c r="D62" i="15"/>
  <c r="D61" i="15"/>
  <c r="X105" i="15"/>
  <c r="H105" i="15"/>
  <c r="I105" i="15"/>
  <c r="J105" i="15"/>
  <c r="W105" i="15"/>
  <c r="B121" i="15"/>
  <c r="C117" i="15"/>
  <c r="D117" i="15" s="1"/>
  <c r="E117" i="15" s="1"/>
  <c r="F117" i="15" s="1"/>
  <c r="G117" i="15" s="1"/>
  <c r="H117" i="15" s="1"/>
  <c r="I117" i="15" s="1"/>
  <c r="J117" i="15" s="1"/>
  <c r="C110" i="15"/>
  <c r="B110" i="15"/>
  <c r="C107" i="15"/>
  <c r="D107" i="15" s="1"/>
  <c r="E107" i="15" s="1"/>
  <c r="F107" i="15" s="1"/>
  <c r="G107" i="15" s="1"/>
  <c r="H107" i="15" s="1"/>
  <c r="I107" i="15" s="1"/>
  <c r="J107" i="15" s="1"/>
  <c r="C97" i="15"/>
  <c r="D97" i="15" s="1"/>
  <c r="E97" i="15" s="1"/>
  <c r="F97" i="15" s="1"/>
  <c r="G97" i="15" s="1"/>
  <c r="H97" i="15" s="1"/>
  <c r="I97" i="15" s="1"/>
  <c r="J97" i="15" s="1"/>
  <c r="C101" i="15"/>
  <c r="B105" i="15"/>
  <c r="H71" i="17"/>
  <c r="C102" i="15" s="1"/>
  <c r="B101" i="15"/>
  <c r="E89" i="15"/>
  <c r="C87" i="15"/>
  <c r="D87" i="15" s="1"/>
  <c r="E87" i="15" s="1"/>
  <c r="F87" i="15" s="1"/>
  <c r="G87" i="15" s="1"/>
  <c r="H87" i="15" s="1"/>
  <c r="I87" i="15" s="1"/>
  <c r="J87" i="15" s="1"/>
  <c r="B91" i="15"/>
  <c r="B90" i="15"/>
  <c r="B89" i="15"/>
  <c r="I54" i="22"/>
  <c r="I50" i="22"/>
  <c r="I51" i="22"/>
  <c r="I52" i="22"/>
  <c r="I53" i="22"/>
  <c r="I44" i="22"/>
  <c r="I45" i="22"/>
  <c r="I46" i="22"/>
  <c r="I47" i="22"/>
  <c r="I48" i="22"/>
  <c r="I49" i="22"/>
  <c r="D71" i="22"/>
  <c r="C60" i="24"/>
  <c r="C59" i="24"/>
  <c r="E45" i="22"/>
  <c r="G54" i="24"/>
  <c r="F54" i="24"/>
  <c r="E54" i="24"/>
  <c r="D54" i="24"/>
  <c r="D48" i="24"/>
  <c r="E48" i="24" s="1"/>
  <c r="F48" i="24" s="1"/>
  <c r="G48" i="24" s="1"/>
  <c r="H48" i="24" s="1"/>
  <c r="J8" i="24"/>
  <c r="J3" i="24"/>
  <c r="J7" i="24"/>
  <c r="B5" i="24"/>
  <c r="Y73" i="15"/>
  <c r="Z73" i="15" s="1"/>
  <c r="AA73" i="15" s="1"/>
  <c r="AB73" i="15" s="1"/>
  <c r="AC73" i="15" s="1"/>
  <c r="D73" i="15"/>
  <c r="E73" i="15" s="1"/>
  <c r="F73" i="15" s="1"/>
  <c r="G73" i="15" s="1"/>
  <c r="H73" i="15" s="1"/>
  <c r="Y6" i="28"/>
  <c r="X95" i="15"/>
  <c r="W95" i="15"/>
  <c r="G95" i="15"/>
  <c r="J95" i="15"/>
  <c r="H95" i="15"/>
  <c r="I95" i="15"/>
  <c r="G89" i="15"/>
  <c r="AA6" i="28"/>
  <c r="G93" i="15"/>
  <c r="H89" i="15"/>
  <c r="P16" i="1"/>
  <c r="H93" i="15"/>
  <c r="I89" i="15"/>
  <c r="I93" i="15"/>
  <c r="J89" i="15"/>
  <c r="C54" i="22"/>
  <c r="C53" i="22"/>
  <c r="C52" i="22"/>
  <c r="C51" i="22"/>
  <c r="C50" i="22"/>
  <c r="C49" i="22"/>
  <c r="C48" i="22"/>
  <c r="C47" i="22"/>
  <c r="C46" i="22"/>
  <c r="C45" i="22"/>
  <c r="C44" i="22"/>
  <c r="F76" i="22"/>
  <c r="E76" i="22"/>
  <c r="F75" i="22"/>
  <c r="E75" i="22"/>
  <c r="F74" i="22"/>
  <c r="E74" i="22"/>
  <c r="F73" i="22"/>
  <c r="E73" i="22"/>
  <c r="F72" i="22"/>
  <c r="E72" i="22"/>
  <c r="F71" i="22"/>
  <c r="E71" i="22"/>
  <c r="F70" i="22"/>
  <c r="E70" i="22"/>
  <c r="F69" i="22"/>
  <c r="E69" i="22"/>
  <c r="F68" i="22"/>
  <c r="E68" i="22"/>
  <c r="F67" i="22"/>
  <c r="E67" i="22"/>
  <c r="F66" i="22"/>
  <c r="E66" i="22"/>
  <c r="E61" i="22"/>
  <c r="E60" i="22"/>
  <c r="E59" i="22"/>
  <c r="E58" i="22"/>
  <c r="E54" i="22"/>
  <c r="E53" i="22"/>
  <c r="E52" i="22"/>
  <c r="E51" i="22"/>
  <c r="E50" i="22"/>
  <c r="E49" i="22"/>
  <c r="E48" i="22"/>
  <c r="E47" i="22"/>
  <c r="E46" i="22"/>
  <c r="E44" i="22"/>
  <c r="W82" i="15"/>
  <c r="W81" i="15"/>
  <c r="W80" i="15"/>
  <c r="W79" i="15"/>
  <c r="W78" i="15"/>
  <c r="W77" i="15"/>
  <c r="W76" i="15"/>
  <c r="W75" i="15"/>
  <c r="W74" i="15"/>
  <c r="C82" i="15"/>
  <c r="C81" i="15"/>
  <c r="C80" i="15"/>
  <c r="C79" i="15"/>
  <c r="C10" i="24" s="1"/>
  <c r="C78" i="15"/>
  <c r="C77" i="15"/>
  <c r="C8" i="24" s="1"/>
  <c r="C76" i="15"/>
  <c r="C75" i="15"/>
  <c r="C6" i="24" s="1"/>
  <c r="C74" i="15"/>
  <c r="B88" i="15" s="1"/>
  <c r="A82" i="15"/>
  <c r="A81" i="15"/>
  <c r="A80" i="15"/>
  <c r="G313" i="5"/>
  <c r="F313" i="5"/>
  <c r="G79" i="1"/>
  <c r="F79" i="1"/>
  <c r="F310" i="5"/>
  <c r="F319" i="5" s="1"/>
  <c r="G310" i="5"/>
  <c r="G319" i="5" s="1"/>
  <c r="G311" i="5"/>
  <c r="F311" i="5"/>
  <c r="G308" i="5"/>
  <c r="G314" i="5"/>
  <c r="F314" i="5"/>
  <c r="F308" i="5"/>
  <c r="D2" i="21"/>
  <c r="D27" i="21" s="1"/>
  <c r="E58" i="21"/>
  <c r="C58" i="21"/>
  <c r="E27" i="21"/>
  <c r="C27" i="21"/>
  <c r="E4" i="21"/>
  <c r="C4" i="21"/>
  <c r="F27" i="21"/>
  <c r="F4" i="21"/>
  <c r="G58" i="21"/>
  <c r="G4" i="21"/>
  <c r="G27" i="21"/>
  <c r="F58" i="21"/>
  <c r="H58" i="21"/>
  <c r="H4" i="21"/>
  <c r="H27" i="21"/>
  <c r="I58" i="21"/>
  <c r="I4" i="21"/>
  <c r="I27" i="21"/>
  <c r="J4" i="21"/>
  <c r="J58" i="21"/>
  <c r="J27" i="21"/>
  <c r="K4" i="21"/>
  <c r="K58" i="21"/>
  <c r="K27" i="21"/>
  <c r="L27" i="21"/>
  <c r="L4" i="21"/>
  <c r="L58" i="21"/>
  <c r="M4" i="21"/>
  <c r="M58" i="21"/>
  <c r="M27" i="21"/>
  <c r="N58" i="21"/>
  <c r="N4" i="21"/>
  <c r="N27" i="21"/>
  <c r="H55" i="5"/>
  <c r="G55" i="5"/>
  <c r="F55" i="5"/>
  <c r="E176" i="39" s="1"/>
  <c r="G111" i="5"/>
  <c r="F111" i="5"/>
  <c r="E192" i="39" s="1"/>
  <c r="G92" i="5"/>
  <c r="F92" i="5"/>
  <c r="G82" i="5"/>
  <c r="F82" i="5"/>
  <c r="G168" i="5"/>
  <c r="F168" i="5"/>
  <c r="L173" i="5"/>
  <c r="M173" i="5" s="1"/>
  <c r="N173" i="5" s="1"/>
  <c r="G144" i="5"/>
  <c r="G77" i="5" s="1"/>
  <c r="G224" i="5"/>
  <c r="G86" i="5" s="1"/>
  <c r="F224" i="5"/>
  <c r="F86" i="5" s="1"/>
  <c r="G220" i="5"/>
  <c r="G72" i="5" s="1"/>
  <c r="F220" i="5"/>
  <c r="F210" i="5"/>
  <c r="F91" i="5" s="1"/>
  <c r="F209" i="5"/>
  <c r="G95" i="5"/>
  <c r="Y28" i="28" s="1"/>
  <c r="F95" i="5"/>
  <c r="X28" i="28" s="1"/>
  <c r="I55" i="5"/>
  <c r="E251" i="5"/>
  <c r="D251" i="5"/>
  <c r="C251" i="5"/>
  <c r="D250" i="5"/>
  <c r="E250" i="5" s="1"/>
  <c r="F250" i="5" s="1"/>
  <c r="G250" i="5" s="1"/>
  <c r="H250" i="5" s="1"/>
  <c r="I250" i="5" s="1"/>
  <c r="J250" i="5" s="1"/>
  <c r="K250" i="5" s="1"/>
  <c r="L250" i="5" s="1"/>
  <c r="M250" i="5" s="1"/>
  <c r="N250" i="5" s="1"/>
  <c r="O250" i="5" s="1"/>
  <c r="P250" i="5" s="1"/>
  <c r="Q250" i="5" s="1"/>
  <c r="R250" i="5" s="1"/>
  <c r="S250" i="5" s="1"/>
  <c r="T250" i="5" s="1"/>
  <c r="U250" i="5" s="1"/>
  <c r="V250" i="5" s="1"/>
  <c r="G197" i="5"/>
  <c r="G260" i="5" s="1"/>
  <c r="F197" i="5"/>
  <c r="G188" i="5"/>
  <c r="G50" i="5" s="1"/>
  <c r="F171" i="39" s="1"/>
  <c r="F188" i="5"/>
  <c r="F179" i="5" s="1"/>
  <c r="G46" i="5"/>
  <c r="F166" i="39" s="1"/>
  <c r="F46" i="5"/>
  <c r="E166" i="39" s="1"/>
  <c r="G133" i="5"/>
  <c r="G137" i="5" s="1"/>
  <c r="F48" i="16"/>
  <c r="F63" i="39" s="1"/>
  <c r="E45" i="16"/>
  <c r="E47" i="16" s="1"/>
  <c r="E61" i="39" s="1"/>
  <c r="E144" i="5"/>
  <c r="E135" i="5" s="1"/>
  <c r="E137" i="5"/>
  <c r="E138" i="5" s="1"/>
  <c r="F133" i="5"/>
  <c r="F137" i="5" s="1"/>
  <c r="G141" i="5"/>
  <c r="F141" i="5"/>
  <c r="F142" i="5" s="1"/>
  <c r="H337" i="5"/>
  <c r="I337" i="5" s="1"/>
  <c r="J337" i="5" s="1"/>
  <c r="K337" i="5" s="1"/>
  <c r="L337" i="5" s="1"/>
  <c r="M337" i="5" s="1"/>
  <c r="N337" i="5" s="1"/>
  <c r="O337" i="5" s="1"/>
  <c r="P337" i="5" s="1"/>
  <c r="Q337" i="5" s="1"/>
  <c r="R337" i="5" s="1"/>
  <c r="S337" i="5" s="1"/>
  <c r="T337" i="5" s="1"/>
  <c r="U337" i="5" s="1"/>
  <c r="V337" i="5" s="1"/>
  <c r="G7" i="5"/>
  <c r="Y136" i="28" s="1"/>
  <c r="G8" i="5"/>
  <c r="Y137" i="28" s="1"/>
  <c r="G9" i="5"/>
  <c r="Y138" i="28" s="1"/>
  <c r="G10" i="5"/>
  <c r="Y139" i="28" s="1"/>
  <c r="F8" i="5"/>
  <c r="X137" i="28" s="1"/>
  <c r="F7" i="5"/>
  <c r="X136" i="28" s="1"/>
  <c r="H311" i="5"/>
  <c r="H95" i="5"/>
  <c r="Z28" i="28" s="1"/>
  <c r="I311" i="5"/>
  <c r="J95" i="5"/>
  <c r="AB28" i="28" s="1"/>
  <c r="K55" i="5"/>
  <c r="J55" i="5"/>
  <c r="I95" i="5"/>
  <c r="AA28" i="28" s="1"/>
  <c r="H308" i="5"/>
  <c r="H10" i="5"/>
  <c r="Z139" i="28" s="1"/>
  <c r="H9" i="5"/>
  <c r="Z138" i="28" s="1"/>
  <c r="A51" i="15"/>
  <c r="D41" i="15"/>
  <c r="D51" i="15" s="1"/>
  <c r="D40" i="15"/>
  <c r="D50" i="15" s="1"/>
  <c r="D39" i="15"/>
  <c r="D49" i="15" s="1"/>
  <c r="D38" i="15"/>
  <c r="D48" i="15" s="1"/>
  <c r="D37" i="15"/>
  <c r="D47" i="15" s="1"/>
  <c r="C36" i="15"/>
  <c r="D16" i="15"/>
  <c r="Z236" i="28" s="1"/>
  <c r="D17" i="15"/>
  <c r="Z237" i="28" s="1"/>
  <c r="D18" i="15"/>
  <c r="Z238" i="28" s="1"/>
  <c r="D19" i="15"/>
  <c r="Z239" i="28" s="1"/>
  <c r="D8" i="15"/>
  <c r="Z230" i="28" s="1"/>
  <c r="D7" i="15"/>
  <c r="Z229" i="28" s="1"/>
  <c r="D6" i="15"/>
  <c r="Z228" i="28" s="1"/>
  <c r="D5" i="15"/>
  <c r="D4" i="15"/>
  <c r="Z226" i="28" s="1"/>
  <c r="C19" i="15"/>
  <c r="C18" i="15"/>
  <c r="C17" i="15"/>
  <c r="C16" i="15"/>
  <c r="Y236" i="28" s="1"/>
  <c r="A21" i="15"/>
  <c r="A31" i="15" s="1"/>
  <c r="A15" i="15"/>
  <c r="A25" i="15" s="1"/>
  <c r="B245" i="28" s="1"/>
  <c r="C15" i="15"/>
  <c r="Y235" i="28" s="1"/>
  <c r="C8" i="15"/>
  <c r="C5" i="15"/>
  <c r="E7" i="24" s="1"/>
  <c r="C6" i="15"/>
  <c r="Y228" i="28" s="1"/>
  <c r="C7" i="15"/>
  <c r="Y229" i="28" s="1"/>
  <c r="C4" i="15"/>
  <c r="E6" i="24" s="1"/>
  <c r="C3" i="15"/>
  <c r="E5" i="24" s="1"/>
  <c r="A8" i="15"/>
  <c r="B230" i="28" s="1"/>
  <c r="A7" i="15"/>
  <c r="A6" i="15"/>
  <c r="B228" i="28" s="1"/>
  <c r="A5" i="15"/>
  <c r="B227" i="28" s="1"/>
  <c r="A4" i="15"/>
  <c r="G38" i="20"/>
  <c r="K6" i="20"/>
  <c r="L6" i="20" s="1"/>
  <c r="M6" i="20" s="1"/>
  <c r="N6" i="20" s="1"/>
  <c r="O6" i="20" s="1"/>
  <c r="P6" i="20" s="1"/>
  <c r="Q6" i="20" s="1"/>
  <c r="R6" i="20" s="1"/>
  <c r="S6" i="20" s="1"/>
  <c r="T6" i="20" s="1"/>
  <c r="U6" i="20" s="1"/>
  <c r="V6" i="20" s="1"/>
  <c r="H64" i="20"/>
  <c r="G63" i="20"/>
  <c r="G58" i="20"/>
  <c r="G59" i="20" s="1"/>
  <c r="H46" i="20"/>
  <c r="H94" i="18"/>
  <c r="G93" i="18"/>
  <c r="G49" i="18"/>
  <c r="G48" i="18"/>
  <c r="G47" i="18"/>
  <c r="G30" i="18"/>
  <c r="H49" i="18"/>
  <c r="H47" i="18"/>
  <c r="G11" i="18"/>
  <c r="H84" i="17"/>
  <c r="G84" i="17"/>
  <c r="G86" i="17" s="1"/>
  <c r="G79" i="17"/>
  <c r="G78" i="17"/>
  <c r="G77" i="17"/>
  <c r="G76" i="17"/>
  <c r="H41" i="17"/>
  <c r="H42" i="17"/>
  <c r="H40" i="17"/>
  <c r="G43" i="17"/>
  <c r="G42" i="17"/>
  <c r="G41" i="17"/>
  <c r="G40" i="17"/>
  <c r="G114" i="17"/>
  <c r="D39" i="1"/>
  <c r="E43" i="1" s="1"/>
  <c r="B78" i="9" s="1"/>
  <c r="G23" i="1"/>
  <c r="G88" i="1"/>
  <c r="H28" i="1"/>
  <c r="F15" i="1"/>
  <c r="E15" i="1" s="1"/>
  <c r="G27" i="1"/>
  <c r="G28" i="1" s="1"/>
  <c r="G8" i="1"/>
  <c r="F32" i="16"/>
  <c r="G43" i="5" s="1"/>
  <c r="F163" i="39" s="1"/>
  <c r="E32" i="16"/>
  <c r="F10" i="16"/>
  <c r="G41" i="5" s="1"/>
  <c r="E10" i="16"/>
  <c r="A53" i="15"/>
  <c r="D45" i="15"/>
  <c r="E45" i="15" s="1"/>
  <c r="F45" i="15" s="1"/>
  <c r="G45" i="15" s="1"/>
  <c r="H45" i="15" s="1"/>
  <c r="I45" i="15" s="1"/>
  <c r="J45" i="15" s="1"/>
  <c r="K45" i="15" s="1"/>
  <c r="L45" i="15" s="1"/>
  <c r="M45" i="15" s="1"/>
  <c r="N45" i="15" s="1"/>
  <c r="O45" i="15" s="1"/>
  <c r="P45" i="15" s="1"/>
  <c r="Q45" i="15" s="1"/>
  <c r="R45" i="15" s="1"/>
  <c r="D35" i="15"/>
  <c r="E35" i="15" s="1"/>
  <c r="F35" i="15" s="1"/>
  <c r="G35" i="15" s="1"/>
  <c r="H35" i="15" s="1"/>
  <c r="I35" i="15" s="1"/>
  <c r="J35" i="15" s="1"/>
  <c r="K35" i="15" s="1"/>
  <c r="L35" i="15" s="1"/>
  <c r="M35" i="15" s="1"/>
  <c r="N35" i="15" s="1"/>
  <c r="O35" i="15" s="1"/>
  <c r="P35" i="15" s="1"/>
  <c r="Q35" i="15" s="1"/>
  <c r="R35" i="15" s="1"/>
  <c r="D24" i="15"/>
  <c r="E24" i="15" s="1"/>
  <c r="F24" i="15" s="1"/>
  <c r="G24" i="15" s="1"/>
  <c r="H24" i="15" s="1"/>
  <c r="I24" i="15" s="1"/>
  <c r="J24" i="15" s="1"/>
  <c r="K24" i="15" s="1"/>
  <c r="L24" i="15" s="1"/>
  <c r="M24" i="15" s="1"/>
  <c r="N24" i="15" s="1"/>
  <c r="O24" i="15" s="1"/>
  <c r="P24" i="15" s="1"/>
  <c r="Q24" i="15" s="1"/>
  <c r="R24" i="15" s="1"/>
  <c r="D14" i="15"/>
  <c r="E14" i="15" s="1"/>
  <c r="F14" i="15" s="1"/>
  <c r="G14" i="15" s="1"/>
  <c r="H14" i="15" s="1"/>
  <c r="I14" i="15" s="1"/>
  <c r="J14" i="15" s="1"/>
  <c r="K14" i="15" s="1"/>
  <c r="L14" i="15" s="1"/>
  <c r="M14" i="15" s="1"/>
  <c r="N14" i="15" s="1"/>
  <c r="O14" i="15" s="1"/>
  <c r="P14" i="15" s="1"/>
  <c r="Q14" i="15" s="1"/>
  <c r="R14" i="15" s="1"/>
  <c r="D2" i="15"/>
  <c r="E2" i="15" s="1"/>
  <c r="F2" i="15" s="1"/>
  <c r="G2" i="15" s="1"/>
  <c r="H2" i="15" s="1"/>
  <c r="I2" i="15" s="1"/>
  <c r="J2" i="15" s="1"/>
  <c r="K2" i="15" s="1"/>
  <c r="L2" i="15" s="1"/>
  <c r="M2" i="15" s="1"/>
  <c r="N2" i="15" s="1"/>
  <c r="O2" i="15" s="1"/>
  <c r="P2" i="15" s="1"/>
  <c r="Q2" i="15" s="1"/>
  <c r="R2" i="15" s="1"/>
  <c r="D78" i="15"/>
  <c r="H43" i="17"/>
  <c r="H29" i="17"/>
  <c r="D77" i="15"/>
  <c r="I40" i="17"/>
  <c r="D75" i="15"/>
  <c r="D76" i="15"/>
  <c r="D79" i="15"/>
  <c r="H20" i="20"/>
  <c r="D81" i="15"/>
  <c r="H48" i="18"/>
  <c r="D80" i="15"/>
  <c r="D82" i="15"/>
  <c r="F66" i="1"/>
  <c r="F67" i="1" s="1"/>
  <c r="Y54" i="27"/>
  <c r="Z54" i="27"/>
  <c r="B18" i="25"/>
  <c r="I28" i="1"/>
  <c r="D74" i="15"/>
  <c r="C88" i="15" s="1"/>
  <c r="H7" i="5"/>
  <c r="Z136" i="28" s="1"/>
  <c r="H8" i="5"/>
  <c r="Z137" i="28" s="1"/>
  <c r="G20" i="20"/>
  <c r="I20" i="20"/>
  <c r="H63" i="20"/>
  <c r="H58" i="20"/>
  <c r="H59" i="20" s="1"/>
  <c r="H38" i="20"/>
  <c r="G27" i="20"/>
  <c r="I11" i="18"/>
  <c r="I48" i="18"/>
  <c r="H30" i="18"/>
  <c r="H11" i="18"/>
  <c r="G59" i="18"/>
  <c r="C21" i="15" s="1"/>
  <c r="Y241" i="28" s="1"/>
  <c r="G88" i="18"/>
  <c r="H79" i="17"/>
  <c r="H76" i="17"/>
  <c r="H77" i="17"/>
  <c r="I43" i="17"/>
  <c r="H78" i="17"/>
  <c r="G99" i="17"/>
  <c r="E12" i="17"/>
  <c r="F108" i="17"/>
  <c r="G108" i="17"/>
  <c r="F113" i="17"/>
  <c r="G113" i="17"/>
  <c r="C53" i="15"/>
  <c r="G66" i="1"/>
  <c r="G67" i="1" s="1"/>
  <c r="E82" i="15"/>
  <c r="I49" i="18"/>
  <c r="E80" i="15"/>
  <c r="I47" i="18"/>
  <c r="E76" i="15"/>
  <c r="I41" i="17"/>
  <c r="E77" i="15"/>
  <c r="I42" i="17"/>
  <c r="E75" i="15"/>
  <c r="I29" i="17"/>
  <c r="D98" i="15" s="1"/>
  <c r="F77" i="15"/>
  <c r="I57" i="17"/>
  <c r="E79" i="15"/>
  <c r="Z87" i="29"/>
  <c r="F82" i="15"/>
  <c r="J28" i="18"/>
  <c r="F81" i="15" s="1"/>
  <c r="E81" i="15"/>
  <c r="AA54" i="27"/>
  <c r="E78" i="15"/>
  <c r="E74" i="15"/>
  <c r="D88" i="15" s="1"/>
  <c r="G10" i="16"/>
  <c r="H41" i="5" s="1"/>
  <c r="H19" i="20"/>
  <c r="G109" i="16" s="1"/>
  <c r="F80" i="15"/>
  <c r="I30" i="18"/>
  <c r="H88" i="18"/>
  <c r="H74" i="18"/>
  <c r="H93" i="18"/>
  <c r="I60" i="17"/>
  <c r="H99" i="17"/>
  <c r="J17" i="1"/>
  <c r="E39" i="15"/>
  <c r="E49" i="15" s="1"/>
  <c r="I59" i="17"/>
  <c r="E5" i="15"/>
  <c r="I58" i="17"/>
  <c r="E18" i="15"/>
  <c r="AA238" i="28" s="1"/>
  <c r="E6" i="15"/>
  <c r="F75" i="15"/>
  <c r="I53" i="17"/>
  <c r="F17" i="15"/>
  <c r="AB237" i="28" s="1"/>
  <c r="E17" i="15"/>
  <c r="AA237" i="28" s="1"/>
  <c r="E38" i="15"/>
  <c r="E48" i="15" s="1"/>
  <c r="E37" i="15"/>
  <c r="E47" i="15" s="1"/>
  <c r="E4" i="15"/>
  <c r="AA226" i="28" s="1"/>
  <c r="CK83" i="29"/>
  <c r="AD87" i="29"/>
  <c r="D110" i="15"/>
  <c r="E8" i="15"/>
  <c r="AA230" i="28" s="1"/>
  <c r="E41" i="15"/>
  <c r="E51" i="15" s="1"/>
  <c r="H30" i="20"/>
  <c r="C111" i="15" s="1"/>
  <c r="E40" i="15"/>
  <c r="E50" i="15" s="1"/>
  <c r="E7" i="15"/>
  <c r="E19" i="15"/>
  <c r="AA239" i="28" s="1"/>
  <c r="J60" i="17"/>
  <c r="F5" i="15"/>
  <c r="AB227" i="28" s="1"/>
  <c r="J58" i="17"/>
  <c r="F18" i="15"/>
  <c r="AB238" i="28" s="1"/>
  <c r="J59" i="17"/>
  <c r="J57" i="17"/>
  <c r="F37" i="15"/>
  <c r="F47" i="15" s="1"/>
  <c r="F39" i="15"/>
  <c r="F49" i="15" s="1"/>
  <c r="F6" i="15"/>
  <c r="AB228" i="28" s="1"/>
  <c r="F38" i="15"/>
  <c r="F48" i="15" s="1"/>
  <c r="F4" i="15"/>
  <c r="AB226" i="28" s="1"/>
  <c r="E16" i="15"/>
  <c r="AA236" i="28" s="1"/>
  <c r="J53" i="17"/>
  <c r="E110" i="15"/>
  <c r="F41" i="15"/>
  <c r="F51" i="15" s="1"/>
  <c r="F8" i="15"/>
  <c r="F7" i="15"/>
  <c r="AB229" i="28" s="1"/>
  <c r="F40" i="15"/>
  <c r="F50" i="15" s="1"/>
  <c r="J19" i="20"/>
  <c r="I109" i="16" s="1"/>
  <c r="CK84" i="29"/>
  <c r="I19" i="20"/>
  <c r="H109" i="16" s="1"/>
  <c r="F281" i="5"/>
  <c r="G281" i="5"/>
  <c r="G205" i="5"/>
  <c r="F205" i="5"/>
  <c r="G163" i="5"/>
  <c r="G164" i="5" s="1"/>
  <c r="F163" i="5"/>
  <c r="F164" i="5" s="1"/>
  <c r="E339" i="5"/>
  <c r="D339" i="5"/>
  <c r="G43" i="1"/>
  <c r="B94" i="15" s="1"/>
  <c r="F43" i="1"/>
  <c r="G30" i="1"/>
  <c r="F30" i="1"/>
  <c r="G21" i="1"/>
  <c r="F21" i="1"/>
  <c r="AD88" i="29"/>
  <c r="AD85" i="29"/>
  <c r="AN96" i="32" s="1"/>
  <c r="Z57" i="29"/>
  <c r="F16" i="15"/>
  <c r="AB236" i="28" s="1"/>
  <c r="I71" i="17"/>
  <c r="D102" i="15" s="1"/>
  <c r="Z88" i="29"/>
  <c r="Z85" i="29"/>
  <c r="AI96" i="32" s="1"/>
  <c r="AB6" i="28"/>
  <c r="J311" i="5"/>
  <c r="D101" i="15"/>
  <c r="F19" i="15"/>
  <c r="AB239" i="28" s="1"/>
  <c r="J18" i="9"/>
  <c r="D17" i="9"/>
  <c r="C17" i="9"/>
  <c r="D16" i="9"/>
  <c r="C16" i="9"/>
  <c r="D15" i="9"/>
  <c r="C15" i="9"/>
  <c r="D14" i="9"/>
  <c r="C14" i="9"/>
  <c r="B17" i="9"/>
  <c r="B16" i="9"/>
  <c r="B15" i="9"/>
  <c r="B14" i="9"/>
  <c r="B13" i="9"/>
  <c r="C13" i="9" s="1"/>
  <c r="D13" i="9" s="1"/>
  <c r="E13" i="9" s="1"/>
  <c r="F13" i="9" s="1"/>
  <c r="G13" i="9" s="1"/>
  <c r="H13" i="9" s="1"/>
  <c r="I13" i="9" s="1"/>
  <c r="G85" i="9"/>
  <c r="S108" i="9"/>
  <c r="S89" i="9"/>
  <c r="CK54" i="29"/>
  <c r="AD55" i="29"/>
  <c r="AN54" i="32" s="1"/>
  <c r="AD57" i="29"/>
  <c r="Z58" i="29"/>
  <c r="Z55" i="29"/>
  <c r="AI54" i="32" s="1"/>
  <c r="E101" i="15"/>
  <c r="B4" i="9"/>
  <c r="B5" i="9"/>
  <c r="C5" i="9"/>
  <c r="B6" i="9"/>
  <c r="C6" i="9"/>
  <c r="B7" i="9"/>
  <c r="C7" i="9"/>
  <c r="E325" i="5"/>
  <c r="E326" i="5" s="1"/>
  <c r="D325" i="5"/>
  <c r="D326" i="5" s="1"/>
  <c r="C325" i="5"/>
  <c r="C326" i="5" s="1"/>
  <c r="AD58" i="29"/>
  <c r="I70" i="20"/>
  <c r="Z64" i="29"/>
  <c r="AI60" i="32" s="1"/>
  <c r="Z62" i="29"/>
  <c r="Z90" i="29"/>
  <c r="AI101" i="32" s="1"/>
  <c r="Z92" i="29"/>
  <c r="AI102" i="32" s="1"/>
  <c r="I10" i="5"/>
  <c r="AA139" i="28" s="1"/>
  <c r="H98" i="16"/>
  <c r="I26" i="5" s="1"/>
  <c r="I8" i="5"/>
  <c r="AA137" i="28" s="1"/>
  <c r="H96" i="16"/>
  <c r="I24" i="5" s="1"/>
  <c r="I99" i="17"/>
  <c r="I46" i="20"/>
  <c r="I38" i="20"/>
  <c r="CK122" i="29"/>
  <c r="J70" i="20"/>
  <c r="AD92" i="29"/>
  <c r="AN102" i="32" s="1"/>
  <c r="AD90" i="29"/>
  <c r="AD123" i="29"/>
  <c r="CK114" i="29"/>
  <c r="J10" i="5"/>
  <c r="AB139" i="28" s="1"/>
  <c r="I98" i="16"/>
  <c r="AB160" i="28" s="1"/>
  <c r="J46" i="20"/>
  <c r="J38" i="20"/>
  <c r="I58" i="20"/>
  <c r="I59" i="20" s="1"/>
  <c r="I64" i="20"/>
  <c r="AD62" i="29"/>
  <c r="AN59" i="32" s="1"/>
  <c r="AD64" i="29"/>
  <c r="AD115" i="29"/>
  <c r="CK150" i="29"/>
  <c r="J99" i="17"/>
  <c r="J8" i="5"/>
  <c r="AB137" i="28" s="1"/>
  <c r="I96" i="16"/>
  <c r="I79" i="39" s="1"/>
  <c r="Z144" i="29"/>
  <c r="Z143" i="29"/>
  <c r="Z151" i="29"/>
  <c r="Z152" i="29"/>
  <c r="J58" i="20"/>
  <c r="J59" i="20" s="1"/>
  <c r="J64" i="20"/>
  <c r="AD152" i="29"/>
  <c r="AD151" i="29"/>
  <c r="CK142" i="29"/>
  <c r="B135" i="9"/>
  <c r="B138" i="9"/>
  <c r="B136" i="9"/>
  <c r="E113" i="5"/>
  <c r="D113" i="5"/>
  <c r="AD143" i="29"/>
  <c r="AD144" i="29"/>
  <c r="D104" i="9"/>
  <c r="F104" i="9" s="1"/>
  <c r="B89" i="9" s="1"/>
  <c r="D103" i="9"/>
  <c r="F103" i="9" s="1"/>
  <c r="B88" i="9" s="1"/>
  <c r="B101" i="9"/>
  <c r="D101" i="9" s="1"/>
  <c r="F101" i="9" s="1"/>
  <c r="B87" i="9" s="1"/>
  <c r="J70" i="9"/>
  <c r="B81" i="9"/>
  <c r="B84" i="9"/>
  <c r="B85" i="9"/>
  <c r="B65" i="9"/>
  <c r="B64" i="9"/>
  <c r="B63" i="9"/>
  <c r="B62" i="9"/>
  <c r="C45" i="9"/>
  <c r="D45" i="9" s="1"/>
  <c r="B36" i="9" s="1"/>
  <c r="E46" i="1"/>
  <c r="B57" i="9"/>
  <c r="B58" i="9" s="1"/>
  <c r="B53" i="9"/>
  <c r="D48" i="9"/>
  <c r="B39" i="9" s="1"/>
  <c r="D47" i="9"/>
  <c r="B38" i="9" s="1"/>
  <c r="D46" i="9"/>
  <c r="B37" i="9" s="1"/>
  <c r="B34" i="9"/>
  <c r="F2" i="9"/>
  <c r="G2" i="9" s="1"/>
  <c r="H2" i="9" s="1"/>
  <c r="I2" i="9" s="1"/>
  <c r="J2" i="9" s="1"/>
  <c r="D7" i="9"/>
  <c r="D6" i="9"/>
  <c r="D5" i="9"/>
  <c r="D4" i="9"/>
  <c r="E179" i="5"/>
  <c r="E270" i="5" s="1"/>
  <c r="D179" i="5"/>
  <c r="C179" i="5"/>
  <c r="C270" i="5" s="1"/>
  <c r="E111" i="5"/>
  <c r="D192" i="39" s="1"/>
  <c r="D111" i="5"/>
  <c r="C192" i="39" s="1"/>
  <c r="E247" i="5"/>
  <c r="E97" i="5" s="1"/>
  <c r="C247" i="5"/>
  <c r="C97" i="5" s="1"/>
  <c r="D247" i="5"/>
  <c r="D97" i="5" s="1"/>
  <c r="E82" i="5"/>
  <c r="D82" i="5"/>
  <c r="C82" i="5"/>
  <c r="L81" i="5"/>
  <c r="M81" i="5" s="1"/>
  <c r="N81" i="5" s="1"/>
  <c r="O81" i="5" s="1"/>
  <c r="P81" i="5" s="1"/>
  <c r="Q81" i="5" s="1"/>
  <c r="R81" i="5" s="1"/>
  <c r="S81" i="5" s="1"/>
  <c r="T81" i="5" s="1"/>
  <c r="U81" i="5" s="1"/>
  <c r="V81" i="5" s="1"/>
  <c r="E210" i="5"/>
  <c r="E91" i="5" s="1"/>
  <c r="D210" i="5"/>
  <c r="C210" i="5"/>
  <c r="C91" i="5" s="1"/>
  <c r="C209" i="5"/>
  <c r="C88" i="5" s="1"/>
  <c r="D209" i="5"/>
  <c r="D88" i="5" s="1"/>
  <c r="E209" i="5"/>
  <c r="E88" i="5" s="1"/>
  <c r="E51" i="5"/>
  <c r="D172" i="39" s="1"/>
  <c r="D51" i="5"/>
  <c r="C172" i="39" s="1"/>
  <c r="C51" i="5"/>
  <c r="B172" i="39" s="1"/>
  <c r="E50" i="5"/>
  <c r="D50" i="5"/>
  <c r="C171" i="39" s="1"/>
  <c r="C50" i="5"/>
  <c r="B171" i="39" s="1"/>
  <c r="E49" i="5"/>
  <c r="D170" i="39" s="1"/>
  <c r="D49" i="5"/>
  <c r="C176" i="5"/>
  <c r="D176" i="5" s="1"/>
  <c r="E176" i="5" s="1"/>
  <c r="F176" i="5" s="1"/>
  <c r="G176" i="5" s="1"/>
  <c r="H176" i="5" s="1"/>
  <c r="I176" i="5" s="1"/>
  <c r="J176" i="5" s="1"/>
  <c r="K176" i="5" s="1"/>
  <c r="L176" i="5" s="1"/>
  <c r="M176" i="5" s="1"/>
  <c r="N176" i="5" s="1"/>
  <c r="O176" i="5" s="1"/>
  <c r="P176" i="5" s="1"/>
  <c r="Q176" i="5" s="1"/>
  <c r="R176" i="5" s="1"/>
  <c r="S176" i="5" s="1"/>
  <c r="T176" i="5" s="1"/>
  <c r="U176" i="5" s="1"/>
  <c r="V176" i="5" s="1"/>
  <c r="C168" i="5"/>
  <c r="E168" i="5"/>
  <c r="D168" i="5"/>
  <c r="C40" i="5"/>
  <c r="B160" i="39" s="1"/>
  <c r="D14" i="5"/>
  <c r="C14" i="5"/>
  <c r="E272" i="5"/>
  <c r="D272" i="5"/>
  <c r="C272" i="5"/>
  <c r="D266" i="5"/>
  <c r="E266" i="5" s="1"/>
  <c r="F266" i="5" s="1"/>
  <c r="C98" i="5"/>
  <c r="D256" i="5"/>
  <c r="E256" i="5" s="1"/>
  <c r="F256" i="5" s="1"/>
  <c r="G256" i="5" s="1"/>
  <c r="H256" i="5" s="1"/>
  <c r="I256" i="5" s="1"/>
  <c r="J256" i="5" s="1"/>
  <c r="K256" i="5" s="1"/>
  <c r="L256" i="5" s="1"/>
  <c r="M256" i="5" s="1"/>
  <c r="N256" i="5" s="1"/>
  <c r="O256" i="5" s="1"/>
  <c r="P256" i="5" s="1"/>
  <c r="Q256" i="5" s="1"/>
  <c r="R256" i="5" s="1"/>
  <c r="S256" i="5" s="1"/>
  <c r="T256" i="5" s="1"/>
  <c r="U256" i="5" s="1"/>
  <c r="V256" i="5" s="1"/>
  <c r="D246" i="5"/>
  <c r="E246" i="5" s="1"/>
  <c r="F246" i="5" s="1"/>
  <c r="G246" i="5" s="1"/>
  <c r="H246" i="5" s="1"/>
  <c r="I246" i="5" s="1"/>
  <c r="J246" i="5" s="1"/>
  <c r="K246" i="5" s="1"/>
  <c r="L246" i="5" s="1"/>
  <c r="M246" i="5" s="1"/>
  <c r="N246" i="5" s="1"/>
  <c r="O246" i="5" s="1"/>
  <c r="P246" i="5" s="1"/>
  <c r="Q246" i="5" s="1"/>
  <c r="R246" i="5" s="1"/>
  <c r="S246" i="5" s="1"/>
  <c r="T246" i="5" s="1"/>
  <c r="U246" i="5" s="1"/>
  <c r="V246" i="5" s="1"/>
  <c r="D242" i="5"/>
  <c r="E242" i="5" s="1"/>
  <c r="F242" i="5" s="1"/>
  <c r="G242" i="5" s="1"/>
  <c r="H242" i="5" s="1"/>
  <c r="I242" i="5" s="1"/>
  <c r="J242" i="5" s="1"/>
  <c r="K242" i="5" s="1"/>
  <c r="L242" i="5" s="1"/>
  <c r="M242" i="5" s="1"/>
  <c r="N242" i="5" s="1"/>
  <c r="O242" i="5" s="1"/>
  <c r="P242" i="5" s="1"/>
  <c r="Q242" i="5" s="1"/>
  <c r="R242" i="5" s="1"/>
  <c r="S242" i="5" s="1"/>
  <c r="T242" i="5" s="1"/>
  <c r="U242" i="5" s="1"/>
  <c r="V242" i="5" s="1"/>
  <c r="D232" i="5"/>
  <c r="E232" i="5" s="1"/>
  <c r="F232" i="5" s="1"/>
  <c r="G232" i="5" s="1"/>
  <c r="H232" i="5" s="1"/>
  <c r="I232" i="5" s="1"/>
  <c r="J232" i="5" s="1"/>
  <c r="K232" i="5" s="1"/>
  <c r="L232" i="5" s="1"/>
  <c r="M232" i="5" s="1"/>
  <c r="N232" i="5" s="1"/>
  <c r="O232" i="5" s="1"/>
  <c r="P232" i="5" s="1"/>
  <c r="Q232" i="5" s="1"/>
  <c r="R232" i="5" s="1"/>
  <c r="S232" i="5" s="1"/>
  <c r="T232" i="5" s="1"/>
  <c r="U232" i="5" s="1"/>
  <c r="V232" i="5" s="1"/>
  <c r="E86" i="5"/>
  <c r="E72" i="5"/>
  <c r="E218" i="5"/>
  <c r="D218" i="5"/>
  <c r="D215" i="5"/>
  <c r="E215" i="5" s="1"/>
  <c r="F215" i="5" s="1"/>
  <c r="G215" i="5" s="1"/>
  <c r="H215" i="5" s="1"/>
  <c r="I215" i="5" s="1"/>
  <c r="J215" i="5" s="1"/>
  <c r="K215" i="5" s="1"/>
  <c r="L215" i="5" s="1"/>
  <c r="M215" i="5" s="1"/>
  <c r="N215" i="5" s="1"/>
  <c r="O215" i="5" s="1"/>
  <c r="P215" i="5" s="1"/>
  <c r="Q215" i="5" s="1"/>
  <c r="R215" i="5" s="1"/>
  <c r="S215" i="5" s="1"/>
  <c r="T215" i="5" s="1"/>
  <c r="U215" i="5" s="1"/>
  <c r="V215" i="5" s="1"/>
  <c r="E205" i="5"/>
  <c r="D205" i="5"/>
  <c r="C205" i="5"/>
  <c r="E171" i="5"/>
  <c r="D171" i="5"/>
  <c r="E163" i="5"/>
  <c r="E164" i="5" s="1"/>
  <c r="D163" i="5"/>
  <c r="D164" i="5" s="1"/>
  <c r="E161" i="5"/>
  <c r="D161" i="5"/>
  <c r="E160" i="5"/>
  <c r="D158" i="5"/>
  <c r="E158" i="5" s="1"/>
  <c r="F158" i="5" s="1"/>
  <c r="G158" i="5" s="1"/>
  <c r="H158" i="5" s="1"/>
  <c r="I158" i="5" s="1"/>
  <c r="J158" i="5" s="1"/>
  <c r="K158" i="5" s="1"/>
  <c r="L158" i="5" s="1"/>
  <c r="M158" i="5" s="1"/>
  <c r="N158" i="5" s="1"/>
  <c r="O158" i="5" s="1"/>
  <c r="P158" i="5" s="1"/>
  <c r="Q158" i="5" s="1"/>
  <c r="R158" i="5" s="1"/>
  <c r="S158" i="5" s="1"/>
  <c r="T158" i="5" s="1"/>
  <c r="U158" i="5" s="1"/>
  <c r="V158" i="5" s="1"/>
  <c r="D268" i="5"/>
  <c r="C268" i="5"/>
  <c r="D132" i="5"/>
  <c r="E132" i="5" s="1"/>
  <c r="F132" i="5" s="1"/>
  <c r="G132" i="5" s="1"/>
  <c r="H132" i="5" s="1"/>
  <c r="I132" i="5" s="1"/>
  <c r="J132" i="5" s="1"/>
  <c r="K132" i="5" s="1"/>
  <c r="L132" i="5" s="1"/>
  <c r="M132" i="5" s="1"/>
  <c r="N132" i="5" s="1"/>
  <c r="O132" i="5" s="1"/>
  <c r="P132" i="5" s="1"/>
  <c r="Q132" i="5" s="1"/>
  <c r="R132" i="5" s="1"/>
  <c r="S132" i="5" s="1"/>
  <c r="T132" i="5" s="1"/>
  <c r="U132" i="5" s="1"/>
  <c r="V132" i="5" s="1"/>
  <c r="D109" i="5"/>
  <c r="E109" i="5" s="1"/>
  <c r="E98" i="5"/>
  <c r="D98" i="5"/>
  <c r="E96" i="5"/>
  <c r="D96" i="5"/>
  <c r="C96" i="5"/>
  <c r="C86" i="5"/>
  <c r="E80" i="5"/>
  <c r="D80" i="5"/>
  <c r="C80" i="5"/>
  <c r="H79" i="5"/>
  <c r="F79" i="5"/>
  <c r="E79" i="5"/>
  <c r="D79" i="5"/>
  <c r="C79" i="5"/>
  <c r="D77" i="5"/>
  <c r="C77" i="5"/>
  <c r="E71" i="5"/>
  <c r="D71" i="5"/>
  <c r="C71" i="5"/>
  <c r="E70" i="5"/>
  <c r="D70" i="5"/>
  <c r="C70" i="5"/>
  <c r="C49" i="5"/>
  <c r="B170" i="39" s="1"/>
  <c r="E45" i="5"/>
  <c r="E269" i="5" s="1"/>
  <c r="D45" i="5"/>
  <c r="D269" i="5" s="1"/>
  <c r="C45" i="5"/>
  <c r="C269" i="5" s="1"/>
  <c r="E44" i="5"/>
  <c r="D164" i="39" s="1"/>
  <c r="D44" i="5"/>
  <c r="C164" i="39" s="1"/>
  <c r="C44" i="5"/>
  <c r="F96" i="5"/>
  <c r="F97" i="5"/>
  <c r="G96" i="5"/>
  <c r="C110" i="5"/>
  <c r="C43" i="5"/>
  <c r="B163" i="39" s="1"/>
  <c r="D110" i="5"/>
  <c r="C191" i="39" s="1"/>
  <c r="D43" i="5"/>
  <c r="E226" i="5"/>
  <c r="D86" i="5"/>
  <c r="G79" i="5"/>
  <c r="F117" i="5"/>
  <c r="X120" i="28" s="1"/>
  <c r="E222" i="5"/>
  <c r="I79" i="5"/>
  <c r="E267" i="5"/>
  <c r="D222" i="5"/>
  <c r="D226" i="5"/>
  <c r="C72" i="5"/>
  <c r="D72" i="5"/>
  <c r="E20" i="5"/>
  <c r="C113" i="5"/>
  <c r="B194" i="39" s="1"/>
  <c r="H97" i="5"/>
  <c r="I96" i="5"/>
  <c r="G97" i="5"/>
  <c r="I97" i="5"/>
  <c r="F45" i="5"/>
  <c r="F269" i="5" s="1"/>
  <c r="F160" i="5"/>
  <c r="E110" i="5"/>
  <c r="D191" i="39" s="1"/>
  <c r="D20" i="5"/>
  <c r="D267" i="5"/>
  <c r="J79" i="5"/>
  <c r="C267" i="5"/>
  <c r="J97" i="5"/>
  <c r="L247" i="5"/>
  <c r="H117" i="5"/>
  <c r="G117" i="5"/>
  <c r="Y208" i="28" s="1"/>
  <c r="J96" i="5"/>
  <c r="I117" i="5"/>
  <c r="J117" i="5"/>
  <c r="D65" i="9"/>
  <c r="I70" i="9"/>
  <c r="E17" i="9"/>
  <c r="D64" i="9"/>
  <c r="I69" i="9"/>
  <c r="D63" i="9"/>
  <c r="I68" i="9"/>
  <c r="C63" i="9"/>
  <c r="E5" i="9"/>
  <c r="E15" i="9"/>
  <c r="J68" i="9"/>
  <c r="B79" i="9"/>
  <c r="C64" i="9"/>
  <c r="E16" i="9"/>
  <c r="J69" i="9"/>
  <c r="B80" i="9"/>
  <c r="C65" i="9"/>
  <c r="B29" i="9"/>
  <c r="B28" i="9"/>
  <c r="B30" i="9"/>
  <c r="E7" i="9"/>
  <c r="F17" i="9"/>
  <c r="E6" i="9"/>
  <c r="F16" i="9"/>
  <c r="E14" i="9"/>
  <c r="E30" i="1"/>
  <c r="F15" i="9"/>
  <c r="F23" i="1"/>
  <c r="F5" i="9"/>
  <c r="G17" i="9"/>
  <c r="F7" i="9"/>
  <c r="G16" i="9"/>
  <c r="F6" i="9"/>
  <c r="F22" i="1"/>
  <c r="F14" i="9"/>
  <c r="G5" i="9"/>
  <c r="G15" i="9"/>
  <c r="F40" i="1"/>
  <c r="E4" i="9"/>
  <c r="G7" i="9"/>
  <c r="H17" i="9"/>
  <c r="G6" i="9"/>
  <c r="H16" i="9"/>
  <c r="F41" i="1"/>
  <c r="F4" i="9"/>
  <c r="G22" i="1"/>
  <c r="F106" i="16" s="1"/>
  <c r="C90" i="15"/>
  <c r="D36" i="15"/>
  <c r="D46" i="15" s="1"/>
  <c r="D3" i="15"/>
  <c r="Z225" i="28" s="1"/>
  <c r="G14" i="9"/>
  <c r="I5" i="9"/>
  <c r="H15" i="9"/>
  <c r="F46" i="1"/>
  <c r="H23" i="1"/>
  <c r="H7" i="9"/>
  <c r="H6" i="9"/>
  <c r="F55" i="1"/>
  <c r="G40" i="1"/>
  <c r="B92" i="15" s="1"/>
  <c r="G41" i="1"/>
  <c r="C91" i="15"/>
  <c r="Z42" i="29"/>
  <c r="D90" i="15"/>
  <c r="E3" i="15"/>
  <c r="AA225" i="28" s="1"/>
  <c r="E36" i="15"/>
  <c r="E46" i="15" s="1"/>
  <c r="D15" i="15"/>
  <c r="Z235" i="28" s="1"/>
  <c r="G4" i="9"/>
  <c r="H14" i="9"/>
  <c r="I17" i="9"/>
  <c r="I16" i="9"/>
  <c r="I15" i="9"/>
  <c r="I23" i="1"/>
  <c r="H5" i="9"/>
  <c r="F71" i="1"/>
  <c r="I7" i="9"/>
  <c r="I6" i="9"/>
  <c r="J5" i="9"/>
  <c r="AD42" i="29"/>
  <c r="H41" i="1"/>
  <c r="H40" i="1"/>
  <c r="C92" i="15" s="1"/>
  <c r="G46" i="1"/>
  <c r="G55" i="1"/>
  <c r="Z43" i="29"/>
  <c r="Z40" i="29"/>
  <c r="AI32" i="32" s="1"/>
  <c r="D91" i="15"/>
  <c r="E15" i="15"/>
  <c r="H313" i="5"/>
  <c r="H4" i="9"/>
  <c r="J7" i="9"/>
  <c r="J6" i="9"/>
  <c r="I40" i="1"/>
  <c r="D92" i="15" s="1"/>
  <c r="I41" i="1"/>
  <c r="G72" i="1"/>
  <c r="G71" i="1"/>
  <c r="H55" i="1"/>
  <c r="H46" i="1"/>
  <c r="E91" i="15"/>
  <c r="CK39" i="29"/>
  <c r="H95" i="16"/>
  <c r="I23" i="5" s="1"/>
  <c r="AB54" i="27"/>
  <c r="I7" i="5"/>
  <c r="AA136" i="28" s="1"/>
  <c r="G32" i="16"/>
  <c r="G52" i="16" s="1"/>
  <c r="G64" i="16" s="1"/>
  <c r="F15" i="15"/>
  <c r="I4" i="9"/>
  <c r="H72" i="1"/>
  <c r="H71" i="1"/>
  <c r="J41" i="1"/>
  <c r="J40" i="1"/>
  <c r="E92" i="15" s="1"/>
  <c r="I55" i="1"/>
  <c r="I46" i="1"/>
  <c r="J104" i="1"/>
  <c r="CK110" i="29"/>
  <c r="AD202" i="29"/>
  <c r="AD43" i="29"/>
  <c r="AD40" i="29"/>
  <c r="AN32" i="32" s="1"/>
  <c r="Z157" i="29"/>
  <c r="Z139" i="29"/>
  <c r="Z137" i="29"/>
  <c r="Z138" i="29" s="1"/>
  <c r="Z48" i="29"/>
  <c r="AI38" i="32" s="1"/>
  <c r="Z46" i="29"/>
  <c r="J7" i="5"/>
  <c r="AB136" i="28" s="1"/>
  <c r="AC54" i="27"/>
  <c r="I313" i="5"/>
  <c r="F161" i="5"/>
  <c r="F171" i="5"/>
  <c r="F80" i="5"/>
  <c r="J55" i="1"/>
  <c r="I71" i="1"/>
  <c r="I72" i="1"/>
  <c r="AD48" i="29"/>
  <c r="AN38" i="32" s="1"/>
  <c r="AD46" i="29"/>
  <c r="AD111" i="29"/>
  <c r="AD100" i="29"/>
  <c r="I95" i="16"/>
  <c r="I78" i="39" s="1"/>
  <c r="G160" i="5"/>
  <c r="G45" i="5"/>
  <c r="F77" i="5"/>
  <c r="G80" i="5"/>
  <c r="F71" i="5"/>
  <c r="F218" i="5"/>
  <c r="H160" i="5"/>
  <c r="G171" i="5"/>
  <c r="G161" i="5"/>
  <c r="H45" i="5"/>
  <c r="G165" i="39" s="1"/>
  <c r="F70" i="5"/>
  <c r="F49" i="5"/>
  <c r="E170" i="39" s="1"/>
  <c r="F272" i="5"/>
  <c r="F98" i="5"/>
  <c r="G71" i="5"/>
  <c r="G218" i="5"/>
  <c r="H71" i="5"/>
  <c r="H218" i="5"/>
  <c r="H72" i="5"/>
  <c r="H310" i="5"/>
  <c r="H319" i="5" s="1"/>
  <c r="Z116" i="28"/>
  <c r="H77" i="5"/>
  <c r="Z37" i="28" s="1"/>
  <c r="I45" i="5"/>
  <c r="AA23" i="28" s="1"/>
  <c r="I160" i="5"/>
  <c r="G49" i="5"/>
  <c r="F170" i="39" s="1"/>
  <c r="G98" i="5"/>
  <c r="G272" i="5"/>
  <c r="J72" i="1"/>
  <c r="J73" i="1"/>
  <c r="J71" i="1"/>
  <c r="J313" i="5"/>
  <c r="CK136" i="29"/>
  <c r="AD139" i="29"/>
  <c r="AD157" i="29"/>
  <c r="AD137" i="29"/>
  <c r="H108" i="17"/>
  <c r="H113" i="17"/>
  <c r="H114" i="17"/>
  <c r="I108" i="17"/>
  <c r="I114" i="17"/>
  <c r="J108" i="17"/>
  <c r="J114" i="17"/>
  <c r="I42" i="18"/>
  <c r="H59" i="18"/>
  <c r="Z13" i="29"/>
  <c r="C121" i="15"/>
  <c r="Z73" i="29"/>
  <c r="Z14" i="29"/>
  <c r="Z11" i="29"/>
  <c r="AI11" i="32" s="1"/>
  <c r="Z74" i="29"/>
  <c r="Z71" i="29"/>
  <c r="AI75" i="32" s="1"/>
  <c r="I59" i="18"/>
  <c r="E21" i="15" s="1"/>
  <c r="AA241" i="28" s="1"/>
  <c r="D121" i="15"/>
  <c r="J42" i="18"/>
  <c r="J55" i="18" s="1"/>
  <c r="E123" i="15" s="1"/>
  <c r="AD78" i="29"/>
  <c r="AN81" i="32" s="1"/>
  <c r="CK70" i="29"/>
  <c r="AD74" i="29"/>
  <c r="AD73" i="29"/>
  <c r="Z100" i="29"/>
  <c r="Z78" i="29"/>
  <c r="Z76" i="29"/>
  <c r="AI80" i="32" s="1"/>
  <c r="AD14" i="29"/>
  <c r="AD76" i="29"/>
  <c r="AN80" i="32" s="1"/>
  <c r="E121" i="15"/>
  <c r="J59" i="18"/>
  <c r="F21" i="15" s="1"/>
  <c r="AD13" i="29"/>
  <c r="AD29" i="29"/>
  <c r="H97" i="16"/>
  <c r="I25" i="5" s="1"/>
  <c r="I88" i="18"/>
  <c r="I94" i="18"/>
  <c r="H10" i="16"/>
  <c r="H10" i="39" s="1"/>
  <c r="I9" i="5"/>
  <c r="AA138" i="28" s="1"/>
  <c r="AD26" i="29"/>
  <c r="AD11" i="29"/>
  <c r="AN11" i="32" s="1"/>
  <c r="Z132" i="29"/>
  <c r="Z129" i="29"/>
  <c r="Z147" i="29"/>
  <c r="Z148" i="29"/>
  <c r="I97" i="16"/>
  <c r="J25" i="5" s="1"/>
  <c r="H32" i="16"/>
  <c r="J97" i="16"/>
  <c r="K25" i="5" s="1"/>
  <c r="J88" i="18"/>
  <c r="CK146" i="29"/>
  <c r="H181" i="16"/>
  <c r="H132" i="39" s="1"/>
  <c r="D21" i="34"/>
  <c r="D46" i="34" s="1"/>
  <c r="I222" i="5"/>
  <c r="I218" i="5"/>
  <c r="CX146" i="29"/>
  <c r="J94" i="18"/>
  <c r="I10" i="16"/>
  <c r="C165" i="16" s="1"/>
  <c r="C116" i="39" s="1"/>
  <c r="J9" i="5"/>
  <c r="AD129" i="29"/>
  <c r="AD147" i="29"/>
  <c r="AD148" i="29"/>
  <c r="Z171" i="29"/>
  <c r="Z172" i="29"/>
  <c r="I72" i="5"/>
  <c r="I71" i="5"/>
  <c r="I32" i="16"/>
  <c r="I41" i="16" s="1"/>
  <c r="K88" i="18"/>
  <c r="J27" i="39"/>
  <c r="AJ27" i="39" s="1"/>
  <c r="AD132" i="29"/>
  <c r="J71" i="5"/>
  <c r="J72" i="5"/>
  <c r="I310" i="5"/>
  <c r="I319" i="5" s="1"/>
  <c r="AA116" i="28"/>
  <c r="AD172" i="29"/>
  <c r="AD171" i="29"/>
  <c r="J45" i="5"/>
  <c r="J269" i="5" s="1"/>
  <c r="J218" i="5"/>
  <c r="J222" i="5"/>
  <c r="AB116" i="28"/>
  <c r="J160" i="5"/>
  <c r="I77" i="5"/>
  <c r="AA37" i="28" s="1"/>
  <c r="I145" i="5"/>
  <c r="J310" i="5"/>
  <c r="J319" i="5" s="1"/>
  <c r="J77" i="5"/>
  <c r="AB37" i="28" s="1"/>
  <c r="J168" i="39"/>
  <c r="H272" i="5"/>
  <c r="H314" i="5"/>
  <c r="Z115" i="28"/>
  <c r="H98" i="5"/>
  <c r="I54" i="5"/>
  <c r="H175" i="39" s="1"/>
  <c r="I272" i="5"/>
  <c r="J54" i="5"/>
  <c r="I175" i="39" s="1"/>
  <c r="AA115" i="28"/>
  <c r="I314" i="5"/>
  <c r="J272" i="5"/>
  <c r="I98" i="5"/>
  <c r="K272" i="5"/>
  <c r="AB115" i="28"/>
  <c r="J314" i="5"/>
  <c r="J98" i="5"/>
  <c r="AD207" i="29"/>
  <c r="AD208" i="29"/>
  <c r="D55" i="22"/>
  <c r="E55" i="22" s="1"/>
  <c r="G55" i="22" s="1"/>
  <c r="H80" i="5"/>
  <c r="H171" i="5"/>
  <c r="H168" i="5"/>
  <c r="H161" i="5"/>
  <c r="I161" i="5"/>
  <c r="I171" i="5"/>
  <c r="I80" i="5"/>
  <c r="J80" i="5"/>
  <c r="J161" i="5"/>
  <c r="J171" i="5"/>
  <c r="I308" i="5"/>
  <c r="J61" i="39"/>
  <c r="AJ61" i="39" s="1"/>
  <c r="J308" i="5"/>
  <c r="K61" i="39"/>
  <c r="AK61" i="39" s="1"/>
  <c r="Y213" i="28" l="1"/>
  <c r="Y215" i="28" s="1"/>
  <c r="Z134" i="29"/>
  <c r="AD134" i="29"/>
  <c r="C194" i="39"/>
  <c r="D229" i="5"/>
  <c r="D194" i="39"/>
  <c r="E229" i="5"/>
  <c r="K114" i="1"/>
  <c r="K23" i="1"/>
  <c r="G66" i="21"/>
  <c r="V134" i="29"/>
  <c r="T134" i="29"/>
  <c r="X134" i="29"/>
  <c r="AC134" i="29"/>
  <c r="Q134" i="29"/>
  <c r="AA134" i="29"/>
  <c r="AB134" i="29"/>
  <c r="AF183" i="29"/>
  <c r="Y134" i="29"/>
  <c r="R134" i="29"/>
  <c r="U134" i="29"/>
  <c r="AF134" i="29"/>
  <c r="AJ133" i="29"/>
  <c r="AE134" i="29"/>
  <c r="S134" i="29"/>
  <c r="W134" i="29"/>
  <c r="AQ80" i="32"/>
  <c r="AQ81" i="32"/>
  <c r="AQ17" i="32"/>
  <c r="AQ37" i="32"/>
  <c r="AQ59" i="32"/>
  <c r="AR59" i="32"/>
  <c r="AK63" i="29"/>
  <c r="AQ38" i="32"/>
  <c r="AQ16" i="32"/>
  <c r="AQ60" i="32"/>
  <c r="AR38" i="32"/>
  <c r="AK49" i="29"/>
  <c r="N61" i="15"/>
  <c r="U10" i="17"/>
  <c r="P139" i="39"/>
  <c r="Q188" i="16"/>
  <c r="R188" i="16" s="1"/>
  <c r="S188" i="16" s="1"/>
  <c r="T188" i="16" s="1"/>
  <c r="U188" i="16" s="1"/>
  <c r="S165" i="5"/>
  <c r="T165" i="5" s="1"/>
  <c r="G176" i="39"/>
  <c r="Z197" i="28"/>
  <c r="F176" i="39"/>
  <c r="Y197" i="28"/>
  <c r="H176" i="39"/>
  <c r="AA197" i="28"/>
  <c r="I176" i="39"/>
  <c r="AB197" i="28"/>
  <c r="J176" i="39"/>
  <c r="AJ176" i="39" s="1"/>
  <c r="AC197" i="28"/>
  <c r="AP16" i="32"/>
  <c r="AI27" i="29"/>
  <c r="AP38" i="32"/>
  <c r="AI49" i="29"/>
  <c r="CV132" i="29"/>
  <c r="CZ132" i="29" s="1"/>
  <c r="AI133" i="29"/>
  <c r="AP17" i="32"/>
  <c r="AI30" i="29"/>
  <c r="AP80" i="32"/>
  <c r="AI77" i="29"/>
  <c r="AP81" i="32"/>
  <c r="AI79" i="29"/>
  <c r="AP59" i="32"/>
  <c r="AI63" i="29"/>
  <c r="AE183" i="29"/>
  <c r="AI182" i="29"/>
  <c r="AP60" i="32"/>
  <c r="AI65" i="29"/>
  <c r="AP37" i="32"/>
  <c r="AI47" i="29"/>
  <c r="I129" i="16"/>
  <c r="J129" i="16"/>
  <c r="C161" i="39"/>
  <c r="D42" i="5"/>
  <c r="C162" i="39" s="1"/>
  <c r="G161" i="39"/>
  <c r="F161" i="39"/>
  <c r="G42" i="5"/>
  <c r="F162" i="39" s="1"/>
  <c r="G65" i="16"/>
  <c r="G51" i="39" s="1"/>
  <c r="G50" i="39"/>
  <c r="G68" i="16"/>
  <c r="W117" i="15"/>
  <c r="X117" i="15" s="1"/>
  <c r="K117" i="15"/>
  <c r="L117" i="15" s="1"/>
  <c r="M117" i="15" s="1"/>
  <c r="N117" i="15" s="1"/>
  <c r="O117" i="15" s="1"/>
  <c r="P117" i="15" s="1"/>
  <c r="Q117" i="15" s="1"/>
  <c r="U117" i="15" s="1"/>
  <c r="Q16" i="1"/>
  <c r="L89" i="15" s="1"/>
  <c r="K89" i="15"/>
  <c r="W97" i="15"/>
  <c r="X97" i="15" s="1"/>
  <c r="K97" i="15"/>
  <c r="L97" i="15" s="1"/>
  <c r="M97" i="15" s="1"/>
  <c r="N97" i="15" s="1"/>
  <c r="O97" i="15" s="1"/>
  <c r="P97" i="15" s="1"/>
  <c r="Q97" i="15" s="1"/>
  <c r="U97" i="15" s="1"/>
  <c r="W87" i="15"/>
  <c r="X87" i="15" s="1"/>
  <c r="K87" i="15"/>
  <c r="L87" i="15" s="1"/>
  <c r="M87" i="15" s="1"/>
  <c r="N87" i="15" s="1"/>
  <c r="O87" i="15" s="1"/>
  <c r="P87" i="15" s="1"/>
  <c r="Q87" i="15" s="1"/>
  <c r="U87" i="15" s="1"/>
  <c r="W107" i="15"/>
  <c r="X107" i="15" s="1"/>
  <c r="K107" i="15"/>
  <c r="L107" i="15" s="1"/>
  <c r="M107" i="15" s="1"/>
  <c r="N107" i="15" s="1"/>
  <c r="O107" i="15" s="1"/>
  <c r="P107" i="15" s="1"/>
  <c r="Q107" i="15" s="1"/>
  <c r="U107" i="15" s="1"/>
  <c r="L184" i="5"/>
  <c r="M184" i="5" s="1"/>
  <c r="K185" i="5"/>
  <c r="I47" i="16"/>
  <c r="L47" i="16" s="1"/>
  <c r="M47" i="16" s="1"/>
  <c r="N47" i="16" s="1"/>
  <c r="O47" i="16" s="1"/>
  <c r="P47" i="16" s="1"/>
  <c r="J46" i="16"/>
  <c r="J60" i="39" s="1"/>
  <c r="AJ60" i="39" s="1"/>
  <c r="AA30" i="28"/>
  <c r="I179" i="5"/>
  <c r="I270" i="5" s="1"/>
  <c r="J105" i="1"/>
  <c r="I44" i="5"/>
  <c r="AA22" i="28" s="1"/>
  <c r="K311" i="5"/>
  <c r="J196" i="39"/>
  <c r="AJ196" i="39" s="1"/>
  <c r="I113" i="15"/>
  <c r="H113" i="15"/>
  <c r="G113" i="15"/>
  <c r="G89" i="5"/>
  <c r="G93" i="5" s="1"/>
  <c r="G185" i="5"/>
  <c r="E100" i="15"/>
  <c r="F90" i="15"/>
  <c r="K21" i="1"/>
  <c r="AD27" i="29"/>
  <c r="I135" i="5"/>
  <c r="C100" i="15"/>
  <c r="H11" i="21"/>
  <c r="G192" i="39"/>
  <c r="Z201" i="28"/>
  <c r="K314" i="5"/>
  <c r="AC194" i="28"/>
  <c r="I192" i="39"/>
  <c r="AB201" i="28"/>
  <c r="Y114" i="28"/>
  <c r="Y201" i="28"/>
  <c r="G18" i="21"/>
  <c r="G33" i="21" s="1"/>
  <c r="AB195" i="28"/>
  <c r="I198" i="39"/>
  <c r="AB208" i="28"/>
  <c r="H192" i="39"/>
  <c r="AA201" i="28"/>
  <c r="H198" i="39"/>
  <c r="AA208" i="28"/>
  <c r="J198" i="39"/>
  <c r="AC208" i="28"/>
  <c r="D18" i="21"/>
  <c r="D33" i="21" s="1"/>
  <c r="Y195" i="28"/>
  <c r="E18" i="21"/>
  <c r="E33" i="21" s="1"/>
  <c r="Z195" i="28"/>
  <c r="Z120" i="28"/>
  <c r="Z208" i="28"/>
  <c r="P5" i="40"/>
  <c r="P7" i="40" s="1"/>
  <c r="P11" i="40" s="1"/>
  <c r="AC166" i="29"/>
  <c r="G86" i="34"/>
  <c r="G101" i="34" s="1"/>
  <c r="D111" i="15"/>
  <c r="D112" i="15" s="1"/>
  <c r="E185" i="5"/>
  <c r="Z30" i="28"/>
  <c r="L115" i="5"/>
  <c r="AC34" i="28"/>
  <c r="J91" i="5"/>
  <c r="L210" i="5"/>
  <c r="L91" i="5" s="1"/>
  <c r="D221" i="5"/>
  <c r="Z114" i="28"/>
  <c r="H179" i="5"/>
  <c r="H270" i="5" s="1"/>
  <c r="H312" i="5"/>
  <c r="Z75" i="15"/>
  <c r="F226" i="5"/>
  <c r="J175" i="39"/>
  <c r="AJ175" i="39" s="1"/>
  <c r="J312" i="5"/>
  <c r="F76" i="15"/>
  <c r="AA76" i="15" s="1"/>
  <c r="J86" i="34"/>
  <c r="J101" i="34" s="1"/>
  <c r="AF133" i="29"/>
  <c r="L79" i="5"/>
  <c r="B66" i="9"/>
  <c r="Y82" i="15"/>
  <c r="F145" i="5"/>
  <c r="AB55" i="27"/>
  <c r="K79" i="5"/>
  <c r="B10" i="24"/>
  <c r="H23" i="5"/>
  <c r="AA82" i="15"/>
  <c r="F185" i="5"/>
  <c r="AN20" i="32"/>
  <c r="Y75" i="15"/>
  <c r="J52" i="20"/>
  <c r="J53" i="20" s="1"/>
  <c r="H8" i="9"/>
  <c r="J85" i="17"/>
  <c r="F44" i="5"/>
  <c r="X22" i="28" s="1"/>
  <c r="BH22" i="35"/>
  <c r="BK22" i="35" s="1"/>
  <c r="I66" i="18"/>
  <c r="H51" i="5"/>
  <c r="G172" i="39" s="1"/>
  <c r="F79" i="15"/>
  <c r="E108" i="15" s="1"/>
  <c r="G91" i="17"/>
  <c r="E34" i="16"/>
  <c r="E32" i="39" s="1"/>
  <c r="J93" i="15"/>
  <c r="E71" i="39"/>
  <c r="H185" i="5"/>
  <c r="J32" i="20"/>
  <c r="J33" i="20" s="1"/>
  <c r="E8" i="9"/>
  <c r="M6" i="9" s="1"/>
  <c r="F204" i="5"/>
  <c r="F206" i="5" s="1"/>
  <c r="F121" i="5" s="1"/>
  <c r="F127" i="5" s="1"/>
  <c r="K166" i="39"/>
  <c r="AK166" i="39" s="1"/>
  <c r="F309" i="5"/>
  <c r="M46" i="5"/>
  <c r="J24" i="5"/>
  <c r="X114" i="28"/>
  <c r="G46" i="22"/>
  <c r="AB23" i="28"/>
  <c r="G179" i="5"/>
  <c r="H145" i="5"/>
  <c r="G138" i="5"/>
  <c r="X154" i="28"/>
  <c r="E8" i="34"/>
  <c r="J226" i="5"/>
  <c r="J228" i="5" s="1"/>
  <c r="G145" i="5"/>
  <c r="X162" i="28"/>
  <c r="C209" i="34"/>
  <c r="C257" i="34" s="1"/>
  <c r="I36" i="18"/>
  <c r="X24" i="28"/>
  <c r="B175" i="17"/>
  <c r="F24" i="1"/>
  <c r="G8" i="9"/>
  <c r="F74" i="15"/>
  <c r="AA74" i="15" s="1"/>
  <c r="Z119" i="29"/>
  <c r="U145" i="29"/>
  <c r="AA79" i="29"/>
  <c r="AG20" i="32"/>
  <c r="AE47" i="29"/>
  <c r="K86" i="34"/>
  <c r="K101" i="34" s="1"/>
  <c r="I128" i="39"/>
  <c r="U158" i="29"/>
  <c r="H18" i="1"/>
  <c r="H222" i="5"/>
  <c r="F134" i="5"/>
  <c r="AC120" i="28"/>
  <c r="H35" i="1"/>
  <c r="H91" i="17"/>
  <c r="G12" i="18"/>
  <c r="AB119" i="28"/>
  <c r="W133" i="29"/>
  <c r="Y154" i="28"/>
  <c r="O13" i="29"/>
  <c r="I18" i="1"/>
  <c r="K96" i="5"/>
  <c r="E29" i="15"/>
  <c r="AA249" i="28" s="1"/>
  <c r="B21" i="34"/>
  <c r="D42" i="15"/>
  <c r="D52" i="15" s="1"/>
  <c r="D53" i="15" s="1"/>
  <c r="G81" i="17"/>
  <c r="B103" i="15" s="1"/>
  <c r="Y162" i="28"/>
  <c r="H147" i="5"/>
  <c r="E122" i="15"/>
  <c r="D8" i="9"/>
  <c r="D11" i="9" s="1"/>
  <c r="E11" i="9" s="1"/>
  <c r="E25" i="9" s="1"/>
  <c r="J86" i="17"/>
  <c r="I62" i="17"/>
  <c r="H107" i="16" s="1"/>
  <c r="E9" i="24"/>
  <c r="AB20" i="32"/>
  <c r="J104" i="34"/>
  <c r="G78" i="39"/>
  <c r="F71" i="39"/>
  <c r="C86" i="34"/>
  <c r="C101" i="34" s="1"/>
  <c r="J21" i="1"/>
  <c r="G45" i="17"/>
  <c r="J50" i="5"/>
  <c r="G9" i="21" s="1"/>
  <c r="G109" i="17"/>
  <c r="AA77" i="15"/>
  <c r="AB114" i="28"/>
  <c r="H109" i="17"/>
  <c r="H89" i="5"/>
  <c r="H93" i="5" s="1"/>
  <c r="CK38" i="29"/>
  <c r="G62" i="17"/>
  <c r="H37" i="17"/>
  <c r="C99" i="15" s="1"/>
  <c r="G309" i="5"/>
  <c r="K61" i="17"/>
  <c r="G18" i="9"/>
  <c r="AA229" i="28"/>
  <c r="AB27" i="29"/>
  <c r="J134" i="5"/>
  <c r="G204" i="5"/>
  <c r="G206" i="5" s="1"/>
  <c r="F88" i="5"/>
  <c r="F89" i="5" s="1"/>
  <c r="F93" i="5" s="1"/>
  <c r="W4" i="15"/>
  <c r="AA80" i="15"/>
  <c r="A18" i="15"/>
  <c r="A28" i="15" s="1"/>
  <c r="A39" i="15" s="1"/>
  <c r="A49" i="15" s="1"/>
  <c r="G46" i="16"/>
  <c r="G60" i="39" s="1"/>
  <c r="Y119" i="28"/>
  <c r="N128" i="39"/>
  <c r="AI20" i="32"/>
  <c r="AC65" i="29"/>
  <c r="AB162" i="28"/>
  <c r="I3" i="24"/>
  <c r="I79" i="18"/>
  <c r="AC79" i="29"/>
  <c r="AG132" i="29"/>
  <c r="J54" i="39"/>
  <c r="AJ54" i="39" s="1"/>
  <c r="C120" i="15"/>
  <c r="D228" i="5"/>
  <c r="E89" i="5"/>
  <c r="E93" i="5" s="1"/>
  <c r="E180" i="5"/>
  <c r="J26" i="5"/>
  <c r="H62" i="17"/>
  <c r="G107" i="16" s="1"/>
  <c r="F11" i="16"/>
  <c r="F11" i="39" s="1"/>
  <c r="G226" i="5"/>
  <c r="Z119" i="28"/>
  <c r="B123" i="18"/>
  <c r="B179" i="17"/>
  <c r="D86" i="34"/>
  <c r="D101" i="34" s="1"/>
  <c r="L128" i="39"/>
  <c r="AG91" i="29"/>
  <c r="L11" i="1"/>
  <c r="AB182" i="29"/>
  <c r="AL30" i="16"/>
  <c r="I89" i="18"/>
  <c r="J44" i="5"/>
  <c r="G29" i="21" s="1"/>
  <c r="G32" i="21" s="1"/>
  <c r="H44" i="5"/>
  <c r="G164" i="39" s="1"/>
  <c r="AA119" i="28"/>
  <c r="D9" i="15"/>
  <c r="Z231" i="28" s="1"/>
  <c r="I109" i="17"/>
  <c r="H50" i="18"/>
  <c r="V151" i="29"/>
  <c r="S63" i="29"/>
  <c r="AA63" i="29"/>
  <c r="Y20" i="32"/>
  <c r="Y77" i="29"/>
  <c r="AF158" i="29"/>
  <c r="AG129" i="29"/>
  <c r="AG208" i="29"/>
  <c r="CM181" i="29"/>
  <c r="V147" i="29"/>
  <c r="F86" i="34"/>
  <c r="F101" i="34" s="1"/>
  <c r="AG181" i="29"/>
  <c r="AE182" i="29"/>
  <c r="J135" i="5"/>
  <c r="F66" i="15"/>
  <c r="I74" i="5"/>
  <c r="F135" i="5"/>
  <c r="I84" i="5"/>
  <c r="AC119" i="28"/>
  <c r="I86" i="34"/>
  <c r="I101" i="34" s="1"/>
  <c r="AG158" i="29"/>
  <c r="AG207" i="29"/>
  <c r="J185" i="5"/>
  <c r="J309" i="5"/>
  <c r="H135" i="5"/>
  <c r="J18" i="1"/>
  <c r="F18" i="9"/>
  <c r="D177" i="5"/>
  <c r="AB158" i="28"/>
  <c r="I32" i="20"/>
  <c r="I33" i="20" s="1"/>
  <c r="G165" i="5"/>
  <c r="Y78" i="15"/>
  <c r="N60" i="39"/>
  <c r="AN60" i="39" s="1"/>
  <c r="M60" i="39"/>
  <c r="AM60" i="39" s="1"/>
  <c r="AA20" i="32"/>
  <c r="I44" i="1"/>
  <c r="D95" i="15" s="1"/>
  <c r="CA7" i="35"/>
  <c r="AK37" i="32"/>
  <c r="J177" i="5"/>
  <c r="L15" i="20"/>
  <c r="M15" i="20" s="1"/>
  <c r="V152" i="29"/>
  <c r="H43" i="18"/>
  <c r="G108" i="16" s="1"/>
  <c r="AB24" i="28"/>
  <c r="AB154" i="28"/>
  <c r="K22" i="1"/>
  <c r="J106" i="16" s="1"/>
  <c r="I24" i="1"/>
  <c r="F47" i="1"/>
  <c r="H204" i="5"/>
  <c r="H206" i="5" s="1"/>
  <c r="H121" i="5" s="1"/>
  <c r="B102" i="34" s="1"/>
  <c r="I39" i="20"/>
  <c r="Z123" i="29"/>
  <c r="I35" i="20"/>
  <c r="D114" i="15" s="1"/>
  <c r="F78" i="15"/>
  <c r="AA78" i="15" s="1"/>
  <c r="V90" i="29"/>
  <c r="Y65" i="29"/>
  <c r="C151" i="39"/>
  <c r="C150" i="39"/>
  <c r="AA183" i="29"/>
  <c r="AO20" i="16"/>
  <c r="AD49" i="29"/>
  <c r="AB79" i="29"/>
  <c r="I165" i="39"/>
  <c r="CK170" i="29"/>
  <c r="I134" i="5"/>
  <c r="F11" i="5"/>
  <c r="F207" i="5" s="1"/>
  <c r="CX38" i="29"/>
  <c r="AH42" i="29" s="1"/>
  <c r="J29" i="17"/>
  <c r="J11" i="18"/>
  <c r="J12" i="18" s="1"/>
  <c r="G47" i="16"/>
  <c r="G61" i="39" s="1"/>
  <c r="G59" i="39"/>
  <c r="V92" i="29"/>
  <c r="AD102" i="32" s="1"/>
  <c r="G5" i="34"/>
  <c r="H234" i="34"/>
  <c r="J234" i="34" s="1"/>
  <c r="BZ34" i="29"/>
  <c r="I71" i="39"/>
  <c r="Z182" i="29"/>
  <c r="P46" i="16"/>
  <c r="AA114" i="28"/>
  <c r="H99" i="5"/>
  <c r="Z29" i="28" s="1"/>
  <c r="E21" i="34"/>
  <c r="E46" i="34" s="1"/>
  <c r="I80" i="39"/>
  <c r="J46" i="1"/>
  <c r="J47" i="1" s="1"/>
  <c r="G3" i="15"/>
  <c r="AC225" i="28" s="1"/>
  <c r="F36" i="15"/>
  <c r="F46" i="15" s="1"/>
  <c r="H44" i="1"/>
  <c r="C95" i="15" s="1"/>
  <c r="D20" i="15"/>
  <c r="J27" i="1"/>
  <c r="Z78" i="15"/>
  <c r="X55" i="27"/>
  <c r="I56" i="34"/>
  <c r="AF49" i="29"/>
  <c r="AF93" i="29"/>
  <c r="F104" i="34"/>
  <c r="I312" i="5"/>
  <c r="I181" i="16"/>
  <c r="I132" i="39" s="1"/>
  <c r="AD30" i="29"/>
  <c r="H268" i="5"/>
  <c r="G36" i="15"/>
  <c r="J22" i="1"/>
  <c r="F3" i="15"/>
  <c r="AB225" i="28" s="1"/>
  <c r="C112" i="5"/>
  <c r="B193" i="39" s="1"/>
  <c r="B108" i="15"/>
  <c r="G71" i="22"/>
  <c r="G24" i="5"/>
  <c r="R78" i="29"/>
  <c r="Y81" i="32" s="1"/>
  <c r="Y79" i="29"/>
  <c r="F56" i="34"/>
  <c r="J13" i="35"/>
  <c r="J147" i="5"/>
  <c r="H134" i="5"/>
  <c r="J23" i="1"/>
  <c r="E90" i="15"/>
  <c r="F99" i="5"/>
  <c r="I60" i="20"/>
  <c r="H89" i="18"/>
  <c r="X78" i="15"/>
  <c r="H29" i="5"/>
  <c r="I138" i="5"/>
  <c r="X20" i="32"/>
  <c r="E56" i="34"/>
  <c r="AH20" i="32"/>
  <c r="AE93" i="29"/>
  <c r="I185" i="5"/>
  <c r="AF30" i="29"/>
  <c r="F72" i="5"/>
  <c r="F74" i="5" s="1"/>
  <c r="G222" i="5"/>
  <c r="G24" i="39"/>
  <c r="B86" i="34"/>
  <c r="B101" i="34" s="1"/>
  <c r="AG64" i="29"/>
  <c r="AK65" i="29" s="1"/>
  <c r="AG57" i="29"/>
  <c r="D23" i="34"/>
  <c r="G8" i="34" s="1"/>
  <c r="G134" i="5"/>
  <c r="F26" i="15"/>
  <c r="AB246" i="28" s="1"/>
  <c r="I35" i="1"/>
  <c r="C93" i="15"/>
  <c r="F80" i="39"/>
  <c r="G25" i="5"/>
  <c r="Y159" i="28"/>
  <c r="W63" i="29"/>
  <c r="X93" i="15"/>
  <c r="W93" i="15"/>
  <c r="M79" i="5"/>
  <c r="D28" i="15"/>
  <c r="Z248" i="28" s="1"/>
  <c r="B235" i="28"/>
  <c r="G69" i="22"/>
  <c r="B136" i="18"/>
  <c r="Y30" i="29"/>
  <c r="S129" i="29"/>
  <c r="R207" i="29"/>
  <c r="P48" i="16"/>
  <c r="O63" i="39"/>
  <c r="I269" i="5"/>
  <c r="AA240" i="28"/>
  <c r="E30" i="15"/>
  <c r="D113" i="15" s="1"/>
  <c r="V12" i="32"/>
  <c r="Y50" i="32"/>
  <c r="Y51" i="32" s="1"/>
  <c r="R62" i="29"/>
  <c r="Y59" i="32" s="1"/>
  <c r="G6" i="15"/>
  <c r="AC228" i="28" s="1"/>
  <c r="G77" i="15"/>
  <c r="AB77" i="15" s="1"/>
  <c r="F94" i="15"/>
  <c r="E94" i="15"/>
  <c r="I28" i="5"/>
  <c r="AA195" i="28" s="1"/>
  <c r="AA162" i="28"/>
  <c r="AA154" i="28"/>
  <c r="H71" i="39"/>
  <c r="G268" i="5"/>
  <c r="G147" i="5"/>
  <c r="W154" i="28"/>
  <c r="W162" i="28"/>
  <c r="E28" i="5"/>
  <c r="C59" i="34"/>
  <c r="I186" i="16" s="1"/>
  <c r="I137" i="39" s="1"/>
  <c r="C56" i="34"/>
  <c r="K56" i="34"/>
  <c r="K60" i="34"/>
  <c r="K62" i="34" s="1"/>
  <c r="K59" i="34"/>
  <c r="Q186" i="16" s="1"/>
  <c r="F60" i="21"/>
  <c r="AA214" i="28" s="1"/>
  <c r="AA5" i="28"/>
  <c r="AA159" i="28"/>
  <c r="H80" i="39"/>
  <c r="H74" i="5"/>
  <c r="Y55" i="27"/>
  <c r="E41" i="16"/>
  <c r="E55" i="39" s="1"/>
  <c r="F43" i="5"/>
  <c r="E163" i="39" s="1"/>
  <c r="E52" i="16"/>
  <c r="E38" i="39" s="1"/>
  <c r="Z74" i="15"/>
  <c r="AF81" i="32"/>
  <c r="AE27" i="29"/>
  <c r="AK16" i="32"/>
  <c r="E111" i="15"/>
  <c r="F20" i="15"/>
  <c r="AB240" i="28" s="1"/>
  <c r="J31" i="20"/>
  <c r="H60" i="20"/>
  <c r="C108" i="15"/>
  <c r="Y79" i="15"/>
  <c r="C4" i="9"/>
  <c r="C8" i="9" s="1"/>
  <c r="E41" i="1"/>
  <c r="H85" i="17"/>
  <c r="I85" i="17"/>
  <c r="F51" i="5"/>
  <c r="E172" i="39" s="1"/>
  <c r="F260" i="5"/>
  <c r="C60" i="34"/>
  <c r="C62" i="34" s="1"/>
  <c r="D18" i="37"/>
  <c r="G18" i="37" s="1"/>
  <c r="H18" i="37" s="1"/>
  <c r="C17" i="37"/>
  <c r="AC115" i="28"/>
  <c r="G44" i="5"/>
  <c r="Y22" i="28" s="1"/>
  <c r="D84" i="5"/>
  <c r="J49" i="18"/>
  <c r="K29" i="18"/>
  <c r="G80" i="39"/>
  <c r="H25" i="5"/>
  <c r="F175" i="39"/>
  <c r="D11" i="21"/>
  <c r="D104" i="34"/>
  <c r="F59" i="39"/>
  <c r="D66" i="21"/>
  <c r="H46" i="16"/>
  <c r="H60" i="39" s="1"/>
  <c r="H59" i="39"/>
  <c r="H47" i="16"/>
  <c r="H61" i="39" s="1"/>
  <c r="I46" i="16"/>
  <c r="I60" i="39" s="1"/>
  <c r="G135" i="5"/>
  <c r="J193" i="39"/>
  <c r="AJ193" i="39" s="1"/>
  <c r="AD133" i="29"/>
  <c r="I30" i="39"/>
  <c r="J43" i="5"/>
  <c r="I163" i="39" s="1"/>
  <c r="H43" i="5"/>
  <c r="G163" i="39" s="1"/>
  <c r="G41" i="16"/>
  <c r="G42" i="16" s="1"/>
  <c r="G56" i="39" s="1"/>
  <c r="C84" i="5"/>
  <c r="D71" i="39"/>
  <c r="J59" i="34"/>
  <c r="P186" i="16" s="1"/>
  <c r="P137" i="39" s="1"/>
  <c r="J60" i="34"/>
  <c r="J62" i="34" s="1"/>
  <c r="H79" i="18"/>
  <c r="Z5" i="28"/>
  <c r="H309" i="5"/>
  <c r="W24" i="29"/>
  <c r="I165" i="5"/>
  <c r="AG16" i="32"/>
  <c r="AE30" i="29"/>
  <c r="AL102" i="32"/>
  <c r="D239" i="34"/>
  <c r="L236" i="34" s="1"/>
  <c r="AM25" i="16"/>
  <c r="J74" i="5"/>
  <c r="H34" i="16"/>
  <c r="H32" i="39" s="1"/>
  <c r="H64" i="18"/>
  <c r="H65" i="18" s="1"/>
  <c r="G99" i="5"/>
  <c r="Y29" i="28" s="1"/>
  <c r="F8" i="9"/>
  <c r="I31" i="20"/>
  <c r="Y74" i="15"/>
  <c r="F177" i="5"/>
  <c r="C11" i="21"/>
  <c r="J9" i="24"/>
  <c r="P46" i="29"/>
  <c r="W37" i="32" s="1"/>
  <c r="AB93" i="29"/>
  <c r="E7" i="34"/>
  <c r="AB158" i="29"/>
  <c r="AF91" i="29"/>
  <c r="H236" i="34"/>
  <c r="G44" i="22"/>
  <c r="G67" i="22"/>
  <c r="G75" i="22"/>
  <c r="H226" i="5"/>
  <c r="H10" i="37"/>
  <c r="J24" i="39"/>
  <c r="D12" i="18"/>
  <c r="J88" i="5"/>
  <c r="J89" i="5" s="1"/>
  <c r="L73" i="18"/>
  <c r="AD20" i="32"/>
  <c r="AF20" i="32"/>
  <c r="J30" i="1"/>
  <c r="N63" i="39"/>
  <c r="J138" i="5"/>
  <c r="K139" i="5" s="1"/>
  <c r="E77" i="5"/>
  <c r="E84" i="5" s="1"/>
  <c r="E207" i="5"/>
  <c r="C18" i="9"/>
  <c r="Z80" i="15"/>
  <c r="C29" i="15"/>
  <c r="Y249" i="28" s="1"/>
  <c r="X133" i="29"/>
  <c r="Z162" i="28"/>
  <c r="T65" i="29"/>
  <c r="E72" i="34"/>
  <c r="M128" i="39"/>
  <c r="J44" i="1"/>
  <c r="E95" i="15" s="1"/>
  <c r="AE133" i="29"/>
  <c r="AK20" i="32"/>
  <c r="AM101" i="32"/>
  <c r="AF27" i="29"/>
  <c r="L235" i="34"/>
  <c r="J67" i="1"/>
  <c r="J68" i="1" s="1"/>
  <c r="AM24" i="16"/>
  <c r="H47" i="1"/>
  <c r="H24" i="1"/>
  <c r="J84" i="5"/>
  <c r="H84" i="5"/>
  <c r="I8" i="9"/>
  <c r="G35" i="1"/>
  <c r="G198" i="39"/>
  <c r="D270" i="5"/>
  <c r="D274" i="5" s="1"/>
  <c r="F165" i="5"/>
  <c r="F64" i="9"/>
  <c r="G79" i="15"/>
  <c r="F108" i="15" s="1"/>
  <c r="I37" i="17"/>
  <c r="D99" i="15" s="1"/>
  <c r="D66" i="15"/>
  <c r="Y133" i="29"/>
  <c r="Z154" i="28"/>
  <c r="G71" i="39"/>
  <c r="AA65" i="29"/>
  <c r="AA49" i="29"/>
  <c r="N56" i="34"/>
  <c r="I51" i="5"/>
  <c r="D148" i="16"/>
  <c r="D99" i="39" s="1"/>
  <c r="AO25" i="16"/>
  <c r="I204" i="5"/>
  <c r="J165" i="5"/>
  <c r="O173" i="5"/>
  <c r="N79" i="5"/>
  <c r="I68" i="1"/>
  <c r="L27" i="17"/>
  <c r="L51" i="17" s="1"/>
  <c r="G78" i="15"/>
  <c r="AB78" i="15" s="1"/>
  <c r="C41" i="5"/>
  <c r="C221" i="5"/>
  <c r="C225" i="5"/>
  <c r="C217" i="5"/>
  <c r="E41" i="5"/>
  <c r="E217" i="5"/>
  <c r="E21" i="5"/>
  <c r="D66" i="9" s="1"/>
  <c r="E221" i="5"/>
  <c r="E225" i="5"/>
  <c r="D87" i="34"/>
  <c r="D91" i="34" s="1"/>
  <c r="I11" i="16"/>
  <c r="I11" i="39" s="1"/>
  <c r="CK99" i="29"/>
  <c r="AL34" i="16"/>
  <c r="H11" i="16"/>
  <c r="H11" i="39" s="1"/>
  <c r="H89" i="16"/>
  <c r="H72" i="39" s="1"/>
  <c r="I41" i="5"/>
  <c r="AC55" i="27"/>
  <c r="D225" i="5"/>
  <c r="D217" i="5"/>
  <c r="D46" i="5"/>
  <c r="C166" i="39" s="1"/>
  <c r="E228" i="5"/>
  <c r="AD91" i="29"/>
  <c r="E26" i="15"/>
  <c r="AA246" i="28" s="1"/>
  <c r="A36" i="15"/>
  <c r="A46" i="15" s="1"/>
  <c r="A20" i="15"/>
  <c r="A30" i="15" s="1"/>
  <c r="B250" i="28" s="1"/>
  <c r="I6" i="24"/>
  <c r="F17" i="1"/>
  <c r="G18" i="1" s="1"/>
  <c r="X74" i="15"/>
  <c r="X82" i="15"/>
  <c r="G47" i="22"/>
  <c r="G68" i="22"/>
  <c r="G72" i="22"/>
  <c r="G76" i="22"/>
  <c r="O132" i="29"/>
  <c r="P134" i="29" s="1"/>
  <c r="B115" i="18"/>
  <c r="V48" i="29"/>
  <c r="AD38" i="32" s="1"/>
  <c r="X65" i="29"/>
  <c r="J56" i="34"/>
  <c r="K104" i="34"/>
  <c r="M56" i="34"/>
  <c r="AH81" i="32"/>
  <c r="D62" i="34"/>
  <c r="J178" i="16"/>
  <c r="J129" i="39" s="1"/>
  <c r="Y158" i="29"/>
  <c r="BE113" i="35"/>
  <c r="BE124" i="35" s="1"/>
  <c r="CA101" i="29"/>
  <c r="F98" i="1"/>
  <c r="AO24" i="16"/>
  <c r="AM19" i="16"/>
  <c r="J35" i="20"/>
  <c r="I33" i="16"/>
  <c r="I31" i="39" s="1"/>
  <c r="I89" i="5"/>
  <c r="C164" i="16"/>
  <c r="I42" i="16"/>
  <c r="I56" i="39" s="1"/>
  <c r="C167" i="16"/>
  <c r="C118" i="39" s="1"/>
  <c r="H19" i="16"/>
  <c r="F84" i="5"/>
  <c r="E204" i="5"/>
  <c r="E206" i="5" s="1"/>
  <c r="E121" i="5" s="1"/>
  <c r="E124" i="5" s="1"/>
  <c r="D205" i="39" s="1"/>
  <c r="J41" i="5"/>
  <c r="J89" i="18"/>
  <c r="H269" i="5"/>
  <c r="Y23" i="28"/>
  <c r="J67" i="9"/>
  <c r="C207" i="5"/>
  <c r="G51" i="5"/>
  <c r="F172" i="39" s="1"/>
  <c r="D99" i="5"/>
  <c r="B93" i="15"/>
  <c r="F27" i="1"/>
  <c r="F28" i="1" s="1"/>
  <c r="F52" i="16"/>
  <c r="F38" i="39" s="1"/>
  <c r="F10" i="39"/>
  <c r="G142" i="5"/>
  <c r="G48" i="22"/>
  <c r="V123" i="29"/>
  <c r="S47" i="29"/>
  <c r="Z27" i="29"/>
  <c r="H153" i="34"/>
  <c r="I153" i="34" s="1"/>
  <c r="G61" i="37"/>
  <c r="AF182" i="29"/>
  <c r="AB183" i="29"/>
  <c r="I91" i="5"/>
  <c r="I104" i="5" s="1"/>
  <c r="B207" i="34"/>
  <c r="B213" i="34" s="1"/>
  <c r="G11" i="21"/>
  <c r="E11" i="21"/>
  <c r="I226" i="5"/>
  <c r="I228" i="5" s="1"/>
  <c r="AB159" i="28"/>
  <c r="F222" i="5"/>
  <c r="G269" i="5"/>
  <c r="I47" i="1"/>
  <c r="H18" i="9"/>
  <c r="J99" i="5"/>
  <c r="AB29" i="28" s="1"/>
  <c r="D207" i="5"/>
  <c r="F29" i="15"/>
  <c r="AB249" i="28" s="1"/>
  <c r="Y76" i="15"/>
  <c r="H36" i="18"/>
  <c r="G312" i="5"/>
  <c r="X75" i="15"/>
  <c r="F81" i="39"/>
  <c r="V31" i="32"/>
  <c r="AB65" i="29"/>
  <c r="T145" i="29"/>
  <c r="D56" i="34"/>
  <c r="I59" i="34"/>
  <c r="O186" i="16" s="1"/>
  <c r="O137" i="39" s="1"/>
  <c r="F28" i="34"/>
  <c r="G28" i="34" s="1"/>
  <c r="H28" i="34" s="1"/>
  <c r="S158" i="29"/>
  <c r="G239" i="34"/>
  <c r="M11" i="1"/>
  <c r="AM21" i="16"/>
  <c r="F19" i="5"/>
  <c r="F307" i="5" s="1"/>
  <c r="AB76" i="15"/>
  <c r="T158" i="29"/>
  <c r="AA145" i="29"/>
  <c r="AA158" i="29"/>
  <c r="AN16" i="32"/>
  <c r="J61" i="18"/>
  <c r="G11" i="5"/>
  <c r="AD47" i="29"/>
  <c r="E165" i="39"/>
  <c r="D165" i="39"/>
  <c r="E74" i="5"/>
  <c r="E268" i="5"/>
  <c r="E274" i="5" s="1"/>
  <c r="F65" i="9"/>
  <c r="F57" i="15"/>
  <c r="Z79" i="15"/>
  <c r="H12" i="18"/>
  <c r="I21" i="20"/>
  <c r="Y80" i="15"/>
  <c r="D6" i="24"/>
  <c r="L252" i="5"/>
  <c r="D4" i="21"/>
  <c r="F312" i="5"/>
  <c r="Y77" i="15"/>
  <c r="G54" i="22"/>
  <c r="O154" i="29"/>
  <c r="G23" i="5"/>
  <c r="AA91" i="29"/>
  <c r="U30" i="29"/>
  <c r="AA182" i="29"/>
  <c r="AI30" i="16"/>
  <c r="N197" i="5"/>
  <c r="O197" i="5" s="1"/>
  <c r="C99" i="5"/>
  <c r="I89" i="16"/>
  <c r="I72" i="39" s="1"/>
  <c r="H61" i="18"/>
  <c r="Z111" i="29"/>
  <c r="F44" i="1"/>
  <c r="F50" i="5"/>
  <c r="H45" i="17"/>
  <c r="C98" i="15"/>
  <c r="Y160" i="28"/>
  <c r="C53" i="34"/>
  <c r="AP20" i="32"/>
  <c r="I99" i="5"/>
  <c r="AD65" i="29"/>
  <c r="J39" i="20"/>
  <c r="G53" i="22"/>
  <c r="J89" i="17"/>
  <c r="X80" i="15"/>
  <c r="E44" i="25"/>
  <c r="G94" i="25"/>
  <c r="H142" i="5"/>
  <c r="R90" i="29"/>
  <c r="Y101" i="32" s="1"/>
  <c r="W79" i="29"/>
  <c r="I168" i="17"/>
  <c r="M60" i="34"/>
  <c r="M62" i="34" s="1"/>
  <c r="AC158" i="29"/>
  <c r="AE91" i="29"/>
  <c r="BB124" i="35"/>
  <c r="BB121" i="35" s="1"/>
  <c r="AC63" i="29"/>
  <c r="Y182" i="29"/>
  <c r="F109" i="5"/>
  <c r="D190" i="39"/>
  <c r="F138" i="5"/>
  <c r="F147" i="5"/>
  <c r="G68" i="1"/>
  <c r="H68" i="1"/>
  <c r="L97" i="5"/>
  <c r="M247" i="5"/>
  <c r="I18" i="9"/>
  <c r="I55" i="39"/>
  <c r="I100" i="16"/>
  <c r="I83" i="39" s="1"/>
  <c r="CK69" i="29"/>
  <c r="I60" i="18"/>
  <c r="I43" i="18"/>
  <c r="H108" i="16" s="1"/>
  <c r="F270" i="5"/>
  <c r="G84" i="5"/>
  <c r="F165" i="39"/>
  <c r="G47" i="1"/>
  <c r="G24" i="1"/>
  <c r="AA120" i="28"/>
  <c r="C204" i="5"/>
  <c r="C206" i="5" s="1"/>
  <c r="C52" i="5"/>
  <c r="E177" i="5"/>
  <c r="E104" i="5"/>
  <c r="H79" i="39"/>
  <c r="A17" i="15"/>
  <c r="Y227" i="28"/>
  <c r="E84" i="25"/>
  <c r="D92" i="25"/>
  <c r="G81" i="39"/>
  <c r="G100" i="16"/>
  <c r="G83" i="39" s="1"/>
  <c r="H26" i="5"/>
  <c r="Z160" i="28"/>
  <c r="I55" i="18"/>
  <c r="D123" i="15" s="1"/>
  <c r="W3" i="15"/>
  <c r="E18" i="9"/>
  <c r="D89" i="5"/>
  <c r="C163" i="39"/>
  <c r="J60" i="20"/>
  <c r="D18" i="9"/>
  <c r="F28" i="15"/>
  <c r="AB248" i="28" s="1"/>
  <c r="I45" i="17"/>
  <c r="W8" i="15"/>
  <c r="F34" i="16"/>
  <c r="F32" i="39" s="1"/>
  <c r="B226" i="28"/>
  <c r="A16" i="15"/>
  <c r="Y238" i="28"/>
  <c r="C28" i="15"/>
  <c r="L209" i="5"/>
  <c r="L88" i="5" s="1"/>
  <c r="K88" i="5"/>
  <c r="O60" i="34"/>
  <c r="O62" i="34" s="1"/>
  <c r="O56" i="34"/>
  <c r="O59" i="34"/>
  <c r="U186" i="16" s="1"/>
  <c r="F42" i="15"/>
  <c r="J109" i="17"/>
  <c r="AD158" i="29"/>
  <c r="H11" i="5"/>
  <c r="H217" i="5" s="1"/>
  <c r="G74" i="5"/>
  <c r="J23" i="5"/>
  <c r="G33" i="16"/>
  <c r="G31" i="39" s="1"/>
  <c r="D56" i="15"/>
  <c r="D180" i="5"/>
  <c r="D74" i="5"/>
  <c r="C104" i="5"/>
  <c r="AN101" i="32"/>
  <c r="B18" i="9"/>
  <c r="H165" i="5"/>
  <c r="L7" i="1"/>
  <c r="D26" i="15"/>
  <c r="Z246" i="28" s="1"/>
  <c r="B111" i="15"/>
  <c r="C112" i="15" s="1"/>
  <c r="G35" i="20"/>
  <c r="B114" i="15" s="1"/>
  <c r="H35" i="20"/>
  <c r="C20" i="15"/>
  <c r="Y240" i="28" s="1"/>
  <c r="AC133" i="29"/>
  <c r="W5" i="15"/>
  <c r="E27" i="15"/>
  <c r="AA247" i="28" s="1"/>
  <c r="O10" i="1"/>
  <c r="P10" i="1" s="1"/>
  <c r="Q10" i="1" s="1"/>
  <c r="R10" i="1" s="1"/>
  <c r="N11" i="1"/>
  <c r="H41" i="16"/>
  <c r="J60" i="18"/>
  <c r="F9" i="15"/>
  <c r="AB231" i="28" s="1"/>
  <c r="H165" i="39"/>
  <c r="AB157" i="28"/>
  <c r="AB120" i="28"/>
  <c r="K97" i="5"/>
  <c r="X23" i="28"/>
  <c r="E198" i="39"/>
  <c r="C190" i="39"/>
  <c r="E52" i="5"/>
  <c r="F63" i="9"/>
  <c r="J91" i="17"/>
  <c r="AA158" i="28"/>
  <c r="D29" i="15"/>
  <c r="Z249" i="28" s="1"/>
  <c r="E17" i="1"/>
  <c r="B137" i="9" s="1"/>
  <c r="E27" i="1"/>
  <c r="E28" i="1" s="1"/>
  <c r="D27" i="15"/>
  <c r="Z247" i="28" s="1"/>
  <c r="Z227" i="28"/>
  <c r="C202" i="16"/>
  <c r="C153" i="39" s="1"/>
  <c r="C152" i="39"/>
  <c r="H104" i="34"/>
  <c r="G59" i="34"/>
  <c r="M186" i="16" s="1"/>
  <c r="M137" i="39" s="1"/>
  <c r="G60" i="34"/>
  <c r="G62" i="34" s="1"/>
  <c r="G56" i="34"/>
  <c r="I61" i="18"/>
  <c r="X37" i="28"/>
  <c r="C74" i="5"/>
  <c r="D52" i="5"/>
  <c r="B8" i="9"/>
  <c r="F27" i="15"/>
  <c r="AB247" i="28" s="1"/>
  <c r="E11" i="16"/>
  <c r="E11" i="39" s="1"/>
  <c r="E10" i="39"/>
  <c r="E89" i="16"/>
  <c r="E72" i="39" s="1"/>
  <c r="X79" i="29"/>
  <c r="AB81" i="32"/>
  <c r="AB59" i="32"/>
  <c r="T63" i="29"/>
  <c r="E42" i="15"/>
  <c r="E52" i="15" s="1"/>
  <c r="E53" i="15" s="1"/>
  <c r="AA228" i="28"/>
  <c r="E28" i="15"/>
  <c r="AA248" i="28" s="1"/>
  <c r="Y225" i="28"/>
  <c r="C25" i="15"/>
  <c r="B158" i="17"/>
  <c r="B169" i="17"/>
  <c r="B170" i="17" s="1"/>
  <c r="I50" i="18"/>
  <c r="L25" i="17"/>
  <c r="D120" i="15"/>
  <c r="E9" i="15"/>
  <c r="E10" i="15" s="1"/>
  <c r="AA232" i="28" s="1"/>
  <c r="Y37" i="28"/>
  <c r="I91" i="17"/>
  <c r="W6" i="15"/>
  <c r="AH101" i="32"/>
  <c r="AC91" i="29"/>
  <c r="P27" i="20"/>
  <c r="K113" i="15" s="1"/>
  <c r="J113" i="15"/>
  <c r="AA75" i="15"/>
  <c r="Z77" i="15"/>
  <c r="E59" i="39"/>
  <c r="G50" i="22"/>
  <c r="G73" i="22"/>
  <c r="R154" i="29"/>
  <c r="O11" i="29"/>
  <c r="V11" i="32" s="1"/>
  <c r="U93" i="29"/>
  <c r="AE63" i="29"/>
  <c r="BC3" i="35"/>
  <c r="BA20" i="35"/>
  <c r="BB21" i="35" s="1"/>
  <c r="AE44" i="29"/>
  <c r="H235" i="34"/>
  <c r="J56" i="20"/>
  <c r="C146" i="16"/>
  <c r="C97" i="39" s="1"/>
  <c r="W7" i="15"/>
  <c r="H31" i="20"/>
  <c r="E57" i="15"/>
  <c r="H21" i="20"/>
  <c r="E30" i="39"/>
  <c r="X79" i="15"/>
  <c r="G51" i="22"/>
  <c r="G66" i="22"/>
  <c r="G70" i="22"/>
  <c r="G74" i="22"/>
  <c r="C92" i="25"/>
  <c r="C39" i="25"/>
  <c r="C42" i="25" s="1"/>
  <c r="B126" i="18"/>
  <c r="F100" i="16"/>
  <c r="F83" i="39" s="1"/>
  <c r="Z158" i="28"/>
  <c r="R76" i="29"/>
  <c r="Y80" i="32" s="1"/>
  <c r="S65" i="29"/>
  <c r="U77" i="29"/>
  <c r="N60" i="34"/>
  <c r="N62" i="34" s="1"/>
  <c r="F105" i="1"/>
  <c r="B200" i="16"/>
  <c r="B151" i="39" s="1"/>
  <c r="G98" i="1"/>
  <c r="L28" i="17"/>
  <c r="J20" i="20"/>
  <c r="Z76" i="15"/>
  <c r="H89" i="17"/>
  <c r="C104" i="15" s="1"/>
  <c r="F192" i="39"/>
  <c r="B118" i="15"/>
  <c r="G52" i="22"/>
  <c r="Z55" i="27"/>
  <c r="Y158" i="28"/>
  <c r="AC60" i="32"/>
  <c r="AF38" i="32"/>
  <c r="P128" i="39"/>
  <c r="AE79" i="29"/>
  <c r="AC93" i="29"/>
  <c r="I49" i="39"/>
  <c r="P29" i="29"/>
  <c r="W17" i="32" s="1"/>
  <c r="H5" i="34"/>
  <c r="H237" i="34"/>
  <c r="AG76" i="29"/>
  <c r="AK77" i="29" s="1"/>
  <c r="AG49" i="29"/>
  <c r="D58" i="21"/>
  <c r="G49" i="22"/>
  <c r="L151" i="5"/>
  <c r="L78" i="5" s="1"/>
  <c r="Y157" i="28"/>
  <c r="B132" i="18"/>
  <c r="O29" i="29"/>
  <c r="S30" i="29" s="1"/>
  <c r="V76" i="29"/>
  <c r="Z77" i="29" s="1"/>
  <c r="Y92" i="32"/>
  <c r="Y93" i="32" s="1"/>
  <c r="X44" i="29"/>
  <c r="X145" i="29"/>
  <c r="W145" i="29"/>
  <c r="F60" i="34"/>
  <c r="F62" i="34" s="1"/>
  <c r="AC49" i="29"/>
  <c r="AT167" i="35"/>
  <c r="BE105" i="35"/>
  <c r="AM20" i="32"/>
  <c r="I105" i="1"/>
  <c r="J98" i="1"/>
  <c r="K9" i="35"/>
  <c r="J287" i="5"/>
  <c r="G19" i="5"/>
  <c r="Y192" i="28" s="1"/>
  <c r="K152" i="5"/>
  <c r="V9" i="32"/>
  <c r="P26" i="29"/>
  <c r="W16" i="32" s="1"/>
  <c r="X49" i="29"/>
  <c r="X77" i="29"/>
  <c r="W158" i="29"/>
  <c r="X158" i="29"/>
  <c r="AG165" i="29"/>
  <c r="J204" i="5"/>
  <c r="H19" i="5"/>
  <c r="O16" i="40"/>
  <c r="AD165" i="29"/>
  <c r="AD168" i="29" s="1"/>
  <c r="I107" i="1"/>
  <c r="AM20" i="16"/>
  <c r="I19" i="5"/>
  <c r="X77" i="15"/>
  <c r="AO19" i="16"/>
  <c r="AG58" i="29"/>
  <c r="J19" i="5"/>
  <c r="K40" i="16"/>
  <c r="AM164" i="29" s="1"/>
  <c r="AL164" i="29" s="1"/>
  <c r="Z158" i="29"/>
  <c r="V64" i="29"/>
  <c r="AD60" i="32" s="1"/>
  <c r="O26" i="29"/>
  <c r="S27" i="29" s="1"/>
  <c r="R144" i="29"/>
  <c r="V145" i="29" s="1"/>
  <c r="W91" i="29"/>
  <c r="AC20" i="32"/>
  <c r="Y63" i="29"/>
  <c r="AC30" i="29"/>
  <c r="AC27" i="29"/>
  <c r="AG27" i="29"/>
  <c r="AB44" i="29"/>
  <c r="Y145" i="29"/>
  <c r="AC33" i="29"/>
  <c r="AF79" i="29"/>
  <c r="AD44" i="29"/>
  <c r="AC44" i="29"/>
  <c r="V10" i="32"/>
  <c r="AD50" i="32"/>
  <c r="AD51" i="32" s="1"/>
  <c r="R152" i="29"/>
  <c r="W77" i="29"/>
  <c r="AD16" i="32"/>
  <c r="Y34" i="29"/>
  <c r="AM16" i="32"/>
  <c r="AE158" i="29"/>
  <c r="AB104" i="29"/>
  <c r="AA104" i="29" s="1"/>
  <c r="CO181" i="29"/>
  <c r="AD63" i="29"/>
  <c r="Z115" i="29"/>
  <c r="V62" i="29"/>
  <c r="AD28" i="32"/>
  <c r="AD29" i="32" s="1"/>
  <c r="T79" i="29"/>
  <c r="T77" i="29"/>
  <c r="AH17" i="32"/>
  <c r="Z34" i="29"/>
  <c r="BZ13" i="29" s="1"/>
  <c r="AG93" i="29"/>
  <c r="AF47" i="29"/>
  <c r="AN17" i="32"/>
  <c r="AI59" i="32"/>
  <c r="AB17" i="32"/>
  <c r="V46" i="29"/>
  <c r="AD37" i="32" s="1"/>
  <c r="V139" i="29"/>
  <c r="U63" i="29"/>
  <c r="Y27" i="29"/>
  <c r="AB49" i="29"/>
  <c r="AM102" i="32"/>
  <c r="AC182" i="29"/>
  <c r="W182" i="29"/>
  <c r="AG71" i="29"/>
  <c r="AR75" i="32" s="1"/>
  <c r="AD77" i="29"/>
  <c r="AA44" i="29"/>
  <c r="V115" i="29"/>
  <c r="R64" i="29"/>
  <c r="Y60" i="32" s="1"/>
  <c r="U27" i="29"/>
  <c r="AM60" i="32"/>
  <c r="CC148" i="29"/>
  <c r="AG78" i="29"/>
  <c r="AK79" i="29" s="1"/>
  <c r="Z44" i="29"/>
  <c r="Z145" i="29"/>
  <c r="AA47" i="29"/>
  <c r="Y93" i="29"/>
  <c r="W93" i="29"/>
  <c r="W27" i="29"/>
  <c r="AG81" i="32"/>
  <c r="AL20" i="32"/>
  <c r="Y183" i="29"/>
  <c r="AG55" i="29"/>
  <c r="AR54" i="32" s="1"/>
  <c r="F306" i="5"/>
  <c r="G266" i="5"/>
  <c r="AA235" i="28"/>
  <c r="E22" i="15"/>
  <c r="E25" i="15"/>
  <c r="AA245" i="28" s="1"/>
  <c r="D204" i="5"/>
  <c r="D91" i="5"/>
  <c r="D104" i="5" s="1"/>
  <c r="AC159" i="28"/>
  <c r="J80" i="39"/>
  <c r="AB241" i="28"/>
  <c r="D122" i="15"/>
  <c r="C122" i="15"/>
  <c r="H78" i="39"/>
  <c r="AA157" i="28"/>
  <c r="H100" i="16"/>
  <c r="H83" i="39" s="1"/>
  <c r="B229" i="28"/>
  <c r="A19" i="15"/>
  <c r="B9" i="24"/>
  <c r="Y231" i="28"/>
  <c r="C31" i="15"/>
  <c r="C103" i="34"/>
  <c r="B62" i="34"/>
  <c r="B56" i="34"/>
  <c r="I104" i="34"/>
  <c r="H56" i="34"/>
  <c r="H59" i="34"/>
  <c r="N186" i="16" s="1"/>
  <c r="N137" i="39" s="1"/>
  <c r="H60" i="34"/>
  <c r="H62" i="34" s="1"/>
  <c r="F11" i="21"/>
  <c r="J11" i="5"/>
  <c r="AB138" i="28"/>
  <c r="C87" i="34"/>
  <c r="H185" i="16"/>
  <c r="H136" i="39" s="1"/>
  <c r="B208" i="34"/>
  <c r="H33" i="16"/>
  <c r="H31" i="39" s="1"/>
  <c r="H30" i="39"/>
  <c r="H52" i="16"/>
  <c r="I34" i="16"/>
  <c r="I32" i="39" s="1"/>
  <c r="Z79" i="29"/>
  <c r="AI81" i="32"/>
  <c r="B165" i="39"/>
  <c r="I67" i="9"/>
  <c r="B27" i="9"/>
  <c r="AG37" i="32"/>
  <c r="AB47" i="29"/>
  <c r="X47" i="29"/>
  <c r="F35" i="1"/>
  <c r="C62" i="9"/>
  <c r="F62" i="9" s="1"/>
  <c r="C46" i="5"/>
  <c r="AE77" i="29"/>
  <c r="AA77" i="29"/>
  <c r="AK80" i="32"/>
  <c r="C274" i="5"/>
  <c r="E99" i="5"/>
  <c r="H98" i="1"/>
  <c r="I98" i="1"/>
  <c r="AH147" i="29"/>
  <c r="AH148" i="29"/>
  <c r="Y120" i="28"/>
  <c r="F198" i="39"/>
  <c r="I43" i="5"/>
  <c r="AI37" i="32"/>
  <c r="AB235" i="28"/>
  <c r="AN37" i="32"/>
  <c r="C111" i="5"/>
  <c r="B192" i="39" s="1"/>
  <c r="E165" i="5"/>
  <c r="AA160" i="28"/>
  <c r="H81" i="39"/>
  <c r="AA55" i="27"/>
  <c r="AF56" i="27" s="1"/>
  <c r="Y28" i="32"/>
  <c r="Y29" i="32" s="1"/>
  <c r="R157" i="29"/>
  <c r="V158" i="29" s="1"/>
  <c r="R48" i="29"/>
  <c r="R46" i="29"/>
  <c r="V30" i="29"/>
  <c r="AD17" i="32"/>
  <c r="Z30" i="29"/>
  <c r="K9" i="17"/>
  <c r="J12" i="17"/>
  <c r="AC47" i="29"/>
  <c r="Y47" i="29"/>
  <c r="BS1" i="35"/>
  <c r="BT1" i="35" s="1"/>
  <c r="BT3" i="35" s="1"/>
  <c r="BH25" i="35"/>
  <c r="BK25" i="35" s="1"/>
  <c r="BH27" i="35"/>
  <c r="BK27" i="35" s="1"/>
  <c r="BA25" i="35"/>
  <c r="BB26" i="35" s="1"/>
  <c r="BH26" i="35"/>
  <c r="BK26" i="35" s="1"/>
  <c r="AZ2" i="35"/>
  <c r="M24" i="39"/>
  <c r="H86" i="34"/>
  <c r="H101" i="34" s="1"/>
  <c r="L9" i="18"/>
  <c r="K11" i="18"/>
  <c r="I185" i="16"/>
  <c r="I136" i="39" s="1"/>
  <c r="I19" i="16"/>
  <c r="I11" i="5"/>
  <c r="AD79" i="29"/>
  <c r="E120" i="15"/>
  <c r="H60" i="18"/>
  <c r="AF44" i="29"/>
  <c r="G38" i="39"/>
  <c r="G30" i="39"/>
  <c r="D25" i="15"/>
  <c r="Z245" i="28" s="1"/>
  <c r="E56" i="15"/>
  <c r="C89" i="5"/>
  <c r="C93" i="5" s="1"/>
  <c r="B191" i="39"/>
  <c r="B164" i="39"/>
  <c r="C170" i="39"/>
  <c r="D171" i="39"/>
  <c r="AN60" i="32"/>
  <c r="A42" i="15"/>
  <c r="A52" i="15" s="1"/>
  <c r="B251" i="28"/>
  <c r="D39" i="25"/>
  <c r="C30" i="39"/>
  <c r="C34" i="16"/>
  <c r="C32" i="39" s="1"/>
  <c r="C33" i="16"/>
  <c r="C31" i="39" s="1"/>
  <c r="D34" i="16"/>
  <c r="D32" i="39" s="1"/>
  <c r="U44" i="29"/>
  <c r="E35" i="34"/>
  <c r="D37" i="34"/>
  <c r="Z82" i="15"/>
  <c r="D118" i="15"/>
  <c r="X93" i="29"/>
  <c r="M7" i="17"/>
  <c r="L24" i="17"/>
  <c r="K29" i="17"/>
  <c r="G75" i="15"/>
  <c r="AB75" i="15" s="1"/>
  <c r="Y237" i="28"/>
  <c r="C27" i="15"/>
  <c r="Z81" i="15"/>
  <c r="AA81" i="15"/>
  <c r="Y81" i="15"/>
  <c r="D10" i="39"/>
  <c r="D11" i="16"/>
  <c r="D11" i="39" s="1"/>
  <c r="D33" i="16"/>
  <c r="D31" i="39" s="1"/>
  <c r="D89" i="16"/>
  <c r="D72" i="39" s="1"/>
  <c r="T44" i="29"/>
  <c r="V44" i="29"/>
  <c r="W44" i="29"/>
  <c r="J142" i="5"/>
  <c r="I52" i="16"/>
  <c r="C166" i="16"/>
  <c r="I10" i="39"/>
  <c r="J43" i="18"/>
  <c r="I108" i="16" s="1"/>
  <c r="D21" i="15"/>
  <c r="Y30" i="28"/>
  <c r="G34" i="16"/>
  <c r="G32" i="39" s="1"/>
  <c r="C177" i="5"/>
  <c r="AD93" i="29"/>
  <c r="E118" i="15"/>
  <c r="K27" i="18"/>
  <c r="K47" i="18" s="1"/>
  <c r="J47" i="18"/>
  <c r="J30" i="18"/>
  <c r="J36" i="18" s="1"/>
  <c r="H39" i="20"/>
  <c r="X81" i="15"/>
  <c r="G45" i="22"/>
  <c r="B20" i="25"/>
  <c r="W22" i="29"/>
  <c r="V111" i="29"/>
  <c r="AD81" i="32"/>
  <c r="Y91" i="29"/>
  <c r="U91" i="29"/>
  <c r="AC101" i="32"/>
  <c r="O48" i="29"/>
  <c r="P48" i="29"/>
  <c r="O40" i="29"/>
  <c r="V32" i="32" s="1"/>
  <c r="V30" i="32"/>
  <c r="G60" i="21"/>
  <c r="AB214" i="28" s="1"/>
  <c r="AB5" i="28"/>
  <c r="C208" i="34"/>
  <c r="CK128" i="29"/>
  <c r="C207" i="34"/>
  <c r="I64" i="18"/>
  <c r="B87" i="34"/>
  <c r="D12" i="15"/>
  <c r="E12" i="15" s="1"/>
  <c r="C165" i="39"/>
  <c r="J62" i="17"/>
  <c r="I107" i="16" s="1"/>
  <c r="J81" i="17"/>
  <c r="E103" i="15" s="1"/>
  <c r="CK53" i="29"/>
  <c r="D108" i="15"/>
  <c r="I81" i="17"/>
  <c r="D103" i="15" s="1"/>
  <c r="D100" i="15"/>
  <c r="K28" i="18"/>
  <c r="K48" i="18" s="1"/>
  <c r="J48" i="18"/>
  <c r="C7" i="24"/>
  <c r="D7" i="24" s="1"/>
  <c r="X76" i="15"/>
  <c r="G89" i="18"/>
  <c r="G50" i="18"/>
  <c r="B120" i="15"/>
  <c r="H66" i="18"/>
  <c r="G55" i="18"/>
  <c r="B123" i="15" s="1"/>
  <c r="C71" i="39"/>
  <c r="C89" i="16"/>
  <c r="C72" i="39" s="1"/>
  <c r="V162" i="28"/>
  <c r="V154" i="28"/>
  <c r="D28" i="5"/>
  <c r="T93" i="29"/>
  <c r="Y49" i="29"/>
  <c r="U49" i="29"/>
  <c r="AB16" i="32"/>
  <c r="O178" i="16"/>
  <c r="O129" i="39" s="1"/>
  <c r="O128" i="39"/>
  <c r="AL60" i="32"/>
  <c r="AF65" i="29"/>
  <c r="Z23" i="28"/>
  <c r="F180" i="5"/>
  <c r="E46" i="5"/>
  <c r="G89" i="16"/>
  <c r="G72" i="39" s="1"/>
  <c r="G11" i="16"/>
  <c r="G11" i="39" s="1"/>
  <c r="G10" i="39"/>
  <c r="D57" i="15"/>
  <c r="E10" i="24"/>
  <c r="D10" i="24" s="1"/>
  <c r="Y230" i="28"/>
  <c r="AA30" i="29"/>
  <c r="W30" i="29"/>
  <c r="AG80" i="32"/>
  <c r="AB77" i="29"/>
  <c r="X24" i="29"/>
  <c r="O139" i="39"/>
  <c r="H59" i="21"/>
  <c r="AC6" i="28"/>
  <c r="I81" i="39"/>
  <c r="I86" i="17"/>
  <c r="G44" i="1"/>
  <c r="B95" i="15" s="1"/>
  <c r="AB230" i="28"/>
  <c r="H32" i="20"/>
  <c r="H33" i="20" s="1"/>
  <c r="AA227" i="28"/>
  <c r="G89" i="17"/>
  <c r="B104" i="15" s="1"/>
  <c r="F41" i="16"/>
  <c r="B6" i="24"/>
  <c r="E33" i="16"/>
  <c r="E31" i="39" s="1"/>
  <c r="F89" i="16"/>
  <c r="F72" i="39" s="1"/>
  <c r="E8" i="24"/>
  <c r="D8" i="24" s="1"/>
  <c r="D6" i="25"/>
  <c r="B33" i="16"/>
  <c r="B31" i="39" s="1"/>
  <c r="R148" i="29"/>
  <c r="W49" i="29"/>
  <c r="AB80" i="32"/>
  <c r="N139" i="39"/>
  <c r="J78" i="18"/>
  <c r="L60" i="34"/>
  <c r="L62" i="34" s="1"/>
  <c r="D59" i="34"/>
  <c r="J186" i="16" s="1"/>
  <c r="J137" i="39" s="1"/>
  <c r="E59" i="34"/>
  <c r="K186" i="16" s="1"/>
  <c r="K137" i="39" s="1"/>
  <c r="K178" i="16"/>
  <c r="K129" i="39" s="1"/>
  <c r="AE49" i="29"/>
  <c r="AE65" i="29"/>
  <c r="BH20" i="35"/>
  <c r="BK20" i="35" s="1"/>
  <c r="AL16" i="32"/>
  <c r="G105" i="1"/>
  <c r="F12" i="18"/>
  <c r="E12" i="18"/>
  <c r="D146" i="16"/>
  <c r="D97" i="39" s="1"/>
  <c r="X183" i="29"/>
  <c r="X182" i="29"/>
  <c r="I89" i="17"/>
  <c r="B3" i="25"/>
  <c r="F41" i="5"/>
  <c r="H24" i="5"/>
  <c r="X30" i="29"/>
  <c r="W65" i="29"/>
  <c r="U79" i="29"/>
  <c r="X91" i="29"/>
  <c r="AC80" i="32"/>
  <c r="X27" i="29"/>
  <c r="S145" i="29"/>
  <c r="L56" i="34"/>
  <c r="E104" i="34"/>
  <c r="AC77" i="29"/>
  <c r="K80" i="18"/>
  <c r="F106" i="1"/>
  <c r="G64" i="37"/>
  <c r="H12" i="37"/>
  <c r="B33" i="37"/>
  <c r="I56" i="20"/>
  <c r="H56" i="20"/>
  <c r="AD183" i="29"/>
  <c r="AD182" i="29"/>
  <c r="I12" i="18"/>
  <c r="C26" i="15"/>
  <c r="B7" i="24"/>
  <c r="Y239" i="28"/>
  <c r="H138" i="5"/>
  <c r="C9" i="24"/>
  <c r="C11" i="25"/>
  <c r="C11" i="16"/>
  <c r="C11" i="39" s="1"/>
  <c r="AD71" i="32"/>
  <c r="AD72" i="32" s="1"/>
  <c r="W47" i="29"/>
  <c r="V148" i="29"/>
  <c r="T91" i="29"/>
  <c r="AA37" i="32"/>
  <c r="U65" i="29"/>
  <c r="X17" i="32"/>
  <c r="X63" i="29"/>
  <c r="AA27" i="29"/>
  <c r="F59" i="34"/>
  <c r="L186" i="16" s="1"/>
  <c r="L137" i="39" s="1"/>
  <c r="H113" i="1"/>
  <c r="J116" i="1" s="1"/>
  <c r="K116" i="1" s="1"/>
  <c r="K118" i="1" s="1"/>
  <c r="B96" i="39"/>
  <c r="E60" i="21"/>
  <c r="Z214" i="28" s="1"/>
  <c r="G115" i="1"/>
  <c r="H115" i="1" s="1"/>
  <c r="G113" i="1"/>
  <c r="G116" i="1" s="1"/>
  <c r="H116" i="1" s="1"/>
  <c r="AF63" i="29"/>
  <c r="AG42" i="29"/>
  <c r="C118" i="15"/>
  <c r="B8" i="24"/>
  <c r="I8" i="24"/>
  <c r="Y226" i="28"/>
  <c r="F30" i="39"/>
  <c r="C5" i="24"/>
  <c r="D5" i="24" s="1"/>
  <c r="V119" i="29"/>
  <c r="R139" i="29"/>
  <c r="AA93" i="29"/>
  <c r="V27" i="29"/>
  <c r="Y44" i="29"/>
  <c r="D98" i="39"/>
  <c r="K13" i="35"/>
  <c r="D26" i="36"/>
  <c r="C31" i="36"/>
  <c r="D31" i="36" s="1"/>
  <c r="AG43" i="29"/>
  <c r="AG40" i="29"/>
  <c r="AR32" i="32" s="1"/>
  <c r="H104" i="5"/>
  <c r="H86" i="17"/>
  <c r="C10" i="15"/>
  <c r="B241" i="28"/>
  <c r="F46" i="16"/>
  <c r="F60" i="39" s="1"/>
  <c r="W89" i="15"/>
  <c r="V137" i="29"/>
  <c r="Y55" i="32"/>
  <c r="U47" i="29"/>
  <c r="AF102" i="32"/>
  <c r="AF16" i="32"/>
  <c r="AB30" i="29"/>
  <c r="AB63" i="29"/>
  <c r="AB91" i="29"/>
  <c r="AF77" i="29"/>
  <c r="B5" i="37"/>
  <c r="C7" i="37" s="1"/>
  <c r="C59" i="37" s="1"/>
  <c r="B20" i="37"/>
  <c r="F33" i="16"/>
  <c r="F31" i="39" s="1"/>
  <c r="AM59" i="32"/>
  <c r="AG63" i="29"/>
  <c r="B11" i="36"/>
  <c r="C11" i="36" s="1"/>
  <c r="C7" i="36"/>
  <c r="G106" i="1"/>
  <c r="H105" i="1"/>
  <c r="C16" i="37"/>
  <c r="D17" i="37"/>
  <c r="D16" i="37"/>
  <c r="C18" i="37"/>
  <c r="C62" i="37" s="1"/>
  <c r="J260" i="5"/>
  <c r="I166" i="39"/>
  <c r="K5" i="35"/>
  <c r="AC183" i="29"/>
  <c r="AG46" i="29"/>
  <c r="AK47" i="29" s="1"/>
  <c r="L286" i="5"/>
  <c r="L279" i="5" s="1"/>
  <c r="L280" i="5" s="1"/>
  <c r="G104" i="5"/>
  <c r="AC37" i="29"/>
  <c r="L20" i="1"/>
  <c r="AM38" i="29" s="1"/>
  <c r="L26" i="17"/>
  <c r="AG133" i="29" l="1"/>
  <c r="AG134" i="29"/>
  <c r="AK133" i="29"/>
  <c r="AG182" i="29"/>
  <c r="AK182" i="29"/>
  <c r="AG168" i="29"/>
  <c r="AK166" i="29"/>
  <c r="AL38" i="29"/>
  <c r="AL42" i="29" s="1"/>
  <c r="AG44" i="29"/>
  <c r="O61" i="15"/>
  <c r="R11" i="1"/>
  <c r="S10" i="1"/>
  <c r="P63" i="39"/>
  <c r="Q48" i="16"/>
  <c r="R48" i="16" s="1"/>
  <c r="P60" i="39"/>
  <c r="AP60" i="39" s="1"/>
  <c r="Q46" i="16"/>
  <c r="R46" i="16" s="1"/>
  <c r="S46" i="16" s="1"/>
  <c r="T46" i="16" s="1"/>
  <c r="U46" i="16" s="1"/>
  <c r="P61" i="39"/>
  <c r="AP61" i="39" s="1"/>
  <c r="Q47" i="16"/>
  <c r="R47" i="16" s="1"/>
  <c r="S47" i="16" s="1"/>
  <c r="T47" i="16" s="1"/>
  <c r="U47" i="16" s="1"/>
  <c r="X89" i="15"/>
  <c r="R16" i="1"/>
  <c r="M89" i="15" s="1"/>
  <c r="U165" i="5"/>
  <c r="V165" i="5" s="1"/>
  <c r="V10" i="17"/>
  <c r="AA213" i="28"/>
  <c r="AA215" i="28" s="1"/>
  <c r="Z213" i="28"/>
  <c r="Z215" i="28" s="1"/>
  <c r="AB213" i="28"/>
  <c r="AB215" i="28" s="1"/>
  <c r="D234" i="5"/>
  <c r="D235" i="5" s="1"/>
  <c r="D56" i="5"/>
  <c r="E234" i="5"/>
  <c r="E235" i="5" s="1"/>
  <c r="E56" i="5"/>
  <c r="B173" i="39"/>
  <c r="C56" i="5"/>
  <c r="AG166" i="29"/>
  <c r="T5" i="40"/>
  <c r="T7" i="40" s="1"/>
  <c r="T11" i="40" s="1"/>
  <c r="AA192" i="28"/>
  <c r="AA199" i="28" s="1"/>
  <c r="AA203" i="28" s="1"/>
  <c r="AA206" i="28" s="1"/>
  <c r="AA212" i="28" s="1"/>
  <c r="Z192" i="28"/>
  <c r="Z199" i="28" s="1"/>
  <c r="Z203" i="28" s="1"/>
  <c r="Z206" i="28" s="1"/>
  <c r="Z212" i="28" s="1"/>
  <c r="AB192" i="28"/>
  <c r="AB199" i="28" s="1"/>
  <c r="AB203" i="28" s="1"/>
  <c r="AB206" i="28" s="1"/>
  <c r="AB212" i="28" s="1"/>
  <c r="B161" i="39"/>
  <c r="C42" i="5"/>
  <c r="B162" i="39" s="1"/>
  <c r="I161" i="39"/>
  <c r="J42" i="5"/>
  <c r="I162" i="39" s="1"/>
  <c r="E161" i="39"/>
  <c r="F42" i="5"/>
  <c r="E162" i="39" s="1"/>
  <c r="H161" i="39"/>
  <c r="I42" i="5"/>
  <c r="H162" i="39" s="1"/>
  <c r="H42" i="5"/>
  <c r="G162" i="39" s="1"/>
  <c r="D161" i="39"/>
  <c r="E42" i="5"/>
  <c r="D162" i="39" s="1"/>
  <c r="G69" i="16"/>
  <c r="I43" i="16"/>
  <c r="I57" i="39" s="1"/>
  <c r="G110" i="16"/>
  <c r="H110" i="16"/>
  <c r="G87" i="17"/>
  <c r="F107" i="16"/>
  <c r="F110" i="16" s="1"/>
  <c r="J35" i="1"/>
  <c r="I106" i="16"/>
  <c r="I110" i="16" s="1"/>
  <c r="L61" i="39"/>
  <c r="AL61" i="39" s="1"/>
  <c r="N61" i="39"/>
  <c r="AN61" i="39" s="1"/>
  <c r="M61" i="39"/>
  <c r="AM61" i="39" s="1"/>
  <c r="I61" i="39"/>
  <c r="O61" i="39"/>
  <c r="AO61" i="39" s="1"/>
  <c r="I177" i="5"/>
  <c r="F268" i="5"/>
  <c r="F8" i="21"/>
  <c r="C29" i="21"/>
  <c r="C32" i="21" s="1"/>
  <c r="J180" i="5"/>
  <c r="F29" i="21"/>
  <c r="F32" i="21" s="1"/>
  <c r="H164" i="39"/>
  <c r="J206" i="5"/>
  <c r="J121" i="5" s="1"/>
  <c r="J127" i="5" s="1"/>
  <c r="J128" i="5" s="1"/>
  <c r="G327" i="5"/>
  <c r="K20" i="20"/>
  <c r="L20" i="20" s="1"/>
  <c r="M73" i="18"/>
  <c r="AM118" i="29"/>
  <c r="AL118" i="29" s="1"/>
  <c r="G82" i="15"/>
  <c r="AB82" i="15" s="1"/>
  <c r="K49" i="18"/>
  <c r="E98" i="15"/>
  <c r="J37" i="17"/>
  <c r="E99" i="15" s="1"/>
  <c r="J45" i="17"/>
  <c r="Y199" i="28"/>
  <c r="Y203" i="28" s="1"/>
  <c r="Y206" i="28" s="1"/>
  <c r="Y212" i="28" s="1"/>
  <c r="M4" i="9"/>
  <c r="C8" i="21"/>
  <c r="E164" i="39"/>
  <c r="I67" i="18"/>
  <c r="B127" i="18"/>
  <c r="C127" i="18" s="1"/>
  <c r="D127" i="18" s="1"/>
  <c r="J90" i="18"/>
  <c r="AD202" i="28"/>
  <c r="G139" i="5"/>
  <c r="Q5" i="40"/>
  <c r="Q7" i="40" s="1"/>
  <c r="Q11" i="40" s="1"/>
  <c r="AD166" i="29"/>
  <c r="L29" i="18"/>
  <c r="M29" i="18" s="1"/>
  <c r="N29" i="18" s="1"/>
  <c r="D155" i="16"/>
  <c r="D157" i="16" s="1"/>
  <c r="D108" i="39" s="1"/>
  <c r="I92" i="17"/>
  <c r="E112" i="15"/>
  <c r="K196" i="39"/>
  <c r="AK196" i="39" s="1"/>
  <c r="L311" i="5"/>
  <c r="D10" i="9"/>
  <c r="AD118" i="28"/>
  <c r="F41" i="34"/>
  <c r="J36" i="20"/>
  <c r="I110" i="17"/>
  <c r="E19" i="9"/>
  <c r="E88" i="15"/>
  <c r="M5" i="9"/>
  <c r="I87" i="17"/>
  <c r="F228" i="5"/>
  <c r="D43" i="15"/>
  <c r="F128" i="5"/>
  <c r="D9" i="24"/>
  <c r="M7" i="9"/>
  <c r="Z124" i="28"/>
  <c r="H127" i="5"/>
  <c r="H128" i="5" s="1"/>
  <c r="H180" i="5"/>
  <c r="H177" i="5"/>
  <c r="M115" i="5"/>
  <c r="AE202" i="28" s="1"/>
  <c r="AD34" i="28"/>
  <c r="I180" i="5"/>
  <c r="G177" i="5"/>
  <c r="F56" i="15"/>
  <c r="E327" i="5"/>
  <c r="E328" i="5" s="1"/>
  <c r="E9" i="21"/>
  <c r="AG79" i="29"/>
  <c r="AR81" i="32"/>
  <c r="AG77" i="29"/>
  <c r="AR80" i="32"/>
  <c r="K209" i="34"/>
  <c r="AG47" i="29"/>
  <c r="AR37" i="32"/>
  <c r="AG65" i="29"/>
  <c r="AR60" i="32"/>
  <c r="B180" i="17"/>
  <c r="F104" i="5"/>
  <c r="F105" i="5" s="1"/>
  <c r="F12" i="15"/>
  <c r="G41" i="34"/>
  <c r="D53" i="34"/>
  <c r="H19" i="9"/>
  <c r="H228" i="5"/>
  <c r="H36" i="20"/>
  <c r="E57" i="5"/>
  <c r="D177" i="39" s="1"/>
  <c r="I9" i="9"/>
  <c r="D57" i="5"/>
  <c r="C177" i="39" s="1"/>
  <c r="E53" i="34"/>
  <c r="H62" i="18"/>
  <c r="H110" i="17"/>
  <c r="H139" i="5"/>
  <c r="C173" i="39"/>
  <c r="I171" i="39"/>
  <c r="D202" i="39"/>
  <c r="F202" i="5"/>
  <c r="F200" i="5" s="1"/>
  <c r="V65" i="29"/>
  <c r="H101" i="5"/>
  <c r="H102" i="5" s="1"/>
  <c r="H92" i="17"/>
  <c r="H9" i="9"/>
  <c r="G180" i="5"/>
  <c r="AA79" i="15"/>
  <c r="AA83" i="15" s="1"/>
  <c r="G270" i="5"/>
  <c r="G202" i="5"/>
  <c r="G200" i="5" s="1"/>
  <c r="D150" i="16"/>
  <c r="D152" i="16" s="1"/>
  <c r="D103" i="39" s="1"/>
  <c r="AB30" i="28"/>
  <c r="C215" i="34"/>
  <c r="L243" i="5"/>
  <c r="M243" i="5" s="1"/>
  <c r="G228" i="5"/>
  <c r="N46" i="5"/>
  <c r="L166" i="39"/>
  <c r="AL166" i="39" s="1"/>
  <c r="D108" i="34"/>
  <c r="D133" i="34" s="1"/>
  <c r="D9" i="9"/>
  <c r="D93" i="34"/>
  <c r="E9" i="9"/>
  <c r="H154" i="34"/>
  <c r="H327" i="5"/>
  <c r="J87" i="17"/>
  <c r="G39" i="15"/>
  <c r="J110" i="17"/>
  <c r="D19" i="9"/>
  <c r="G19" i="9"/>
  <c r="F25" i="15"/>
  <c r="AB245" i="28" s="1"/>
  <c r="V91" i="29"/>
  <c r="AG14" i="29"/>
  <c r="D109" i="15"/>
  <c r="C109" i="15"/>
  <c r="H8" i="34"/>
  <c r="M236" i="34"/>
  <c r="O236" i="34" s="1"/>
  <c r="O237" i="34" s="1"/>
  <c r="I62" i="18"/>
  <c r="D10" i="15"/>
  <c r="Z232" i="28" s="1"/>
  <c r="H90" i="18"/>
  <c r="Z22" i="28"/>
  <c r="H47" i="5"/>
  <c r="H52" i="5" s="1"/>
  <c r="H56" i="5" s="1"/>
  <c r="H55" i="39"/>
  <c r="AD101" i="32"/>
  <c r="Z91" i="29"/>
  <c r="E8" i="21"/>
  <c r="D58" i="15"/>
  <c r="D65" i="15" s="1"/>
  <c r="D67" i="15" s="1"/>
  <c r="D68" i="15" s="1"/>
  <c r="BZ35" i="29"/>
  <c r="BZ36" i="29" s="1"/>
  <c r="E29" i="21"/>
  <c r="E32" i="21" s="1"/>
  <c r="I327" i="5"/>
  <c r="I90" i="18"/>
  <c r="J21" i="20"/>
  <c r="E58" i="15"/>
  <c r="E65" i="15" s="1"/>
  <c r="W9" i="15"/>
  <c r="F19" i="9"/>
  <c r="H87" i="17"/>
  <c r="I9" i="24"/>
  <c r="AG183" i="29"/>
  <c r="AG184" i="29" s="1"/>
  <c r="B240" i="28"/>
  <c r="G189" i="5"/>
  <c r="AG11" i="29"/>
  <c r="AR11" i="32" s="1"/>
  <c r="Z65" i="29"/>
  <c r="F189" i="5"/>
  <c r="D114" i="5"/>
  <c r="C195" i="39" s="1"/>
  <c r="I164" i="39"/>
  <c r="Z93" i="29"/>
  <c r="X20" i="28"/>
  <c r="F217" i="5"/>
  <c r="J47" i="5"/>
  <c r="I19" i="9"/>
  <c r="H189" i="5"/>
  <c r="B137" i="18"/>
  <c r="K59" i="17"/>
  <c r="V93" i="29"/>
  <c r="F22" i="15"/>
  <c r="AB242" i="28" s="1"/>
  <c r="G8" i="21"/>
  <c r="E42" i="16"/>
  <c r="E56" i="39" s="1"/>
  <c r="F101" i="5"/>
  <c r="F102" i="5" s="1"/>
  <c r="C119" i="15"/>
  <c r="F164" i="39"/>
  <c r="AB22" i="28"/>
  <c r="T47" i="29"/>
  <c r="J104" i="5"/>
  <c r="J303" i="5" s="1"/>
  <c r="D29" i="21"/>
  <c r="D32" i="21" s="1"/>
  <c r="L152" i="5"/>
  <c r="E64" i="16"/>
  <c r="E65" i="16" s="1"/>
  <c r="E51" i="39" s="1"/>
  <c r="T27" i="29"/>
  <c r="H335" i="5"/>
  <c r="H338" i="5" s="1"/>
  <c r="D327" i="5"/>
  <c r="D328" i="5" s="1"/>
  <c r="K8" i="16"/>
  <c r="L9" i="5" s="1"/>
  <c r="AD138" i="28" s="1"/>
  <c r="F327" i="5"/>
  <c r="J139" i="5"/>
  <c r="C124" i="15"/>
  <c r="C125" i="15" s="1"/>
  <c r="D107" i="34"/>
  <c r="I36" i="20"/>
  <c r="B248" i="28"/>
  <c r="L43" i="1"/>
  <c r="M43" i="1" s="1"/>
  <c r="V79" i="29"/>
  <c r="C114" i="15"/>
  <c r="C115" i="15" s="1"/>
  <c r="G101" i="5"/>
  <c r="G102" i="5" s="1"/>
  <c r="G202" i="39"/>
  <c r="D92" i="34"/>
  <c r="B238" i="28"/>
  <c r="J24" i="1"/>
  <c r="J153" i="34"/>
  <c r="K153" i="34" s="1"/>
  <c r="I154" i="34"/>
  <c r="C9" i="9"/>
  <c r="C5" i="21"/>
  <c r="F336" i="5"/>
  <c r="F338" i="5" s="1"/>
  <c r="F339" i="5" s="1"/>
  <c r="D7" i="37"/>
  <c r="G7" i="37" s="1"/>
  <c r="H7" i="37" s="1"/>
  <c r="Z140" i="28"/>
  <c r="C57" i="5"/>
  <c r="B177" i="39" s="1"/>
  <c r="C19" i="9"/>
  <c r="AA231" i="28"/>
  <c r="E31" i="15"/>
  <c r="AA251" i="28" s="1"/>
  <c r="F31" i="15"/>
  <c r="AB251" i="28" s="1"/>
  <c r="D9" i="21"/>
  <c r="C234" i="5"/>
  <c r="F64" i="16"/>
  <c r="F221" i="5"/>
  <c r="K12" i="18"/>
  <c r="H30" i="5"/>
  <c r="V17" i="32"/>
  <c r="AA250" i="28"/>
  <c r="T30" i="29"/>
  <c r="F225" i="5"/>
  <c r="F32" i="5"/>
  <c r="F110" i="5" s="1"/>
  <c r="E191" i="39" s="1"/>
  <c r="E43" i="15"/>
  <c r="C7" i="21"/>
  <c r="C15" i="21" s="1"/>
  <c r="C17" i="21" s="1"/>
  <c r="Z49" i="29"/>
  <c r="D30" i="15"/>
  <c r="Z240" i="28"/>
  <c r="G62" i="37"/>
  <c r="F9" i="24"/>
  <c r="M151" i="5"/>
  <c r="M78" i="5" s="1"/>
  <c r="V16" i="32"/>
  <c r="D173" i="39"/>
  <c r="X29" i="28"/>
  <c r="BB126" i="35"/>
  <c r="Z20" i="28"/>
  <c r="Y83" i="15"/>
  <c r="H221" i="5"/>
  <c r="X140" i="28"/>
  <c r="G55" i="39"/>
  <c r="G12" i="5"/>
  <c r="F91" i="22" s="1"/>
  <c r="F109" i="15"/>
  <c r="G108" i="15"/>
  <c r="G109" i="15" s="1"/>
  <c r="H79" i="15"/>
  <c r="AC79" i="15" s="1"/>
  <c r="J327" i="5"/>
  <c r="J93" i="5"/>
  <c r="J101" i="5" s="1"/>
  <c r="J102" i="5" s="1"/>
  <c r="J8" i="39"/>
  <c r="AJ8" i="39" s="1"/>
  <c r="K9" i="5"/>
  <c r="AC138" i="28" s="1"/>
  <c r="M235" i="34"/>
  <c r="O235" i="34" s="1"/>
  <c r="L92" i="18"/>
  <c r="AM146" i="29" s="1"/>
  <c r="L99" i="18"/>
  <c r="K97" i="16" s="1"/>
  <c r="I189" i="5"/>
  <c r="I206" i="5"/>
  <c r="K91" i="5"/>
  <c r="K204" i="5"/>
  <c r="K206" i="5" s="1"/>
  <c r="K121" i="5" s="1"/>
  <c r="H172" i="39"/>
  <c r="F9" i="21"/>
  <c r="AB79" i="15"/>
  <c r="L138" i="5"/>
  <c r="M138" i="5" s="1"/>
  <c r="N138" i="5" s="1"/>
  <c r="O138" i="5" s="1"/>
  <c r="P138" i="5" s="1"/>
  <c r="Q138" i="5" s="1"/>
  <c r="R138" i="5" s="1"/>
  <c r="S138" i="5" s="1"/>
  <c r="T138" i="5" s="1"/>
  <c r="U138" i="5" s="1"/>
  <c r="V138" i="5" s="1"/>
  <c r="J189" i="5"/>
  <c r="G30" i="5"/>
  <c r="G47" i="5"/>
  <c r="X83" i="15"/>
  <c r="F10" i="15"/>
  <c r="F11" i="15" s="1"/>
  <c r="G221" i="5"/>
  <c r="B19" i="9"/>
  <c r="G9" i="9"/>
  <c r="CK40" i="29"/>
  <c r="E93" i="15"/>
  <c r="K35" i="1"/>
  <c r="K37" i="1" s="1"/>
  <c r="L32" i="1" s="1"/>
  <c r="F18" i="21"/>
  <c r="F33" i="21" s="1"/>
  <c r="J29" i="5"/>
  <c r="E66" i="15"/>
  <c r="I309" i="5"/>
  <c r="I147" i="5"/>
  <c r="AA24" i="28"/>
  <c r="I29" i="5"/>
  <c r="P197" i="5"/>
  <c r="Q197" i="5" s="1"/>
  <c r="R197" i="5" s="1"/>
  <c r="F47" i="5"/>
  <c r="F52" i="5" s="1"/>
  <c r="F30" i="15"/>
  <c r="E113" i="15" s="1"/>
  <c r="C303" i="5"/>
  <c r="D8" i="21"/>
  <c r="H12" i="5"/>
  <c r="G91" i="22" s="1"/>
  <c r="O51" i="5"/>
  <c r="N172" i="39" s="1"/>
  <c r="F9" i="9"/>
  <c r="F58" i="15"/>
  <c r="M210" i="5"/>
  <c r="F315" i="5"/>
  <c r="X33" i="28" s="1"/>
  <c r="J62" i="18"/>
  <c r="C43" i="25"/>
  <c r="F21" i="5"/>
  <c r="X30" i="28"/>
  <c r="E171" i="39"/>
  <c r="G336" i="5"/>
  <c r="G338" i="5" s="1"/>
  <c r="G225" i="5"/>
  <c r="G217" i="5"/>
  <c r="Y140" i="28"/>
  <c r="G207" i="5"/>
  <c r="Y20" i="28"/>
  <c r="D5" i="21"/>
  <c r="I93" i="5"/>
  <c r="I101" i="5" s="1"/>
  <c r="I102" i="5" s="1"/>
  <c r="E114" i="15"/>
  <c r="E115" i="15" s="1"/>
  <c r="M252" i="5"/>
  <c r="L55" i="5"/>
  <c r="M27" i="17"/>
  <c r="H78" i="15"/>
  <c r="AC78" i="15" s="1"/>
  <c r="AH27" i="17"/>
  <c r="P173" i="5"/>
  <c r="O79" i="5"/>
  <c r="L164" i="5"/>
  <c r="M164" i="5" s="1"/>
  <c r="N164" i="5" s="1"/>
  <c r="O164" i="5" s="1"/>
  <c r="P164" i="5" s="1"/>
  <c r="Q164" i="5" s="1"/>
  <c r="R164" i="5" s="1"/>
  <c r="S164" i="5" s="1"/>
  <c r="T164" i="5" s="1"/>
  <c r="C101" i="5"/>
  <c r="X21" i="28"/>
  <c r="E104" i="15"/>
  <c r="AA29" i="28"/>
  <c r="H19" i="39"/>
  <c r="H20" i="16"/>
  <c r="H20" i="39" s="1"/>
  <c r="N51" i="5"/>
  <c r="M172" i="39" s="1"/>
  <c r="F267" i="5"/>
  <c r="X148" i="28"/>
  <c r="C115" i="39"/>
  <c r="D164" i="16"/>
  <c r="D115" i="39" s="1"/>
  <c r="C9" i="21"/>
  <c r="H118" i="1"/>
  <c r="Z47" i="29"/>
  <c r="E7" i="21"/>
  <c r="H21" i="5"/>
  <c r="H267" i="5"/>
  <c r="H274" i="5" s="1"/>
  <c r="H124" i="5"/>
  <c r="G98" i="22" s="1"/>
  <c r="H32" i="5"/>
  <c r="Z148" i="28"/>
  <c r="H307" i="5"/>
  <c r="H315" i="5" s="1"/>
  <c r="E76" i="21" s="1"/>
  <c r="E77" i="21" s="1"/>
  <c r="H82" i="1"/>
  <c r="H83" i="1" s="1"/>
  <c r="H84" i="1" s="1"/>
  <c r="Z21" i="28"/>
  <c r="H20" i="5"/>
  <c r="D7" i="21"/>
  <c r="G82" i="1"/>
  <c r="G83" i="1" s="1"/>
  <c r="G84" i="1" s="1"/>
  <c r="G32" i="5"/>
  <c r="Y148" i="28"/>
  <c r="Y21" i="28"/>
  <c r="G20" i="5"/>
  <c r="G307" i="5"/>
  <c r="G315" i="5" s="1"/>
  <c r="G21" i="5"/>
  <c r="G267" i="5"/>
  <c r="O11" i="1"/>
  <c r="F52" i="15"/>
  <c r="F53" i="15" s="1"/>
  <c r="F43" i="15"/>
  <c r="F8" i="24"/>
  <c r="Y248" i="28"/>
  <c r="F18" i="1"/>
  <c r="V77" i="29"/>
  <c r="AD80" i="32"/>
  <c r="G7" i="21"/>
  <c r="G15" i="21" s="1"/>
  <c r="G17" i="21" s="1"/>
  <c r="G19" i="21" s="1"/>
  <c r="J32" i="5"/>
  <c r="J110" i="5" s="1"/>
  <c r="AB21" i="28"/>
  <c r="AB148" i="28"/>
  <c r="J307" i="5"/>
  <c r="J315" i="5" s="1"/>
  <c r="J20" i="5"/>
  <c r="J267" i="5"/>
  <c r="J274" i="5" s="1"/>
  <c r="J82" i="1"/>
  <c r="J83" i="1" s="1"/>
  <c r="J84" i="1" s="1"/>
  <c r="F7" i="21"/>
  <c r="AA148" i="28"/>
  <c r="I20" i="5"/>
  <c r="I307" i="5"/>
  <c r="I267" i="5"/>
  <c r="I274" i="5" s="1"/>
  <c r="I32" i="5"/>
  <c r="I34" i="5" s="1"/>
  <c r="AA21" i="28"/>
  <c r="I82" i="1"/>
  <c r="I83" i="1" s="1"/>
  <c r="I84" i="1" s="1"/>
  <c r="AW233" i="35"/>
  <c r="AT168" i="35"/>
  <c r="Q27" i="20"/>
  <c r="L113" i="15" s="1"/>
  <c r="W113" i="15"/>
  <c r="Y245" i="28"/>
  <c r="F5" i="24"/>
  <c r="A26" i="15"/>
  <c r="B236" i="28"/>
  <c r="E92" i="25"/>
  <c r="F84" i="25"/>
  <c r="F92" i="25" s="1"/>
  <c r="E190" i="39"/>
  <c r="G109" i="5"/>
  <c r="B201" i="16"/>
  <c r="B152" i="39" s="1"/>
  <c r="Z83" i="15"/>
  <c r="Q11" i="1"/>
  <c r="H43" i="16"/>
  <c r="H57" i="39" s="1"/>
  <c r="H42" i="16"/>
  <c r="H56" i="39" s="1"/>
  <c r="G19" i="15"/>
  <c r="K60" i="17"/>
  <c r="G7" i="15"/>
  <c r="AC229" i="28" s="1"/>
  <c r="G40" i="15"/>
  <c r="H225" i="5"/>
  <c r="H207" i="5"/>
  <c r="E5" i="21"/>
  <c r="B237" i="28"/>
  <c r="A27" i="15"/>
  <c r="M209" i="5"/>
  <c r="N209" i="5" s="1"/>
  <c r="K45" i="16"/>
  <c r="H66" i="21"/>
  <c r="J59" i="39"/>
  <c r="AJ59" i="39" s="1"/>
  <c r="CX163" i="29"/>
  <c r="P11" i="1"/>
  <c r="C30" i="15"/>
  <c r="Y250" i="28" s="1"/>
  <c r="C22" i="15"/>
  <c r="Y242" i="28" s="1"/>
  <c r="F66" i="9"/>
  <c r="F67" i="9" s="1"/>
  <c r="C66" i="9" s="1"/>
  <c r="L49" i="17"/>
  <c r="M25" i="17"/>
  <c r="AH25" i="17"/>
  <c r="H76" i="15"/>
  <c r="AC76" i="15" s="1"/>
  <c r="M7" i="1"/>
  <c r="C202" i="5"/>
  <c r="C200" i="5" s="1"/>
  <c r="C121" i="5"/>
  <c r="M97" i="5"/>
  <c r="N247" i="5"/>
  <c r="H202" i="5"/>
  <c r="H200" i="5" s="1"/>
  <c r="G121" i="5"/>
  <c r="G127" i="5" s="1"/>
  <c r="G128" i="5" s="1"/>
  <c r="L204" i="5"/>
  <c r="L52" i="17"/>
  <c r="M28" i="17"/>
  <c r="K95" i="5"/>
  <c r="AC28" i="28" s="1"/>
  <c r="L251" i="5"/>
  <c r="G17" i="15"/>
  <c r="G5" i="15"/>
  <c r="AC227" i="28" s="1"/>
  <c r="G38" i="15"/>
  <c r="K58" i="17"/>
  <c r="J92" i="17"/>
  <c r="K54" i="39"/>
  <c r="AK54" i="39" s="1"/>
  <c r="L40" i="16"/>
  <c r="V63" i="29"/>
  <c r="AD59" i="32"/>
  <c r="AC36" i="29"/>
  <c r="Z63" i="29"/>
  <c r="BY7" i="35"/>
  <c r="CB7" i="35" s="1"/>
  <c r="BY6" i="35"/>
  <c r="CB6" i="35" s="1"/>
  <c r="CB13" i="35" s="1"/>
  <c r="BY5" i="35"/>
  <c r="CB5" i="35" s="1"/>
  <c r="CB12" i="35" s="1"/>
  <c r="D61" i="21"/>
  <c r="Y9" i="28"/>
  <c r="Y27" i="28" s="1"/>
  <c r="G303" i="5"/>
  <c r="I59" i="21"/>
  <c r="AD6" i="28"/>
  <c r="D105" i="5"/>
  <c r="D303" i="5"/>
  <c r="M26" i="17"/>
  <c r="L50" i="17"/>
  <c r="AH26" i="17"/>
  <c r="H77" i="15"/>
  <c r="AC77" i="15" s="1"/>
  <c r="M20" i="1"/>
  <c r="L39" i="1"/>
  <c r="AM39" i="29" s="1"/>
  <c r="H3" i="15"/>
  <c r="G90" i="15"/>
  <c r="L23" i="1"/>
  <c r="L22" i="1"/>
  <c r="H36" i="15"/>
  <c r="E61" i="21"/>
  <c r="Z167" i="28" s="1"/>
  <c r="Z9" i="28"/>
  <c r="Z27" i="28" s="1"/>
  <c r="H303" i="5"/>
  <c r="H105" i="5"/>
  <c r="B91" i="34"/>
  <c r="B93" i="34"/>
  <c r="B108" i="34"/>
  <c r="B92" i="34"/>
  <c r="B107" i="34"/>
  <c r="T49" i="29"/>
  <c r="W38" i="32"/>
  <c r="I47" i="5"/>
  <c r="H163" i="39"/>
  <c r="E101" i="5"/>
  <c r="E102" i="5" s="1"/>
  <c r="D206" i="5"/>
  <c r="E189" i="5"/>
  <c r="D189" i="5"/>
  <c r="M9" i="18"/>
  <c r="L11" i="18"/>
  <c r="L12" i="18" s="1"/>
  <c r="N184" i="5"/>
  <c r="F43" i="16"/>
  <c r="F57" i="39" s="1"/>
  <c r="F42" i="16"/>
  <c r="F56" i="39" s="1"/>
  <c r="F55" i="39"/>
  <c r="G43" i="16"/>
  <c r="G57" i="39" s="1"/>
  <c r="B105" i="34"/>
  <c r="B88" i="34"/>
  <c r="B89" i="34" s="1"/>
  <c r="N15" i="20"/>
  <c r="H108" i="15"/>
  <c r="D166" i="39"/>
  <c r="E114" i="5"/>
  <c r="I65" i="18"/>
  <c r="D124" i="15"/>
  <c r="V38" i="32"/>
  <c r="S49" i="29"/>
  <c r="J50" i="18"/>
  <c r="I139" i="5"/>
  <c r="F7" i="24"/>
  <c r="Y247" i="28"/>
  <c r="F98" i="15"/>
  <c r="K37" i="17"/>
  <c r="F99" i="15" s="1"/>
  <c r="N7" i="17"/>
  <c r="H38" i="39"/>
  <c r="H64" i="16"/>
  <c r="J217" i="5"/>
  <c r="J335" i="5"/>
  <c r="J338" i="5" s="1"/>
  <c r="J221" i="5"/>
  <c r="J12" i="5"/>
  <c r="I91" i="22" s="1"/>
  <c r="J30" i="5"/>
  <c r="J225" i="5"/>
  <c r="AB20" i="28"/>
  <c r="G5" i="21"/>
  <c r="AB140" i="28"/>
  <c r="J207" i="5"/>
  <c r="J21" i="5"/>
  <c r="A29" i="15"/>
  <c r="B239" i="28"/>
  <c r="G306" i="5"/>
  <c r="H266" i="5"/>
  <c r="D3" i="25"/>
  <c r="C3" i="25"/>
  <c r="B4" i="25"/>
  <c r="D11" i="25"/>
  <c r="D7" i="25"/>
  <c r="E12" i="24"/>
  <c r="D166" i="16"/>
  <c r="D117" i="39" s="1"/>
  <c r="C117" i="39"/>
  <c r="K53" i="17"/>
  <c r="K57" i="17"/>
  <c r="G4" i="15"/>
  <c r="G37" i="15"/>
  <c r="I217" i="5"/>
  <c r="F5" i="21"/>
  <c r="I12" i="5"/>
  <c r="H91" i="22" s="1"/>
  <c r="I335" i="5"/>
  <c r="I338" i="5" s="1"/>
  <c r="I30" i="5"/>
  <c r="I225" i="5"/>
  <c r="AA20" i="28"/>
  <c r="I221" i="5"/>
  <c r="AA140" i="28"/>
  <c r="I21" i="5"/>
  <c r="I207" i="5"/>
  <c r="L9" i="17"/>
  <c r="K12" i="17"/>
  <c r="H60" i="21"/>
  <c r="AC214" i="28" s="1"/>
  <c r="AC5" i="28"/>
  <c r="Z241" i="28"/>
  <c r="D31" i="15"/>
  <c r="Z251" i="28" s="1"/>
  <c r="D22" i="15"/>
  <c r="L68" i="17"/>
  <c r="L60" i="17"/>
  <c r="H7" i="15"/>
  <c r="AD229" i="28" s="1"/>
  <c r="G81" i="15"/>
  <c r="AB81" i="15" s="1"/>
  <c r="L28" i="18"/>
  <c r="Y232" i="28"/>
  <c r="AG29" i="29"/>
  <c r="AK30" i="29" s="1"/>
  <c r="AG13" i="29"/>
  <c r="J90" i="17"/>
  <c r="E105" i="15" s="1"/>
  <c r="I90" i="17"/>
  <c r="D105" i="15" s="1"/>
  <c r="D104" i="15"/>
  <c r="K30" i="18"/>
  <c r="K36" i="18" s="1"/>
  <c r="G80" i="15"/>
  <c r="L27" i="18"/>
  <c r="I64" i="16"/>
  <c r="I38" i="39"/>
  <c r="M24" i="17"/>
  <c r="L48" i="17"/>
  <c r="H75" i="15"/>
  <c r="AC75" i="15" s="1"/>
  <c r="AH24" i="17"/>
  <c r="L29" i="17"/>
  <c r="I19" i="39"/>
  <c r="I20" i="16"/>
  <c r="I20" i="39" s="1"/>
  <c r="E105" i="5"/>
  <c r="E32" i="15"/>
  <c r="AA242" i="28"/>
  <c r="F6" i="24"/>
  <c r="Y246" i="28"/>
  <c r="C214" i="34"/>
  <c r="C256" i="34"/>
  <c r="C210" i="34"/>
  <c r="K208" i="34"/>
  <c r="V47" i="29"/>
  <c r="Y37" i="32"/>
  <c r="V49" i="29"/>
  <c r="Y38" i="32"/>
  <c r="G107" i="1"/>
  <c r="H107" i="1"/>
  <c r="D6" i="37"/>
  <c r="C9" i="37"/>
  <c r="C6" i="37"/>
  <c r="D8" i="37"/>
  <c r="D9" i="37"/>
  <c r="C8" i="37"/>
  <c r="J79" i="18"/>
  <c r="J64" i="18"/>
  <c r="J66" i="18"/>
  <c r="J67" i="18" s="1"/>
  <c r="C255" i="34"/>
  <c r="C213" i="34"/>
  <c r="K207" i="34"/>
  <c r="K203" i="34"/>
  <c r="E119" i="15"/>
  <c r="E109" i="15"/>
  <c r="D43" i="25"/>
  <c r="D42" i="25"/>
  <c r="H90" i="17"/>
  <c r="C105" i="15" s="1"/>
  <c r="C114" i="5"/>
  <c r="B195" i="39" s="1"/>
  <c r="B166" i="39"/>
  <c r="B210" i="34"/>
  <c r="B216" i="34" s="1"/>
  <c r="B214" i="34"/>
  <c r="E202" i="39"/>
  <c r="X124" i="28"/>
  <c r="F124" i="5"/>
  <c r="E205" i="39" s="1"/>
  <c r="E303" i="5"/>
  <c r="C107" i="34"/>
  <c r="C92" i="34"/>
  <c r="C93" i="34"/>
  <c r="C91" i="34"/>
  <c r="C108" i="34"/>
  <c r="F11" i="24"/>
  <c r="Y251" i="28"/>
  <c r="I28" i="34"/>
  <c r="H41" i="34"/>
  <c r="F53" i="34"/>
  <c r="G15" i="15"/>
  <c r="J4" i="9"/>
  <c r="J8" i="9" s="1"/>
  <c r="J9" i="9" s="1"/>
  <c r="K41" i="1"/>
  <c r="K24" i="1" s="1"/>
  <c r="K40" i="1"/>
  <c r="F92" i="15" s="1"/>
  <c r="G46" i="15"/>
  <c r="CX39" i="29"/>
  <c r="F91" i="15"/>
  <c r="CX83" i="29"/>
  <c r="F110" i="15"/>
  <c r="L80" i="18"/>
  <c r="K78" i="18"/>
  <c r="K81" i="18"/>
  <c r="F61" i="21"/>
  <c r="I105" i="5"/>
  <c r="I303" i="5"/>
  <c r="AA9" i="28"/>
  <c r="AA27" i="28" s="1"/>
  <c r="D119" i="15"/>
  <c r="D93" i="5"/>
  <c r="D101" i="5" s="1"/>
  <c r="D102" i="5" s="1"/>
  <c r="C327" i="5"/>
  <c r="C328" i="5" s="1"/>
  <c r="AM148" i="29" l="1"/>
  <c r="AL146" i="29"/>
  <c r="AL119" i="29"/>
  <c r="AL39" i="29"/>
  <c r="P61" i="15"/>
  <c r="Q61" i="15" s="1"/>
  <c r="R61" i="15" s="1"/>
  <c r="U164" i="5"/>
  <c r="V164" i="5" s="1"/>
  <c r="X113" i="15"/>
  <c r="R27" i="20"/>
  <c r="R51" i="5"/>
  <c r="O9" i="21" s="1"/>
  <c r="S197" i="5"/>
  <c r="S16" i="1"/>
  <c r="N89" i="15" s="1"/>
  <c r="S48" i="16"/>
  <c r="S11" i="1"/>
  <c r="T10" i="1"/>
  <c r="U10" i="1" s="1"/>
  <c r="AC213" i="28"/>
  <c r="AC215" i="28" s="1"/>
  <c r="K176" i="39"/>
  <c r="AK176" i="39" s="1"/>
  <c r="AD197" i="28"/>
  <c r="E20" i="9"/>
  <c r="E173" i="39"/>
  <c r="F56" i="5"/>
  <c r="F66" i="16"/>
  <c r="F65" i="16"/>
  <c r="F51" i="39" s="1"/>
  <c r="G66" i="16"/>
  <c r="H65" i="16"/>
  <c r="H51" i="39" s="1"/>
  <c r="H66" i="16"/>
  <c r="I65" i="16"/>
  <c r="I51" i="39" s="1"/>
  <c r="I66" i="16"/>
  <c r="H50" i="39"/>
  <c r="H68" i="16"/>
  <c r="F50" i="39"/>
  <c r="F68" i="16"/>
  <c r="E50" i="39"/>
  <c r="E68" i="16"/>
  <c r="E69" i="16" s="1"/>
  <c r="I50" i="39"/>
  <c r="I68" i="16"/>
  <c r="K189" i="5"/>
  <c r="K190" i="5" s="1"/>
  <c r="L35" i="1"/>
  <c r="L37" i="1" s="1"/>
  <c r="M32" i="1" s="1"/>
  <c r="K106" i="16"/>
  <c r="C50" i="21"/>
  <c r="C126" i="34" s="1"/>
  <c r="D126" i="34" s="1"/>
  <c r="E126" i="34" s="1"/>
  <c r="F126" i="34" s="1"/>
  <c r="G126" i="34" s="1"/>
  <c r="H126" i="34" s="1"/>
  <c r="I126" i="34" s="1"/>
  <c r="J126" i="34" s="1"/>
  <c r="K126" i="34" s="1"/>
  <c r="F274" i="5"/>
  <c r="F275" i="5" s="1"/>
  <c r="F62" i="5" s="1"/>
  <c r="X17" i="28" s="1"/>
  <c r="J202" i="5"/>
  <c r="J200" i="5" s="1"/>
  <c r="Y33" i="28"/>
  <c r="AB33" i="28"/>
  <c r="AA33" i="28"/>
  <c r="Z33" i="28"/>
  <c r="F303" i="5"/>
  <c r="D106" i="39"/>
  <c r="G105" i="5"/>
  <c r="L8" i="16"/>
  <c r="M9" i="5" s="1"/>
  <c r="AE138" i="28" s="1"/>
  <c r="M99" i="18"/>
  <c r="L97" i="16" s="1"/>
  <c r="AE159" i="28" s="1"/>
  <c r="M92" i="18"/>
  <c r="M88" i="18" s="1"/>
  <c r="M20" i="20"/>
  <c r="L18" i="20"/>
  <c r="H8" i="15" s="1"/>
  <c r="AD230" i="28" s="1"/>
  <c r="N73" i="18"/>
  <c r="G201" i="5"/>
  <c r="K81" i="17"/>
  <c r="K91" i="17"/>
  <c r="K92" i="17" s="1"/>
  <c r="L41" i="18"/>
  <c r="H82" i="15"/>
  <c r="AC82" i="15" s="1"/>
  <c r="G94" i="15"/>
  <c r="P51" i="5"/>
  <c r="O172" i="39" s="1"/>
  <c r="M41" i="18"/>
  <c r="L96" i="5"/>
  <c r="J325" i="5"/>
  <c r="J326" i="5" s="1"/>
  <c r="J328" i="5" s="1"/>
  <c r="X9" i="28"/>
  <c r="X27" i="28" s="1"/>
  <c r="G274" i="5"/>
  <c r="G275" i="5" s="1"/>
  <c r="E43" i="25"/>
  <c r="C37" i="21" s="1"/>
  <c r="F65" i="15"/>
  <c r="F67" i="15" s="1"/>
  <c r="F68" i="15" s="1"/>
  <c r="F69" i="15"/>
  <c r="D115" i="15"/>
  <c r="AB232" i="28"/>
  <c r="N115" i="5"/>
  <c r="AF202" i="28" s="1"/>
  <c r="AE34" i="28"/>
  <c r="L196" i="39"/>
  <c r="AL196" i="39" s="1"/>
  <c r="AE118" i="28"/>
  <c r="M311" i="5"/>
  <c r="I20" i="9"/>
  <c r="D101" i="39"/>
  <c r="D20" i="9"/>
  <c r="G20" i="9"/>
  <c r="AG30" i="29"/>
  <c r="AR17" i="32"/>
  <c r="D125" i="15"/>
  <c r="J154" i="34"/>
  <c r="H20" i="9"/>
  <c r="G167" i="39"/>
  <c r="J52" i="5"/>
  <c r="H325" i="5"/>
  <c r="H326" i="5" s="1"/>
  <c r="H328" i="5" s="1"/>
  <c r="I167" i="39"/>
  <c r="E65" i="21"/>
  <c r="Z166" i="28" s="1"/>
  <c r="G49" i="15"/>
  <c r="D131" i="34"/>
  <c r="H201" i="5"/>
  <c r="F20" i="9"/>
  <c r="E67" i="15"/>
  <c r="E68" i="15" s="1"/>
  <c r="G59" i="37"/>
  <c r="J190" i="5"/>
  <c r="E69" i="15"/>
  <c r="O46" i="5"/>
  <c r="M166" i="39"/>
  <c r="AM166" i="39" s="1"/>
  <c r="G18" i="15"/>
  <c r="AC238" i="28" s="1"/>
  <c r="M88" i="5"/>
  <c r="AB9" i="28"/>
  <c r="AB27" i="28" s="1"/>
  <c r="C20" i="9"/>
  <c r="H339" i="5"/>
  <c r="K19" i="20"/>
  <c r="J109" i="16" s="1"/>
  <c r="G8" i="15"/>
  <c r="G41" i="15"/>
  <c r="G51" i="15" s="1"/>
  <c r="D11" i="15"/>
  <c r="M152" i="5"/>
  <c r="G61" i="21"/>
  <c r="AB167" i="28" s="1"/>
  <c r="C22" i="21"/>
  <c r="C23" i="21" s="1"/>
  <c r="C31" i="21" s="1"/>
  <c r="H190" i="5"/>
  <c r="G190" i="5"/>
  <c r="J105" i="5"/>
  <c r="N151" i="5"/>
  <c r="N152" i="5" s="1"/>
  <c r="H109" i="15"/>
  <c r="L54" i="1"/>
  <c r="C10" i="21"/>
  <c r="C12" i="21" s="1"/>
  <c r="E11" i="15"/>
  <c r="K42" i="18"/>
  <c r="G28" i="21"/>
  <c r="G30" i="21" s="1"/>
  <c r="C32" i="15"/>
  <c r="Y252" i="28" s="1"/>
  <c r="C6" i="21"/>
  <c r="F6" i="21"/>
  <c r="W10" i="15"/>
  <c r="F32" i="15"/>
  <c r="AB252" i="28" s="1"/>
  <c r="D119" i="5"/>
  <c r="C200" i="39" s="1"/>
  <c r="I339" i="5"/>
  <c r="F10" i="24"/>
  <c r="F34" i="5"/>
  <c r="K8" i="39"/>
  <c r="AK8" i="39" s="1"/>
  <c r="I190" i="5"/>
  <c r="B113" i="15"/>
  <c r="X25" i="28"/>
  <c r="X26" i="28" s="1"/>
  <c r="F320" i="5"/>
  <c r="F119" i="5"/>
  <c r="F120" i="5" s="1"/>
  <c r="I315" i="5"/>
  <c r="I316" i="5" s="1"/>
  <c r="AB250" i="28"/>
  <c r="C28" i="21"/>
  <c r="C30" i="21" s="1"/>
  <c r="X168" i="28"/>
  <c r="C19" i="21"/>
  <c r="G50" i="15"/>
  <c r="G339" i="5"/>
  <c r="Z250" i="28"/>
  <c r="C113" i="15"/>
  <c r="E6" i="21"/>
  <c r="M91" i="5"/>
  <c r="N210" i="5"/>
  <c r="N204" i="5" s="1"/>
  <c r="F234" i="5"/>
  <c r="F235" i="5" s="1"/>
  <c r="AB168" i="28"/>
  <c r="F57" i="5"/>
  <c r="E177" i="39" s="1"/>
  <c r="M204" i="5"/>
  <c r="G10" i="21"/>
  <c r="G12" i="21" s="1"/>
  <c r="G75" i="21" s="1"/>
  <c r="J53" i="39"/>
  <c r="AJ53" i="39" s="1"/>
  <c r="G22" i="21"/>
  <c r="G23" i="21" s="1"/>
  <c r="G31" i="21" s="1"/>
  <c r="K29" i="16"/>
  <c r="L94" i="18"/>
  <c r="K308" i="5"/>
  <c r="B202" i="16"/>
  <c r="B153" i="39" s="1"/>
  <c r="F325" i="5"/>
  <c r="F326" i="5" s="1"/>
  <c r="F328" i="5" s="1"/>
  <c r="G325" i="5"/>
  <c r="G326" i="5" s="1"/>
  <c r="G328" i="5" s="1"/>
  <c r="G52" i="5"/>
  <c r="G56" i="5" s="1"/>
  <c r="F167" i="39"/>
  <c r="E119" i="5"/>
  <c r="D200" i="39" s="1"/>
  <c r="H16" i="21"/>
  <c r="E167" i="39"/>
  <c r="K268" i="5"/>
  <c r="I121" i="5"/>
  <c r="I127" i="5" s="1"/>
  <c r="I128" i="5" s="1"/>
  <c r="I202" i="5"/>
  <c r="I200" i="5" s="1"/>
  <c r="K80" i="39"/>
  <c r="AD159" i="28"/>
  <c r="L88" i="18"/>
  <c r="M51" i="17"/>
  <c r="N27" i="17"/>
  <c r="M55" i="5"/>
  <c r="N252" i="5"/>
  <c r="Q173" i="5"/>
  <c r="P79" i="5"/>
  <c r="G6" i="21"/>
  <c r="G48" i="15"/>
  <c r="M52" i="17"/>
  <c r="N28" i="17"/>
  <c r="O247" i="5"/>
  <c r="N97" i="5"/>
  <c r="N25" i="17"/>
  <c r="M49" i="17"/>
  <c r="AW234" i="35"/>
  <c r="AT169" i="35"/>
  <c r="I275" i="5"/>
  <c r="AA32" i="28"/>
  <c r="E22" i="34"/>
  <c r="E47" i="34" s="1"/>
  <c r="J320" i="5"/>
  <c r="D15" i="21"/>
  <c r="D17" i="21" s="1"/>
  <c r="D10" i="21"/>
  <c r="D12" i="21" s="1"/>
  <c r="D75" i="21" s="1"/>
  <c r="D22" i="21"/>
  <c r="D23" i="21" s="1"/>
  <c r="D31" i="21" s="1"/>
  <c r="D6" i="21"/>
  <c r="H275" i="5"/>
  <c r="Z32" i="28"/>
  <c r="L61" i="17"/>
  <c r="L69" i="17"/>
  <c r="H5" i="15"/>
  <c r="AD227" i="28" s="1"/>
  <c r="H38" i="15"/>
  <c r="L58" i="17"/>
  <c r="L66" i="17"/>
  <c r="E15" i="21"/>
  <c r="E17" i="21" s="1"/>
  <c r="E10" i="21"/>
  <c r="E12" i="21" s="1"/>
  <c r="E75" i="21" s="1"/>
  <c r="E22" i="21"/>
  <c r="E23" i="21" s="1"/>
  <c r="E31" i="21" s="1"/>
  <c r="F202" i="39"/>
  <c r="G124" i="5"/>
  <c r="F98" i="22" s="1"/>
  <c r="Y124" i="28"/>
  <c r="B246" i="28"/>
  <c r="A37" i="15"/>
  <c r="A47" i="15" s="1"/>
  <c r="I202" i="39"/>
  <c r="CK206" i="29"/>
  <c r="D102" i="34"/>
  <c r="AB124" i="28"/>
  <c r="J124" i="5"/>
  <c r="I98" i="22" s="1"/>
  <c r="J33" i="5"/>
  <c r="AB25" i="28"/>
  <c r="J34" i="5"/>
  <c r="I191" i="39"/>
  <c r="L45" i="16"/>
  <c r="I66" i="21"/>
  <c r="K59" i="39"/>
  <c r="AK59" i="39" s="1"/>
  <c r="K39" i="16"/>
  <c r="G76" i="21"/>
  <c r="G77" i="21" s="1"/>
  <c r="AC239" i="28"/>
  <c r="G29" i="15"/>
  <c r="AC249" i="28" s="1"/>
  <c r="F15" i="21"/>
  <c r="F17" i="21" s="1"/>
  <c r="F22" i="21"/>
  <c r="F23" i="21" s="1"/>
  <c r="F31" i="21" s="1"/>
  <c r="F10" i="21"/>
  <c r="F12" i="21" s="1"/>
  <c r="F75" i="21" s="1"/>
  <c r="H320" i="5"/>
  <c r="H316" i="5"/>
  <c r="C22" i="34"/>
  <c r="G12" i="15"/>
  <c r="AC237" i="28"/>
  <c r="G27" i="15"/>
  <c r="AC247" i="28" s="1"/>
  <c r="N7" i="1"/>
  <c r="H109" i="5"/>
  <c r="F190" i="39"/>
  <c r="B202" i="39"/>
  <c r="C124" i="5"/>
  <c r="B205" i="39" s="1"/>
  <c r="B22" i="34"/>
  <c r="G320" i="5"/>
  <c r="D76" i="21"/>
  <c r="D77" i="21" s="1"/>
  <c r="G316" i="5"/>
  <c r="M251" i="5"/>
  <c r="L95" i="5"/>
  <c r="AD28" i="28" s="1"/>
  <c r="B247" i="28"/>
  <c r="A38" i="15"/>
  <c r="A48" i="15" s="1"/>
  <c r="AA25" i="28"/>
  <c r="I110" i="5"/>
  <c r="I33" i="5"/>
  <c r="AB32" i="28"/>
  <c r="J275" i="5"/>
  <c r="Y25" i="28"/>
  <c r="G34" i="5"/>
  <c r="G110" i="5"/>
  <c r="F191" i="39" s="1"/>
  <c r="G33" i="5"/>
  <c r="H33" i="5"/>
  <c r="H110" i="5"/>
  <c r="G191" i="39" s="1"/>
  <c r="Z25" i="28"/>
  <c r="H34" i="5"/>
  <c r="S16" i="40"/>
  <c r="G205" i="39"/>
  <c r="L54" i="39"/>
  <c r="AL54" i="39" s="1"/>
  <c r="M40" i="16"/>
  <c r="G98" i="15"/>
  <c r="L37" i="17"/>
  <c r="G99" i="15" s="1"/>
  <c r="G173" i="39"/>
  <c r="H234" i="5"/>
  <c r="H57" i="5"/>
  <c r="N243" i="5"/>
  <c r="M96" i="5"/>
  <c r="AD225" i="28"/>
  <c r="CC13" i="35"/>
  <c r="CD13" i="35"/>
  <c r="AA252" i="28"/>
  <c r="F118" i="15"/>
  <c r="F119" i="15" s="1"/>
  <c r="AB80" i="15"/>
  <c r="A40" i="15"/>
  <c r="A50" i="15" s="1"/>
  <c r="B249" i="28"/>
  <c r="G91" i="15"/>
  <c r="H15" i="15"/>
  <c r="L41" i="1"/>
  <c r="L24" i="1" s="1"/>
  <c r="H46" i="15"/>
  <c r="L40" i="1"/>
  <c r="G92" i="15" s="1"/>
  <c r="C131" i="34"/>
  <c r="C133" i="34"/>
  <c r="H81" i="15"/>
  <c r="AC81" i="15" s="1"/>
  <c r="L40" i="18"/>
  <c r="M28" i="18"/>
  <c r="O209" i="5"/>
  <c r="N88" i="5"/>
  <c r="AA167" i="28"/>
  <c r="F65" i="21"/>
  <c r="K66" i="1"/>
  <c r="K67" i="1" s="1"/>
  <c r="K68" i="1" s="1"/>
  <c r="CX110" i="29"/>
  <c r="K55" i="1"/>
  <c r="K46" i="1"/>
  <c r="K47" i="1" s="1"/>
  <c r="L63" i="1"/>
  <c r="K104" i="1"/>
  <c r="K105" i="1" s="1"/>
  <c r="K97" i="1"/>
  <c r="K98" i="1" s="1"/>
  <c r="J95" i="16"/>
  <c r="K23" i="5" s="1"/>
  <c r="AD54" i="27"/>
  <c r="AD55" i="27" s="1"/>
  <c r="L95" i="1"/>
  <c r="AH43" i="29"/>
  <c r="AJ44" i="29" s="1"/>
  <c r="AH40" i="29"/>
  <c r="AS32" i="32" s="1"/>
  <c r="J28" i="34"/>
  <c r="G53" i="34"/>
  <c r="I41" i="34"/>
  <c r="AB169" i="28"/>
  <c r="AB170" i="28" s="1"/>
  <c r="G20" i="21"/>
  <c r="B133" i="34"/>
  <c r="B131" i="34"/>
  <c r="B135" i="34" s="1"/>
  <c r="N20" i="1"/>
  <c r="M39" i="1"/>
  <c r="M54" i="1" s="1"/>
  <c r="I3" i="15"/>
  <c r="I36" i="15"/>
  <c r="M23" i="1"/>
  <c r="M22" i="1"/>
  <c r="H90" i="15"/>
  <c r="Y167" i="28"/>
  <c r="D65" i="21"/>
  <c r="J339" i="5"/>
  <c r="O184" i="5"/>
  <c r="L153" i="34"/>
  <c r="K154" i="34"/>
  <c r="N43" i="1"/>
  <c r="H94" i="15"/>
  <c r="L65" i="17"/>
  <c r="L53" i="17"/>
  <c r="AM53" i="29" s="1"/>
  <c r="H37" i="15"/>
  <c r="L57" i="17"/>
  <c r="H4" i="15"/>
  <c r="AD226" i="28" s="1"/>
  <c r="K79" i="18"/>
  <c r="J65" i="18"/>
  <c r="E124" i="15"/>
  <c r="E125" i="15" s="1"/>
  <c r="C58" i="37"/>
  <c r="B59" i="37" s="1"/>
  <c r="B60" i="37" s="1"/>
  <c r="B61" i="37" s="1"/>
  <c r="B62" i="37" s="1"/>
  <c r="B63" i="37" s="1"/>
  <c r="C63" i="37" s="1"/>
  <c r="B64" i="37" s="1"/>
  <c r="C65" i="37" s="1"/>
  <c r="C20" i="37"/>
  <c r="Q51" i="5"/>
  <c r="P172" i="39" s="1"/>
  <c r="N24" i="17"/>
  <c r="M48" i="17"/>
  <c r="M29" i="17"/>
  <c r="O29" i="18"/>
  <c r="N41" i="18"/>
  <c r="AC226" i="28"/>
  <c r="G56" i="15"/>
  <c r="B10" i="25"/>
  <c r="B8" i="25"/>
  <c r="B9" i="25" s="1"/>
  <c r="B12" i="25" s="1"/>
  <c r="B14" i="25" s="1"/>
  <c r="B58" i="25" s="1"/>
  <c r="D195" i="39"/>
  <c r="O15" i="20"/>
  <c r="I108" i="15"/>
  <c r="I109" i="15" s="1"/>
  <c r="E190" i="5"/>
  <c r="I60" i="21"/>
  <c r="AD5" i="28"/>
  <c r="AC235" i="28"/>
  <c r="G25" i="15"/>
  <c r="AC245" i="28" s="1"/>
  <c r="K30" i="20"/>
  <c r="K35" i="20" s="1"/>
  <c r="K36" i="20" s="1"/>
  <c r="CX84" i="29"/>
  <c r="M27" i="18"/>
  <c r="L39" i="18"/>
  <c r="H80" i="15"/>
  <c r="AC80" i="15" s="1"/>
  <c r="L30" i="18"/>
  <c r="D32" i="15"/>
  <c r="Z242" i="28"/>
  <c r="I86" i="21"/>
  <c r="M9" i="17"/>
  <c r="L12" i="17"/>
  <c r="G3" i="25"/>
  <c r="C4" i="25"/>
  <c r="I266" i="5"/>
  <c r="H306" i="5"/>
  <c r="O7" i="17"/>
  <c r="B143" i="34"/>
  <c r="B110" i="34"/>
  <c r="D121" i="5"/>
  <c r="E202" i="5"/>
  <c r="E200" i="5" s="1"/>
  <c r="D202" i="5"/>
  <c r="D200" i="5" s="1"/>
  <c r="D201" i="5" s="1"/>
  <c r="I325" i="5"/>
  <c r="I326" i="5" s="1"/>
  <c r="I328" i="5" s="1"/>
  <c r="H167" i="39"/>
  <c r="I52" i="5"/>
  <c r="I56" i="5" s="1"/>
  <c r="F190" i="5"/>
  <c r="L67" i="17"/>
  <c r="H6" i="15"/>
  <c r="AD228" i="28" s="1"/>
  <c r="L59" i="17"/>
  <c r="H39" i="15"/>
  <c r="D136" i="34"/>
  <c r="L81" i="18"/>
  <c r="L78" i="18"/>
  <c r="M80" i="18"/>
  <c r="C120" i="5"/>
  <c r="B201" i="39" s="1"/>
  <c r="D20" i="37"/>
  <c r="G6" i="37"/>
  <c r="C216" i="34"/>
  <c r="C258" i="34"/>
  <c r="K210" i="34"/>
  <c r="K62" i="17"/>
  <c r="J107" i="16" s="1"/>
  <c r="CX53" i="29"/>
  <c r="F100" i="15"/>
  <c r="K45" i="17"/>
  <c r="D4" i="25"/>
  <c r="H3" i="25"/>
  <c r="B111" i="34"/>
  <c r="N9" i="18"/>
  <c r="M11" i="18"/>
  <c r="M12" i="18" s="1"/>
  <c r="N26" i="17"/>
  <c r="M50" i="17"/>
  <c r="H19" i="15"/>
  <c r="G47" i="15"/>
  <c r="G16" i="15"/>
  <c r="CD12" i="35"/>
  <c r="CC12" i="35"/>
  <c r="L91" i="17" l="1"/>
  <c r="L92" i="17" s="1"/>
  <c r="AL40" i="29"/>
  <c r="AL43" i="29"/>
  <c r="AL44" i="29" s="1"/>
  <c r="AK44" i="29"/>
  <c r="AL147" i="29"/>
  <c r="AL148" i="29"/>
  <c r="AL53" i="29"/>
  <c r="AL57" i="29" s="1"/>
  <c r="S27" i="20"/>
  <c r="M113" i="15"/>
  <c r="T11" i="1"/>
  <c r="Q79" i="5"/>
  <c r="R173" i="5"/>
  <c r="U11" i="1"/>
  <c r="V10" i="1"/>
  <c r="V11" i="1" s="1"/>
  <c r="T48" i="16"/>
  <c r="T16" i="1"/>
  <c r="O89" i="15" s="1"/>
  <c r="T197" i="5"/>
  <c r="S51" i="5"/>
  <c r="P9" i="21" s="1"/>
  <c r="L176" i="39"/>
  <c r="AL176" i="39" s="1"/>
  <c r="AE197" i="28"/>
  <c r="AD214" i="28"/>
  <c r="AH44" i="29"/>
  <c r="AI44" i="29"/>
  <c r="J234" i="5"/>
  <c r="J235" i="5" s="1"/>
  <c r="J56" i="5"/>
  <c r="C39" i="21"/>
  <c r="I69" i="16"/>
  <c r="I70" i="16"/>
  <c r="F69" i="16"/>
  <c r="F70" i="16"/>
  <c r="G70" i="16"/>
  <c r="H69" i="16"/>
  <c r="H70" i="16"/>
  <c r="AM163" i="29"/>
  <c r="AL163" i="29" s="1"/>
  <c r="L192" i="5"/>
  <c r="L193" i="5" s="1"/>
  <c r="J201" i="5"/>
  <c r="M35" i="1"/>
  <c r="M37" i="1" s="1"/>
  <c r="N32" i="1" s="1"/>
  <c r="L106" i="16"/>
  <c r="X32" i="28"/>
  <c r="E182" i="39"/>
  <c r="L80" i="39"/>
  <c r="L8" i="39"/>
  <c r="AL8" i="39" s="1"/>
  <c r="G110" i="15"/>
  <c r="H41" i="15"/>
  <c r="L29" i="16"/>
  <c r="M16" i="5" s="1"/>
  <c r="AE145" i="28" s="1"/>
  <c r="O73" i="18"/>
  <c r="M94" i="18"/>
  <c r="N99" i="18"/>
  <c r="M97" i="16" s="1"/>
  <c r="AF159" i="28" s="1"/>
  <c r="M8" i="16"/>
  <c r="N9" i="5" s="1"/>
  <c r="AF138" i="28" s="1"/>
  <c r="N92" i="18"/>
  <c r="N88" i="18" s="1"/>
  <c r="L19" i="20"/>
  <c r="L26" i="20"/>
  <c r="N20" i="20"/>
  <c r="M18" i="20"/>
  <c r="L70" i="1"/>
  <c r="L72" i="1" s="1"/>
  <c r="AM110" i="29"/>
  <c r="AL110" i="29" s="1"/>
  <c r="L35" i="20"/>
  <c r="M35" i="20" s="1"/>
  <c r="CX69" i="29"/>
  <c r="K50" i="18"/>
  <c r="K55" i="18"/>
  <c r="F114" i="15"/>
  <c r="F115" i="15" s="1"/>
  <c r="Y32" i="28"/>
  <c r="C34" i="34"/>
  <c r="H32" i="34" s="1"/>
  <c r="H33" i="34" s="1"/>
  <c r="H35" i="34" s="1"/>
  <c r="J57" i="5"/>
  <c r="O151" i="5"/>
  <c r="P151" i="5" s="1"/>
  <c r="F70" i="15"/>
  <c r="N78" i="5"/>
  <c r="K6" i="16"/>
  <c r="L7" i="5" s="1"/>
  <c r="G28" i="15"/>
  <c r="AC248" i="28" s="1"/>
  <c r="L104" i="1"/>
  <c r="L105" i="1" s="1"/>
  <c r="G65" i="21"/>
  <c r="G67" i="21" s="1"/>
  <c r="G69" i="21" s="1"/>
  <c r="O115" i="5"/>
  <c r="AF34" i="28"/>
  <c r="AF118" i="28"/>
  <c r="N311" i="5"/>
  <c r="M196" i="39"/>
  <c r="AM196" i="39" s="1"/>
  <c r="E67" i="21"/>
  <c r="E69" i="21" s="1"/>
  <c r="F12" i="24"/>
  <c r="L189" i="5"/>
  <c r="K50" i="5"/>
  <c r="I173" i="39"/>
  <c r="E70" i="15"/>
  <c r="M95" i="1"/>
  <c r="G34" i="21"/>
  <c r="E70" i="21"/>
  <c r="X113" i="28"/>
  <c r="L58" i="1"/>
  <c r="AE54" i="27"/>
  <c r="AE55" i="27" s="1"/>
  <c r="H57" i="15"/>
  <c r="M63" i="1"/>
  <c r="M62" i="1" s="1"/>
  <c r="L46" i="1"/>
  <c r="L47" i="1" s="1"/>
  <c r="L62" i="1"/>
  <c r="L55" i="1"/>
  <c r="L87" i="1"/>
  <c r="K95" i="16" s="1"/>
  <c r="AD157" i="28" s="1"/>
  <c r="L97" i="1"/>
  <c r="L98" i="1" s="1"/>
  <c r="G9" i="15"/>
  <c r="G58" i="15" s="1"/>
  <c r="P46" i="5"/>
  <c r="N166" i="39"/>
  <c r="AN166" i="39" s="1"/>
  <c r="X31" i="28"/>
  <c r="K89" i="18"/>
  <c r="K90" i="18" s="1"/>
  <c r="K66" i="18"/>
  <c r="K67" i="18" s="1"/>
  <c r="I320" i="5"/>
  <c r="K43" i="18"/>
  <c r="J108" i="16" s="1"/>
  <c r="J110" i="16" s="1"/>
  <c r="G57" i="15"/>
  <c r="CX70" i="29"/>
  <c r="AC230" i="28"/>
  <c r="F33" i="15"/>
  <c r="G42" i="15"/>
  <c r="G43" i="15" s="1"/>
  <c r="F120" i="15"/>
  <c r="C34" i="21"/>
  <c r="D22" i="34"/>
  <c r="D47" i="34" s="1"/>
  <c r="E120" i="5"/>
  <c r="E122" i="5" s="1"/>
  <c r="D203" i="39" s="1"/>
  <c r="E200" i="39"/>
  <c r="F76" i="21"/>
  <c r="F77" i="21" s="1"/>
  <c r="J316" i="5"/>
  <c r="X118" i="28"/>
  <c r="D120" i="5"/>
  <c r="D122" i="5" s="1"/>
  <c r="C203" i="39" s="1"/>
  <c r="X169" i="28"/>
  <c r="X170" i="28" s="1"/>
  <c r="C20" i="21"/>
  <c r="I201" i="5"/>
  <c r="K134" i="5"/>
  <c r="K44" i="5"/>
  <c r="F61" i="5"/>
  <c r="X16" i="28" s="1"/>
  <c r="F258" i="5"/>
  <c r="J119" i="5"/>
  <c r="J120" i="5" s="1"/>
  <c r="I201" i="39" s="1"/>
  <c r="G234" i="5"/>
  <c r="G235" i="5" s="1"/>
  <c r="G57" i="5"/>
  <c r="F173" i="39"/>
  <c r="N91" i="5"/>
  <c r="O210" i="5"/>
  <c r="O204" i="5" s="1"/>
  <c r="H202" i="39"/>
  <c r="AA124" i="28"/>
  <c r="C102" i="34"/>
  <c r="I124" i="5"/>
  <c r="H98" i="22" s="1"/>
  <c r="L16" i="5"/>
  <c r="AD145" i="28" s="1"/>
  <c r="K27" i="39"/>
  <c r="AK27" i="39" s="1"/>
  <c r="O252" i="5"/>
  <c r="N55" i="5"/>
  <c r="K45" i="5"/>
  <c r="K160" i="5"/>
  <c r="O27" i="17"/>
  <c r="N51" i="17"/>
  <c r="M68" i="17"/>
  <c r="I7" i="15"/>
  <c r="AE229" i="28" s="1"/>
  <c r="M60" i="17"/>
  <c r="Z113" i="28"/>
  <c r="Z26" i="28"/>
  <c r="I205" i="39"/>
  <c r="F205" i="39"/>
  <c r="M95" i="5"/>
  <c r="AE28" i="28" s="1"/>
  <c r="N251" i="5"/>
  <c r="D28" i="21"/>
  <c r="Y168" i="28"/>
  <c r="D19" i="21"/>
  <c r="D73" i="21" s="1"/>
  <c r="I62" i="5"/>
  <c r="I276" i="5"/>
  <c r="O97" i="5"/>
  <c r="P247" i="5"/>
  <c r="H191" i="39"/>
  <c r="G190" i="39"/>
  <c r="I109" i="5"/>
  <c r="M45" i="16"/>
  <c r="L39" i="16"/>
  <c r="M192" i="5" s="1"/>
  <c r="M193" i="5" s="1"/>
  <c r="J66" i="21"/>
  <c r="L59" i="39"/>
  <c r="AL59" i="39" s="1"/>
  <c r="D88" i="34"/>
  <c r="D105" i="34"/>
  <c r="G119" i="5"/>
  <c r="H119" i="5"/>
  <c r="AW235" i="35"/>
  <c r="AT170" i="35"/>
  <c r="O28" i="17"/>
  <c r="N52" i="17"/>
  <c r="H48" i="15"/>
  <c r="H17" i="15"/>
  <c r="K53" i="39"/>
  <c r="AK53" i="39" s="1"/>
  <c r="L308" i="5"/>
  <c r="I16" i="21"/>
  <c r="AA113" i="28"/>
  <c r="AA26" i="28"/>
  <c r="O7" i="1"/>
  <c r="E28" i="21"/>
  <c r="E30" i="21" s="1"/>
  <c r="E34" i="21" s="1"/>
  <c r="E19" i="21"/>
  <c r="Z168" i="28"/>
  <c r="H62" i="5"/>
  <c r="H276" i="5"/>
  <c r="J62" i="5"/>
  <c r="J276" i="5"/>
  <c r="F19" i="21"/>
  <c r="F73" i="21" s="1"/>
  <c r="AA168" i="28"/>
  <c r="F28" i="21"/>
  <c r="F30" i="21" s="1"/>
  <c r="F34" i="21" s="1"/>
  <c r="O25" i="17"/>
  <c r="N49" i="17"/>
  <c r="G276" i="5"/>
  <c r="G62" i="5"/>
  <c r="M61" i="17"/>
  <c r="M69" i="17"/>
  <c r="Y113" i="28"/>
  <c r="Y26" i="28"/>
  <c r="AB26" i="28"/>
  <c r="AB113" i="28"/>
  <c r="I119" i="5"/>
  <c r="M58" i="17"/>
  <c r="I5" i="15"/>
  <c r="AE227" i="28" s="1"/>
  <c r="I38" i="15"/>
  <c r="M66" i="17"/>
  <c r="N40" i="16"/>
  <c r="M54" i="39"/>
  <c r="AM54" i="39" s="1"/>
  <c r="AH73" i="29"/>
  <c r="AH78" i="29"/>
  <c r="N9" i="17"/>
  <c r="M12" i="17"/>
  <c r="L42" i="18"/>
  <c r="K31" i="20"/>
  <c r="F111" i="15"/>
  <c r="F112" i="15" s="1"/>
  <c r="G20" i="15"/>
  <c r="K32" i="20"/>
  <c r="K33" i="20" s="1"/>
  <c r="H25" i="15"/>
  <c r="AD245" i="28" s="1"/>
  <c r="AD235" i="28"/>
  <c r="O243" i="5"/>
  <c r="N96" i="5"/>
  <c r="H18" i="15"/>
  <c r="H49" i="15"/>
  <c r="M67" i="17"/>
  <c r="I39" i="15"/>
  <c r="M59" i="17"/>
  <c r="I6" i="15"/>
  <c r="AE228" i="28" s="1"/>
  <c r="H6" i="37"/>
  <c r="G20" i="37"/>
  <c r="G58" i="37"/>
  <c r="F59" i="37" s="1"/>
  <c r="F60" i="37" s="1"/>
  <c r="F61" i="37" s="1"/>
  <c r="F62" i="37" s="1"/>
  <c r="F63" i="37" s="1"/>
  <c r="I234" i="5"/>
  <c r="H173" i="39"/>
  <c r="I57" i="5"/>
  <c r="H179" i="39"/>
  <c r="I306" i="5"/>
  <c r="J266" i="5"/>
  <c r="N27" i="18"/>
  <c r="M30" i="18"/>
  <c r="M39" i="18"/>
  <c r="M37" i="17"/>
  <c r="H99" i="15" s="1"/>
  <c r="H98" i="15"/>
  <c r="AE225" i="28"/>
  <c r="C136" i="34"/>
  <c r="H258" i="5"/>
  <c r="G177" i="39"/>
  <c r="H61" i="5"/>
  <c r="Z31" i="28"/>
  <c r="G26" i="15"/>
  <c r="AC246" i="28" s="1"/>
  <c r="AC236" i="28"/>
  <c r="N50" i="17"/>
  <c r="O26" i="17"/>
  <c r="H4" i="25"/>
  <c r="H5" i="25" s="1"/>
  <c r="D10" i="25"/>
  <c r="D8" i="25"/>
  <c r="D9" i="25" s="1"/>
  <c r="D12" i="25" s="1"/>
  <c r="D14" i="25" s="1"/>
  <c r="D58" i="25" s="1"/>
  <c r="N80" i="18"/>
  <c r="M78" i="18"/>
  <c r="M81" i="18"/>
  <c r="G4" i="25"/>
  <c r="G5" i="25" s="1"/>
  <c r="C10" i="25"/>
  <c r="C8" i="25"/>
  <c r="C9" i="25" s="1"/>
  <c r="C12" i="25" s="1"/>
  <c r="C14" i="25" s="1"/>
  <c r="C58" i="25" s="1"/>
  <c r="M65" i="17"/>
  <c r="M53" i="17"/>
  <c r="I37" i="15"/>
  <c r="M57" i="17"/>
  <c r="I4" i="15"/>
  <c r="AE226" i="28" s="1"/>
  <c r="B137" i="34"/>
  <c r="B136" i="34"/>
  <c r="H238" i="5"/>
  <c r="H235" i="5"/>
  <c r="AA166" i="28"/>
  <c r="F70" i="21"/>
  <c r="F67" i="21"/>
  <c r="F69" i="21" s="1"/>
  <c r="L79" i="18"/>
  <c r="D33" i="15"/>
  <c r="Z252" i="28"/>
  <c r="N48" i="17"/>
  <c r="O24" i="17"/>
  <c r="N29" i="17"/>
  <c r="L6" i="16"/>
  <c r="M104" i="1"/>
  <c r="M58" i="1"/>
  <c r="N63" i="1"/>
  <c r="M97" i="1"/>
  <c r="M55" i="1"/>
  <c r="M87" i="1"/>
  <c r="L95" i="16" s="1"/>
  <c r="N95" i="1"/>
  <c r="M46" i="1"/>
  <c r="AF54" i="27"/>
  <c r="AF55" i="27" s="1"/>
  <c r="M70" i="1"/>
  <c r="L154" i="34"/>
  <c r="M153" i="34"/>
  <c r="M154" i="34" s="1"/>
  <c r="Y166" i="28"/>
  <c r="D70" i="21"/>
  <c r="D67" i="21"/>
  <c r="D69" i="21" s="1"/>
  <c r="I46" i="15"/>
  <c r="M40" i="1"/>
  <c r="H92" i="15" s="1"/>
  <c r="M41" i="1"/>
  <c r="M24" i="1" s="1"/>
  <c r="H91" i="15"/>
  <c r="I15" i="15"/>
  <c r="O88" i="5"/>
  <c r="P209" i="5"/>
  <c r="K84" i="17"/>
  <c r="K71" i="17"/>
  <c r="F102" i="15" s="1"/>
  <c r="F103" i="15"/>
  <c r="CX54" i="29"/>
  <c r="F101" i="15"/>
  <c r="O9" i="18"/>
  <c r="N11" i="18"/>
  <c r="N12" i="18" s="1"/>
  <c r="P15" i="20"/>
  <c r="K108" i="15" s="1"/>
  <c r="J108" i="15"/>
  <c r="J109" i="15" s="1"/>
  <c r="O43" i="1"/>
  <c r="I94" i="15"/>
  <c r="N39" i="1"/>
  <c r="O20" i="1"/>
  <c r="I90" i="15"/>
  <c r="J3" i="15"/>
  <c r="N23" i="1"/>
  <c r="J36" i="15"/>
  <c r="N22" i="1"/>
  <c r="AH48" i="29"/>
  <c r="AH46" i="29"/>
  <c r="AH111" i="29"/>
  <c r="X123" i="28"/>
  <c r="F122" i="5"/>
  <c r="E203" i="39" s="1"/>
  <c r="E201" i="39"/>
  <c r="AD249" i="28"/>
  <c r="AD239" i="28"/>
  <c r="B118" i="34"/>
  <c r="B113" i="34"/>
  <c r="B117" i="34"/>
  <c r="B144" i="34"/>
  <c r="B145" i="34" s="1"/>
  <c r="B116" i="34"/>
  <c r="AH57" i="29"/>
  <c r="AH13" i="29"/>
  <c r="E201" i="5"/>
  <c r="F201" i="5"/>
  <c r="P29" i="18"/>
  <c r="O41" i="18"/>
  <c r="L62" i="17"/>
  <c r="K107" i="16" s="1"/>
  <c r="L45" i="17"/>
  <c r="G100" i="15"/>
  <c r="P184" i="5"/>
  <c r="H53" i="34"/>
  <c r="J41" i="34"/>
  <c r="K28" i="34"/>
  <c r="AC157" i="28"/>
  <c r="J78" i="39"/>
  <c r="K7" i="5"/>
  <c r="J6" i="39"/>
  <c r="AJ6" i="39" s="1"/>
  <c r="E33" i="15"/>
  <c r="H12" i="15"/>
  <c r="C202" i="39"/>
  <c r="D124" i="5"/>
  <c r="C205" i="39" s="1"/>
  <c r="P7" i="17"/>
  <c r="L36" i="18"/>
  <c r="G118" i="15"/>
  <c r="G119" i="15" s="1"/>
  <c r="L70" i="17"/>
  <c r="AM54" i="29" s="1"/>
  <c r="H47" i="15"/>
  <c r="H16" i="15"/>
  <c r="K313" i="5"/>
  <c r="CX136" i="29"/>
  <c r="M40" i="18"/>
  <c r="N28" i="18"/>
  <c r="H56" i="15"/>
  <c r="K89" i="17" l="1"/>
  <c r="K90" i="17" s="1"/>
  <c r="F105" i="15" s="1"/>
  <c r="AL46" i="29"/>
  <c r="AL47" i="29" s="1"/>
  <c r="AL48" i="29"/>
  <c r="AL49" i="29" s="1"/>
  <c r="AL111" i="29"/>
  <c r="AL54" i="29"/>
  <c r="T27" i="20"/>
  <c r="N113" i="15"/>
  <c r="T51" i="5"/>
  <c r="Q9" i="21" s="1"/>
  <c r="U197" i="5"/>
  <c r="U16" i="1"/>
  <c r="P89" i="15" s="1"/>
  <c r="U48" i="16"/>
  <c r="R79" i="5"/>
  <c r="S173" i="5"/>
  <c r="M176" i="39"/>
  <c r="AM176" i="39" s="1"/>
  <c r="AF197" i="28"/>
  <c r="J238" i="5"/>
  <c r="M286" i="5"/>
  <c r="M279" i="5" s="1"/>
  <c r="AH47" i="29"/>
  <c r="AS37" i="32"/>
  <c r="AH49" i="29"/>
  <c r="AS38" i="32"/>
  <c r="AH79" i="29"/>
  <c r="AS81" i="32"/>
  <c r="L132" i="16"/>
  <c r="L121" i="16" s="1"/>
  <c r="K132" i="16"/>
  <c r="K121" i="16" s="1"/>
  <c r="M189" i="5"/>
  <c r="M187" i="5" s="1"/>
  <c r="L187" i="5"/>
  <c r="I177" i="39"/>
  <c r="N35" i="1"/>
  <c r="N37" i="1" s="1"/>
  <c r="O32" i="1" s="1"/>
  <c r="M106" i="16"/>
  <c r="K109" i="15"/>
  <c r="K3" i="15"/>
  <c r="K36" i="15"/>
  <c r="O78" i="5"/>
  <c r="K27" i="16"/>
  <c r="L14" i="5" s="1"/>
  <c r="L75" i="1"/>
  <c r="L78" i="1"/>
  <c r="L313" i="5" s="1"/>
  <c r="O152" i="5"/>
  <c r="H51" i="15"/>
  <c r="L27" i="39"/>
  <c r="AL27" i="39" s="1"/>
  <c r="L73" i="1"/>
  <c r="O99" i="18"/>
  <c r="N97" i="16" s="1"/>
  <c r="N80" i="39" s="1"/>
  <c r="M8" i="39"/>
  <c r="AM8" i="39" s="1"/>
  <c r="O92" i="18"/>
  <c r="N29" i="16" s="1"/>
  <c r="N8" i="16"/>
  <c r="O9" i="5" s="1"/>
  <c r="AG138" i="28" s="1"/>
  <c r="P73" i="18"/>
  <c r="M29" i="16"/>
  <c r="N16" i="5" s="1"/>
  <c r="AF145" i="28" s="1"/>
  <c r="N94" i="18"/>
  <c r="M80" i="39"/>
  <c r="I41" i="15"/>
  <c r="H110" i="15"/>
  <c r="M19" i="20"/>
  <c r="I8" i="15"/>
  <c r="M26" i="20"/>
  <c r="O20" i="20"/>
  <c r="N18" i="20"/>
  <c r="AB31" i="28"/>
  <c r="J258" i="5"/>
  <c r="L25" i="20"/>
  <c r="L30" i="20"/>
  <c r="G114" i="15"/>
  <c r="G115" i="15" s="1"/>
  <c r="L53" i="18"/>
  <c r="AM70" i="29" s="1"/>
  <c r="AL70" i="29" s="1"/>
  <c r="F123" i="15"/>
  <c r="L66" i="18"/>
  <c r="L67" i="18" s="1"/>
  <c r="AM69" i="29"/>
  <c r="L66" i="1"/>
  <c r="L67" i="1" s="1"/>
  <c r="L68" i="1" s="1"/>
  <c r="AM136" i="29"/>
  <c r="G10" i="15"/>
  <c r="G69" i="15" s="1"/>
  <c r="AC231" i="28"/>
  <c r="J61" i="5"/>
  <c r="I181" i="39" s="1"/>
  <c r="K6" i="39"/>
  <c r="AK6" i="39" s="1"/>
  <c r="M47" i="1"/>
  <c r="M98" i="1"/>
  <c r="AC201" i="28"/>
  <c r="AG202" i="28"/>
  <c r="G70" i="21"/>
  <c r="M105" i="1"/>
  <c r="G74" i="21"/>
  <c r="AB166" i="28"/>
  <c r="G73" i="21"/>
  <c r="AG34" i="28"/>
  <c r="P115" i="5"/>
  <c r="AG118" i="28"/>
  <c r="N196" i="39"/>
  <c r="AN196" i="39" s="1"/>
  <c r="O311" i="5"/>
  <c r="K78" i="39"/>
  <c r="L50" i="5"/>
  <c r="G35" i="21"/>
  <c r="I200" i="39"/>
  <c r="AB123" i="28"/>
  <c r="J122" i="5"/>
  <c r="I203" i="39" s="1"/>
  <c r="AB122" i="28"/>
  <c r="AB118" i="28" s="1"/>
  <c r="G65" i="15"/>
  <c r="K179" i="5"/>
  <c r="K177" i="5" s="1"/>
  <c r="Q46" i="5"/>
  <c r="R46" i="5" s="1"/>
  <c r="S46" i="5" s="1"/>
  <c r="T46" i="5" s="1"/>
  <c r="U46" i="5" s="1"/>
  <c r="O166" i="39"/>
  <c r="AO166" i="39" s="1"/>
  <c r="D201" i="39"/>
  <c r="F121" i="15"/>
  <c r="F122" i="15" s="1"/>
  <c r="K59" i="18"/>
  <c r="K60" i="18" s="1"/>
  <c r="E181" i="39"/>
  <c r="C201" i="39"/>
  <c r="AC22" i="28"/>
  <c r="J164" i="39"/>
  <c r="AJ164" i="39" s="1"/>
  <c r="H205" i="39"/>
  <c r="C88" i="34"/>
  <c r="C105" i="34"/>
  <c r="O91" i="5"/>
  <c r="P210" i="5"/>
  <c r="P204" i="5" s="1"/>
  <c r="G61" i="5"/>
  <c r="Y31" i="28"/>
  <c r="F177" i="39"/>
  <c r="G258" i="5"/>
  <c r="N68" i="17"/>
  <c r="N60" i="17"/>
  <c r="J7" i="15"/>
  <c r="AF229" i="28" s="1"/>
  <c r="K269" i="5"/>
  <c r="J165" i="39"/>
  <c r="AJ165" i="39" s="1"/>
  <c r="AC23" i="28"/>
  <c r="H8" i="21"/>
  <c r="H29" i="21"/>
  <c r="H32" i="21" s="1"/>
  <c r="N35" i="20"/>
  <c r="H114" i="15"/>
  <c r="P27" i="17"/>
  <c r="O51" i="17"/>
  <c r="I19" i="15"/>
  <c r="P252" i="5"/>
  <c r="O55" i="5"/>
  <c r="I182" i="39"/>
  <c r="AB17" i="28"/>
  <c r="P28" i="17"/>
  <c r="O52" i="17"/>
  <c r="I17" i="15"/>
  <c r="I48" i="15"/>
  <c r="P7" i="1"/>
  <c r="AT171" i="35"/>
  <c r="AW236" i="35"/>
  <c r="L53" i="39"/>
  <c r="AL53" i="39" s="1"/>
  <c r="M308" i="5"/>
  <c r="J16" i="21"/>
  <c r="I56" i="15"/>
  <c r="J5" i="15"/>
  <c r="AF227" i="28" s="1"/>
  <c r="J38" i="15"/>
  <c r="N58" i="17"/>
  <c r="N66" i="17"/>
  <c r="M39" i="16"/>
  <c r="N192" i="5" s="1"/>
  <c r="N193" i="5" s="1"/>
  <c r="N45" i="16"/>
  <c r="M59" i="39"/>
  <c r="AM59" i="39" s="1"/>
  <c r="K66" i="21"/>
  <c r="AA17" i="28"/>
  <c r="H182" i="39"/>
  <c r="P25" i="17"/>
  <c r="O49" i="17"/>
  <c r="Z118" i="28"/>
  <c r="H120" i="5"/>
  <c r="G200" i="39"/>
  <c r="J109" i="5"/>
  <c r="H190" i="39"/>
  <c r="Y169" i="28"/>
  <c r="Y170" i="28" s="1"/>
  <c r="D20" i="21"/>
  <c r="D74" i="21" s="1"/>
  <c r="F35" i="21"/>
  <c r="Z17" i="28"/>
  <c r="G182" i="39"/>
  <c r="G120" i="5"/>
  <c r="Y118" i="28"/>
  <c r="F200" i="39"/>
  <c r="P97" i="5"/>
  <c r="Q247" i="5"/>
  <c r="AA118" i="28"/>
  <c r="H200" i="39"/>
  <c r="AD237" i="28"/>
  <c r="H27" i="15"/>
  <c r="AD247" i="28" s="1"/>
  <c r="D111" i="34"/>
  <c r="D135" i="34"/>
  <c r="D137" i="34"/>
  <c r="I120" i="5"/>
  <c r="B21" i="25"/>
  <c r="B22" i="25" s="1"/>
  <c r="B23" i="25" s="1"/>
  <c r="D30" i="21"/>
  <c r="D34" i="21" s="1"/>
  <c r="D35" i="21" s="1"/>
  <c r="N61" i="17"/>
  <c r="N69" i="17"/>
  <c r="I12" i="15"/>
  <c r="Y17" i="28"/>
  <c r="F182" i="39"/>
  <c r="AA169" i="28"/>
  <c r="AA170" i="28" s="1"/>
  <c r="F20" i="21"/>
  <c r="F74" i="21" s="1"/>
  <c r="E20" i="21"/>
  <c r="E74" i="21" s="1"/>
  <c r="Z169" i="28"/>
  <c r="Z170" i="28" s="1"/>
  <c r="E73" i="21"/>
  <c r="D89" i="34"/>
  <c r="D95" i="34"/>
  <c r="D97" i="34"/>
  <c r="D96" i="34"/>
  <c r="N95" i="5"/>
  <c r="AF28" i="28" s="1"/>
  <c r="O251" i="5"/>
  <c r="N54" i="39"/>
  <c r="AN54" i="39" s="1"/>
  <c r="O40" i="16"/>
  <c r="AC136" i="28"/>
  <c r="O39" i="1"/>
  <c r="P20" i="1"/>
  <c r="O23" i="1"/>
  <c r="O22" i="1"/>
  <c r="J90" i="15"/>
  <c r="AH137" i="29"/>
  <c r="AH139" i="29"/>
  <c r="N41" i="1"/>
  <c r="N24" i="1" s="1"/>
  <c r="I91" i="15"/>
  <c r="J15" i="15"/>
  <c r="N40" i="1"/>
  <c r="I92" i="15" s="1"/>
  <c r="J46" i="15"/>
  <c r="N37" i="17"/>
  <c r="I99" i="15" s="1"/>
  <c r="I98" i="15"/>
  <c r="O80" i="18"/>
  <c r="N78" i="18"/>
  <c r="N81" i="18"/>
  <c r="P26" i="17"/>
  <c r="O50" i="17"/>
  <c r="J306" i="5"/>
  <c r="K266" i="5"/>
  <c r="G63" i="37"/>
  <c r="F64" i="37"/>
  <c r="G65" i="37" s="1"/>
  <c r="O27" i="18"/>
  <c r="N30" i="18"/>
  <c r="N39" i="18"/>
  <c r="K86" i="17"/>
  <c r="K87" i="17" s="1"/>
  <c r="K85" i="17"/>
  <c r="L27" i="16"/>
  <c r="M72" i="1"/>
  <c r="M73" i="1"/>
  <c r="M78" i="1"/>
  <c r="M313" i="5" s="1"/>
  <c r="M75" i="1"/>
  <c r="O48" i="17"/>
  <c r="P24" i="17"/>
  <c r="O29" i="17"/>
  <c r="AD136" i="28"/>
  <c r="N67" i="17"/>
  <c r="N59" i="17"/>
  <c r="J6" i="15"/>
  <c r="AF228" i="28" s="1"/>
  <c r="J39" i="15"/>
  <c r="G42" i="37"/>
  <c r="H20" i="37"/>
  <c r="I18" i="15"/>
  <c r="I49" i="15"/>
  <c r="H28" i="15"/>
  <c r="AD248" i="28" s="1"/>
  <c r="AD238" i="28"/>
  <c r="K55" i="20"/>
  <c r="K56" i="20" s="1"/>
  <c r="CX122" i="29"/>
  <c r="J98" i="16"/>
  <c r="K26" i="5" s="1"/>
  <c r="K38" i="20"/>
  <c r="K39" i="20" s="1"/>
  <c r="K46" i="20"/>
  <c r="B167" i="16" s="1"/>
  <c r="N54" i="1"/>
  <c r="N65" i="17"/>
  <c r="J4" i="15"/>
  <c r="AF226" i="28" s="1"/>
  <c r="N53" i="17"/>
  <c r="N57" i="17"/>
  <c r="J37" i="15"/>
  <c r="Z16" i="28"/>
  <c r="G181" i="39"/>
  <c r="O9" i="17"/>
  <c r="N12" i="17"/>
  <c r="P43" i="1"/>
  <c r="K94" i="15" s="1"/>
  <c r="J94" i="15"/>
  <c r="P243" i="5"/>
  <c r="O96" i="5"/>
  <c r="G30" i="15"/>
  <c r="AC240" i="28"/>
  <c r="Q184" i="5"/>
  <c r="R184" i="5" s="1"/>
  <c r="S184" i="5" s="1"/>
  <c r="T184" i="5" s="1"/>
  <c r="U184" i="5" s="1"/>
  <c r="V184" i="5" s="1"/>
  <c r="H26" i="15"/>
  <c r="AD246" i="28" s="1"/>
  <c r="AD236" i="28"/>
  <c r="I53" i="34"/>
  <c r="L28" i="34"/>
  <c r="K41" i="34"/>
  <c r="AF225" i="28"/>
  <c r="P9" i="18"/>
  <c r="O11" i="18"/>
  <c r="O12" i="18" s="1"/>
  <c r="H9" i="21"/>
  <c r="AC30" i="28"/>
  <c r="J171" i="39"/>
  <c r="AJ171" i="39" s="1"/>
  <c r="M79" i="18"/>
  <c r="Q7" i="17"/>
  <c r="R7" i="17" s="1"/>
  <c r="Q29" i="18"/>
  <c r="P41" i="18"/>
  <c r="Q15" i="20"/>
  <c r="W108" i="15"/>
  <c r="W109" i="15" s="1"/>
  <c r="AE235" i="28"/>
  <c r="I25" i="15"/>
  <c r="AE245" i="28" s="1"/>
  <c r="AE157" i="28"/>
  <c r="L78" i="39"/>
  <c r="M7" i="5"/>
  <c r="L6" i="39"/>
  <c r="AL6" i="39" s="1"/>
  <c r="H100" i="15"/>
  <c r="M62" i="17"/>
  <c r="L107" i="16" s="1"/>
  <c r="M45" i="17"/>
  <c r="M42" i="18"/>
  <c r="M66" i="18" s="1"/>
  <c r="I61" i="5"/>
  <c r="AA31" i="28"/>
  <c r="H177" i="39"/>
  <c r="I258" i="5"/>
  <c r="I235" i="5"/>
  <c r="I238" i="5"/>
  <c r="N40" i="18"/>
  <c r="O28" i="18"/>
  <c r="K14" i="5"/>
  <c r="J25" i="39"/>
  <c r="AJ25" i="39" s="1"/>
  <c r="L84" i="17"/>
  <c r="L89" i="17" s="1"/>
  <c r="L90" i="17" s="1"/>
  <c r="G105" i="15" s="1"/>
  <c r="G101" i="15"/>
  <c r="L71" i="17"/>
  <c r="G102" i="15" s="1"/>
  <c r="L81" i="17"/>
  <c r="G103" i="15" s="1"/>
  <c r="AH76" i="29"/>
  <c r="AH71" i="29"/>
  <c r="AS75" i="32" s="1"/>
  <c r="AH74" i="29"/>
  <c r="AH157" i="29"/>
  <c r="AH158" i="29" s="1"/>
  <c r="AH55" i="29"/>
  <c r="AS54" i="32" s="1"/>
  <c r="AH58" i="29"/>
  <c r="Q209" i="5"/>
  <c r="R209" i="5" s="1"/>
  <c r="P88" i="5"/>
  <c r="M66" i="1"/>
  <c r="M67" i="1" s="1"/>
  <c r="M70" i="17"/>
  <c r="I16" i="15"/>
  <c r="I47" i="15"/>
  <c r="H118" i="15"/>
  <c r="H119" i="15" s="1"/>
  <c r="M36" i="18"/>
  <c r="G120" i="15"/>
  <c r="L43" i="18"/>
  <c r="K108" i="16" s="1"/>
  <c r="K110" i="16" s="1"/>
  <c r="H42" i="15"/>
  <c r="H43" i="15" s="1"/>
  <c r="L50" i="18"/>
  <c r="H9" i="15"/>
  <c r="L89" i="18"/>
  <c r="L90" i="18" s="1"/>
  <c r="P152" i="5"/>
  <c r="P78" i="5"/>
  <c r="Q151" i="5"/>
  <c r="R151" i="5" s="1"/>
  <c r="K171" i="39" l="1"/>
  <c r="AK171" i="39" s="1"/>
  <c r="L111" i="5"/>
  <c r="F104" i="15"/>
  <c r="AM10" i="29"/>
  <c r="AL10" i="29" s="1"/>
  <c r="AL55" i="29"/>
  <c r="AL58" i="29"/>
  <c r="AL69" i="29"/>
  <c r="AM9" i="29"/>
  <c r="AL9" i="29" s="1"/>
  <c r="AL13" i="29" s="1"/>
  <c r="AL136" i="29"/>
  <c r="AM139" i="29"/>
  <c r="AL74" i="29"/>
  <c r="AL76" i="29"/>
  <c r="AL77" i="29" s="1"/>
  <c r="R15" i="20"/>
  <c r="M108" i="15" s="1"/>
  <c r="L108" i="15"/>
  <c r="L109" i="15" s="1"/>
  <c r="U27" i="20"/>
  <c r="O113" i="15"/>
  <c r="K90" i="15"/>
  <c r="L36" i="15"/>
  <c r="L3" i="15"/>
  <c r="R78" i="5"/>
  <c r="S151" i="5"/>
  <c r="R152" i="5"/>
  <c r="S209" i="5"/>
  <c r="R88" i="5"/>
  <c r="Q41" i="18"/>
  <c r="R29" i="18"/>
  <c r="S7" i="17"/>
  <c r="Q97" i="5"/>
  <c r="R247" i="5"/>
  <c r="V46" i="5"/>
  <c r="T173" i="5"/>
  <c r="S79" i="5"/>
  <c r="V16" i="1"/>
  <c r="Q89" i="15" s="1"/>
  <c r="U51" i="5"/>
  <c r="R9" i="21" s="1"/>
  <c r="V197" i="5"/>
  <c r="V51" i="5" s="1"/>
  <c r="S9" i="21" s="1"/>
  <c r="N176" i="39"/>
  <c r="AN176" i="39" s="1"/>
  <c r="AG197" i="28"/>
  <c r="M280" i="5"/>
  <c r="J59" i="21"/>
  <c r="AE6" i="28"/>
  <c r="N286" i="5"/>
  <c r="N279" i="5" s="1"/>
  <c r="AH77" i="29"/>
  <c r="AS80" i="32"/>
  <c r="N189" i="5"/>
  <c r="N187" i="5" s="1"/>
  <c r="M132" i="16"/>
  <c r="M121" i="16" s="1"/>
  <c r="O35" i="1"/>
  <c r="O37" i="1" s="1"/>
  <c r="P32" i="1" s="1"/>
  <c r="N106" i="16"/>
  <c r="O54" i="1"/>
  <c r="O55" i="1" s="1"/>
  <c r="K15" i="15"/>
  <c r="K7" i="15"/>
  <c r="AG229" i="28" s="1"/>
  <c r="K5" i="15"/>
  <c r="AG227" i="28" s="1"/>
  <c r="K38" i="15"/>
  <c r="K46" i="15"/>
  <c r="K4" i="15"/>
  <c r="K37" i="15"/>
  <c r="K39" i="15"/>
  <c r="K6" i="15"/>
  <c r="AG228" i="28" s="1"/>
  <c r="AG225" i="28"/>
  <c r="K25" i="39"/>
  <c r="AK25" i="39" s="1"/>
  <c r="N58" i="1"/>
  <c r="AB16" i="28"/>
  <c r="O88" i="18"/>
  <c r="O8" i="16"/>
  <c r="O8" i="39" s="1"/>
  <c r="AO8" i="39" s="1"/>
  <c r="AG159" i="28"/>
  <c r="O94" i="18"/>
  <c r="P99" i="18"/>
  <c r="O97" i="16" s="1"/>
  <c r="AH159" i="28" s="1"/>
  <c r="M27" i="39"/>
  <c r="AM27" i="39" s="1"/>
  <c r="N8" i="39"/>
  <c r="AN8" i="39" s="1"/>
  <c r="P92" i="18"/>
  <c r="O29" i="16" s="1"/>
  <c r="P16" i="5" s="1"/>
  <c r="AH145" i="28" s="1"/>
  <c r="Q73" i="18"/>
  <c r="R73" i="18" s="1"/>
  <c r="O16" i="5"/>
  <c r="AG145" i="28" s="1"/>
  <c r="N27" i="39"/>
  <c r="AN27" i="39" s="1"/>
  <c r="AC232" i="28"/>
  <c r="G11" i="15"/>
  <c r="I110" i="15"/>
  <c r="J41" i="15"/>
  <c r="N19" i="20"/>
  <c r="J8" i="15"/>
  <c r="N26" i="20"/>
  <c r="P20" i="20"/>
  <c r="O18" i="20"/>
  <c r="L45" i="20"/>
  <c r="G111" i="15"/>
  <c r="G112" i="15" s="1"/>
  <c r="L31" i="20"/>
  <c r="L32" i="20"/>
  <c r="L33" i="20" s="1"/>
  <c r="H20" i="15"/>
  <c r="M25" i="20"/>
  <c r="I51" i="15"/>
  <c r="M30" i="20"/>
  <c r="I57" i="15"/>
  <c r="AE230" i="28"/>
  <c r="M67" i="18"/>
  <c r="H115" i="15"/>
  <c r="M68" i="1"/>
  <c r="M89" i="17"/>
  <c r="G104" i="15"/>
  <c r="M55" i="18"/>
  <c r="M53" i="18" s="1"/>
  <c r="G123" i="15"/>
  <c r="AH202" i="28"/>
  <c r="I9" i="21"/>
  <c r="AH34" i="28"/>
  <c r="P311" i="5"/>
  <c r="Q115" i="5"/>
  <c r="R115" i="5" s="1"/>
  <c r="O196" i="39"/>
  <c r="AO196" i="39" s="1"/>
  <c r="AH118" i="28"/>
  <c r="AD30" i="28"/>
  <c r="K180" i="5"/>
  <c r="K64" i="18"/>
  <c r="F124" i="15" s="1"/>
  <c r="F125" i="15" s="1"/>
  <c r="G21" i="15"/>
  <c r="AC241" i="28" s="1"/>
  <c r="K61" i="18"/>
  <c r="K62" i="18" s="1"/>
  <c r="G52" i="15"/>
  <c r="G53" i="15" s="1"/>
  <c r="P166" i="39"/>
  <c r="AP166" i="39" s="1"/>
  <c r="C89" i="34"/>
  <c r="C95" i="34"/>
  <c r="C96" i="34"/>
  <c r="C97" i="34"/>
  <c r="Y16" i="28"/>
  <c r="F181" i="39"/>
  <c r="M89" i="18"/>
  <c r="M90" i="18" s="1"/>
  <c r="P91" i="5"/>
  <c r="Q210" i="5"/>
  <c r="C111" i="34"/>
  <c r="C137" i="34"/>
  <c r="C135" i="34"/>
  <c r="Q27" i="17"/>
  <c r="R27" i="17" s="1"/>
  <c r="P51" i="17"/>
  <c r="L7" i="15" s="1"/>
  <c r="AH229" i="28" s="1"/>
  <c r="AE239" i="28"/>
  <c r="AE249" i="28"/>
  <c r="O35" i="20"/>
  <c r="I114" i="15"/>
  <c r="I115" i="15" s="1"/>
  <c r="O60" i="17"/>
  <c r="O68" i="17"/>
  <c r="K19" i="15" s="1"/>
  <c r="J19" i="15"/>
  <c r="Q252" i="5"/>
  <c r="P55" i="5"/>
  <c r="G122" i="5"/>
  <c r="F203" i="39" s="1"/>
  <c r="F201" i="39"/>
  <c r="Y123" i="28"/>
  <c r="Q7" i="1"/>
  <c r="R7" i="1" s="1"/>
  <c r="J56" i="15"/>
  <c r="H122" i="5"/>
  <c r="G203" i="39" s="1"/>
  <c r="Z123" i="28"/>
  <c r="G201" i="39"/>
  <c r="P251" i="5"/>
  <c r="O95" i="5"/>
  <c r="AG28" i="28" s="1"/>
  <c r="I27" i="15"/>
  <c r="AE247" i="28" s="1"/>
  <c r="AE237" i="28"/>
  <c r="N59" i="39"/>
  <c r="AN59" i="39" s="1"/>
  <c r="N39" i="16"/>
  <c r="O192" i="5" s="1"/>
  <c r="O193" i="5" s="1"/>
  <c r="O45" i="16"/>
  <c r="L66" i="21"/>
  <c r="O61" i="17"/>
  <c r="O69" i="17"/>
  <c r="H201" i="39"/>
  <c r="AA123" i="28"/>
  <c r="I122" i="5"/>
  <c r="H203" i="39" s="1"/>
  <c r="N308" i="5"/>
  <c r="M53" i="39"/>
  <c r="AM53" i="39" s="1"/>
  <c r="K16" i="21"/>
  <c r="P52" i="17"/>
  <c r="Q28" i="17"/>
  <c r="J12" i="15"/>
  <c r="O66" i="17"/>
  <c r="O58" i="17"/>
  <c r="J48" i="15"/>
  <c r="J17" i="15"/>
  <c r="D143" i="34"/>
  <c r="D110" i="34"/>
  <c r="D113" i="34" s="1"/>
  <c r="Q25" i="17"/>
  <c r="R25" i="17" s="1"/>
  <c r="P49" i="17"/>
  <c r="AT172" i="35"/>
  <c r="AW237" i="35"/>
  <c r="D118" i="34"/>
  <c r="D117" i="34"/>
  <c r="D120" i="34" s="1"/>
  <c r="D124" i="34" s="1"/>
  <c r="D127" i="34" s="1"/>
  <c r="D116" i="34"/>
  <c r="D144" i="34"/>
  <c r="K109" i="5"/>
  <c r="I190" i="39"/>
  <c r="E35" i="21"/>
  <c r="P40" i="16"/>
  <c r="O54" i="39"/>
  <c r="AO54" i="39" s="1"/>
  <c r="Q88" i="5"/>
  <c r="AH14" i="29"/>
  <c r="AH11" i="29"/>
  <c r="AS11" i="32" s="1"/>
  <c r="I9" i="15"/>
  <c r="M43" i="18"/>
  <c r="L108" i="16" s="1"/>
  <c r="L110" i="16" s="1"/>
  <c r="L103" i="16" s="1"/>
  <c r="M50" i="18"/>
  <c r="H120" i="15"/>
  <c r="I42" i="15"/>
  <c r="I43" i="15" s="1"/>
  <c r="N62" i="17"/>
  <c r="M107" i="16" s="1"/>
  <c r="I100" i="15"/>
  <c r="N45" i="17"/>
  <c r="K10" i="5"/>
  <c r="AC139" i="28" s="1"/>
  <c r="J9" i="39"/>
  <c r="AJ9" i="39" s="1"/>
  <c r="O30" i="18"/>
  <c r="P27" i="18"/>
  <c r="O39" i="18"/>
  <c r="O65" i="17"/>
  <c r="K16" i="15" s="1"/>
  <c r="O53" i="17"/>
  <c r="O57" i="17"/>
  <c r="H58" i="15"/>
  <c r="H65" i="15" s="1"/>
  <c r="AD231" i="28"/>
  <c r="H10" i="15"/>
  <c r="L85" i="17"/>
  <c r="L86" i="17"/>
  <c r="L87" i="17" s="1"/>
  <c r="AE136" i="28"/>
  <c r="M28" i="34"/>
  <c r="L41" i="34"/>
  <c r="J53" i="34"/>
  <c r="P9" i="17"/>
  <c r="O12" i="17"/>
  <c r="B118" i="39"/>
  <c r="D167" i="16"/>
  <c r="D118" i="39" s="1"/>
  <c r="O67" i="17"/>
  <c r="K18" i="15" s="1"/>
  <c r="O59" i="17"/>
  <c r="CX150" i="29"/>
  <c r="AE236" i="28"/>
  <c r="I26" i="15"/>
  <c r="AE246" i="28" s="1"/>
  <c r="F113" i="15"/>
  <c r="AC250" i="28"/>
  <c r="N70" i="17"/>
  <c r="J47" i="15"/>
  <c r="J16" i="15"/>
  <c r="J49" i="15"/>
  <c r="J18" i="15"/>
  <c r="K108" i="17"/>
  <c r="K109" i="17" s="1"/>
  <c r="K110" i="17" s="1"/>
  <c r="K99" i="17"/>
  <c r="B165" i="16" s="1"/>
  <c r="CX114" i="29"/>
  <c r="J96" i="16"/>
  <c r="K24" i="5" s="1"/>
  <c r="L10" i="5"/>
  <c r="AD139" i="28" s="1"/>
  <c r="K9" i="39"/>
  <c r="AK9" i="39" s="1"/>
  <c r="P50" i="17"/>
  <c r="Q26" i="17"/>
  <c r="R26" i="17" s="1"/>
  <c r="P39" i="1"/>
  <c r="L15" i="15" s="1"/>
  <c r="Q20" i="1"/>
  <c r="W90" i="15"/>
  <c r="P23" i="1"/>
  <c r="P22" i="1"/>
  <c r="H181" i="39"/>
  <c r="AA16" i="28"/>
  <c r="M50" i="5"/>
  <c r="N36" i="18"/>
  <c r="I118" i="15"/>
  <c r="I119" i="15" s="1"/>
  <c r="L266" i="5"/>
  <c r="K306" i="5"/>
  <c r="G121" i="15"/>
  <c r="G122" i="15" s="1"/>
  <c r="L59" i="18"/>
  <c r="M84" i="17"/>
  <c r="M71" i="17"/>
  <c r="H102" i="15" s="1"/>
  <c r="M81" i="17"/>
  <c r="H103" i="15" s="1"/>
  <c r="H101" i="15"/>
  <c r="M6" i="16"/>
  <c r="N87" i="1"/>
  <c r="M95" i="16" s="1"/>
  <c r="N46" i="1"/>
  <c r="N47" i="1" s="1"/>
  <c r="N97" i="1"/>
  <c r="N98" i="1" s="1"/>
  <c r="O63" i="1"/>
  <c r="N62" i="1"/>
  <c r="N104" i="1"/>
  <c r="N105" i="1" s="1"/>
  <c r="O95" i="1"/>
  <c r="N55" i="1"/>
  <c r="N70" i="1"/>
  <c r="J81" i="39"/>
  <c r="AC160" i="28"/>
  <c r="O40" i="1"/>
  <c r="J92" i="15" s="1"/>
  <c r="O41" i="1"/>
  <c r="O24" i="1" s="1"/>
  <c r="J91" i="15"/>
  <c r="Q152" i="5"/>
  <c r="Q78" i="5"/>
  <c r="AC143" i="28"/>
  <c r="K312" i="5"/>
  <c r="J192" i="39"/>
  <c r="AJ192" i="39" s="1"/>
  <c r="AC114" i="28"/>
  <c r="Q9" i="18"/>
  <c r="P11" i="18"/>
  <c r="P12" i="18" s="1"/>
  <c r="I28" i="15"/>
  <c r="AE248" i="28" s="1"/>
  <c r="AE238" i="28"/>
  <c r="N79" i="18"/>
  <c r="X108" i="15"/>
  <c r="X109" i="15" s="1"/>
  <c r="Q43" i="1"/>
  <c r="W94" i="15"/>
  <c r="K58" i="20"/>
  <c r="K59" i="20" s="1"/>
  <c r="K60" i="20" s="1"/>
  <c r="O37" i="17"/>
  <c r="J99" i="15" s="1"/>
  <c r="J98" i="15"/>
  <c r="M14" i="5"/>
  <c r="L25" i="39"/>
  <c r="AL25" i="39" s="1"/>
  <c r="G66" i="37"/>
  <c r="C75" i="37"/>
  <c r="O81" i="18"/>
  <c r="P80" i="18"/>
  <c r="O78" i="18"/>
  <c r="O40" i="18"/>
  <c r="P28" i="18"/>
  <c r="AD143" i="28"/>
  <c r="Q243" i="5"/>
  <c r="P96" i="5"/>
  <c r="P48" i="17"/>
  <c r="Q24" i="17"/>
  <c r="R24" i="17" s="1"/>
  <c r="P29" i="17"/>
  <c r="K98" i="15" s="1"/>
  <c r="N42" i="18"/>
  <c r="AF235" i="28"/>
  <c r="J25" i="15"/>
  <c r="AF245" i="28" s="1"/>
  <c r="S15" i="20" l="1"/>
  <c r="N108" i="15" s="1"/>
  <c r="N109" i="15" s="1"/>
  <c r="AL137" i="29"/>
  <c r="AL139" i="29"/>
  <c r="L69" i="1" s="1"/>
  <c r="AL157" i="29"/>
  <c r="AL158" i="29" s="1"/>
  <c r="AL73" i="29"/>
  <c r="AL78" i="29"/>
  <c r="AL79" i="29" s="1"/>
  <c r="AL11" i="29"/>
  <c r="AL14" i="29"/>
  <c r="AL71" i="29"/>
  <c r="AM11" i="29"/>
  <c r="L4" i="15"/>
  <c r="AH226" i="28" s="1"/>
  <c r="L37" i="15"/>
  <c r="R43" i="1"/>
  <c r="M94" i="15" s="1"/>
  <c r="L94" i="15"/>
  <c r="AH225" i="28"/>
  <c r="L46" i="15"/>
  <c r="R20" i="1"/>
  <c r="S20" i="1" s="1"/>
  <c r="M3" i="15"/>
  <c r="L90" i="15"/>
  <c r="M36" i="15"/>
  <c r="AH235" i="28"/>
  <c r="L25" i="15"/>
  <c r="AH245" i="28" s="1"/>
  <c r="L5" i="15"/>
  <c r="AH227" i="28" s="1"/>
  <c r="L38" i="15"/>
  <c r="L6" i="15"/>
  <c r="AH228" i="28" s="1"/>
  <c r="L39" i="15"/>
  <c r="V27" i="20"/>
  <c r="Q113" i="15" s="1"/>
  <c r="P113" i="15"/>
  <c r="M109" i="15"/>
  <c r="S115" i="5"/>
  <c r="S24" i="17"/>
  <c r="R48" i="17"/>
  <c r="Q96" i="5"/>
  <c r="R243" i="5"/>
  <c r="Q11" i="18"/>
  <c r="R9" i="18"/>
  <c r="R50" i="17"/>
  <c r="S26" i="17"/>
  <c r="P54" i="39"/>
  <c r="AP54" i="39" s="1"/>
  <c r="Q40" i="16"/>
  <c r="R40" i="16" s="1"/>
  <c r="S40" i="16" s="1"/>
  <c r="T40" i="16" s="1"/>
  <c r="U40" i="16" s="1"/>
  <c r="S25" i="17"/>
  <c r="R49" i="17"/>
  <c r="Q52" i="17"/>
  <c r="Q61" i="17" s="1"/>
  <c r="R28" i="17"/>
  <c r="R29" i="17" s="1"/>
  <c r="M98" i="15" s="1"/>
  <c r="S7" i="1"/>
  <c r="Q55" i="5"/>
  <c r="P176" i="39" s="1"/>
  <c r="AP176" i="39" s="1"/>
  <c r="R252" i="5"/>
  <c r="S27" i="17"/>
  <c r="R51" i="17"/>
  <c r="N7" i="15" s="1"/>
  <c r="AJ229" i="28" s="1"/>
  <c r="Q91" i="5"/>
  <c r="R210" i="5"/>
  <c r="R204" i="5" s="1"/>
  <c r="R311" i="5"/>
  <c r="AJ202" i="28"/>
  <c r="AJ34" i="28"/>
  <c r="AJ118" i="28"/>
  <c r="R99" i="18"/>
  <c r="Q97" i="16" s="1"/>
  <c r="AJ159" i="28" s="1"/>
  <c r="Q8" i="16"/>
  <c r="R9" i="5" s="1"/>
  <c r="S73" i="18"/>
  <c r="R92" i="18"/>
  <c r="R88" i="18" s="1"/>
  <c r="T79" i="5"/>
  <c r="U173" i="5"/>
  <c r="S247" i="5"/>
  <c r="R97" i="5"/>
  <c r="T7" i="17"/>
  <c r="R41" i="18"/>
  <c r="S29" i="18"/>
  <c r="T209" i="5"/>
  <c r="S88" i="5"/>
  <c r="S78" i="5"/>
  <c r="S152" i="5"/>
  <c r="T151" i="5"/>
  <c r="O176" i="39"/>
  <c r="AO176" i="39" s="1"/>
  <c r="AH197" i="28"/>
  <c r="O189" i="5"/>
  <c r="O187" i="5" s="1"/>
  <c r="O286" i="5"/>
  <c r="O279" i="5" s="1"/>
  <c r="AF6" i="28"/>
  <c r="K59" i="21"/>
  <c r="N280" i="5"/>
  <c r="J60" i="21"/>
  <c r="AE5" i="28"/>
  <c r="AD201" i="28"/>
  <c r="K122" i="16"/>
  <c r="N132" i="16"/>
  <c r="N121" i="16" s="1"/>
  <c r="L83" i="16"/>
  <c r="L86" i="39"/>
  <c r="P95" i="1"/>
  <c r="P63" i="1"/>
  <c r="O97" i="1"/>
  <c r="O98" i="1" s="1"/>
  <c r="P35" i="1"/>
  <c r="P37" i="1" s="1"/>
  <c r="Q32" i="1" s="1"/>
  <c r="O106" i="16"/>
  <c r="AM114" i="29"/>
  <c r="AL114" i="29" s="1"/>
  <c r="L95" i="17"/>
  <c r="O87" i="1"/>
  <c r="N95" i="16" s="1"/>
  <c r="N78" i="39" s="1"/>
  <c r="O104" i="1"/>
  <c r="O105" i="1" s="1"/>
  <c r="O46" i="1"/>
  <c r="O47" i="1" s="1"/>
  <c r="O62" i="1"/>
  <c r="O70" i="1"/>
  <c r="O66" i="1" s="1"/>
  <c r="O67" i="1" s="1"/>
  <c r="N6" i="16"/>
  <c r="O7" i="5" s="1"/>
  <c r="AG226" i="28"/>
  <c r="P54" i="1"/>
  <c r="P104" i="1" s="1"/>
  <c r="K91" i="15"/>
  <c r="K26" i="15"/>
  <c r="AG246" i="28" s="1"/>
  <c r="AG236" i="28"/>
  <c r="K12" i="15"/>
  <c r="K41" i="15"/>
  <c r="K8" i="15"/>
  <c r="K56" i="15"/>
  <c r="K48" i="15"/>
  <c r="K17" i="15"/>
  <c r="AG239" i="28"/>
  <c r="AG249" i="28"/>
  <c r="K28" i="15"/>
  <c r="AG248" i="28" s="1"/>
  <c r="AG238" i="28"/>
  <c r="K49" i="15"/>
  <c r="AG235" i="28"/>
  <c r="K25" i="15"/>
  <c r="AG245" i="28" s="1"/>
  <c r="K47" i="15"/>
  <c r="P9" i="5"/>
  <c r="AH138" i="28" s="1"/>
  <c r="O80" i="39"/>
  <c r="P88" i="18"/>
  <c r="P94" i="18"/>
  <c r="O27" i="39"/>
  <c r="AO27" i="39" s="1"/>
  <c r="Q92" i="18"/>
  <c r="Q99" i="18"/>
  <c r="P97" i="16" s="1"/>
  <c r="P8" i="16"/>
  <c r="L38" i="20"/>
  <c r="L39" i="20" s="1"/>
  <c r="L46" i="20"/>
  <c r="L62" i="20"/>
  <c r="L69" i="20"/>
  <c r="K98" i="16" s="1"/>
  <c r="L55" i="20"/>
  <c r="L56" i="20" s="1"/>
  <c r="M32" i="20"/>
  <c r="M33" i="20" s="1"/>
  <c r="M31" i="20"/>
  <c r="H111" i="15"/>
  <c r="H112" i="15" s="1"/>
  <c r="I20" i="15"/>
  <c r="M45" i="20"/>
  <c r="O19" i="20"/>
  <c r="J110" i="15"/>
  <c r="O26" i="20"/>
  <c r="Q20" i="20"/>
  <c r="P18" i="20"/>
  <c r="N25" i="20"/>
  <c r="N30" i="20"/>
  <c r="N45" i="20" s="1"/>
  <c r="J51" i="15"/>
  <c r="AD240" i="28"/>
  <c r="H30" i="15"/>
  <c r="AD250" i="28" s="1"/>
  <c r="J57" i="15"/>
  <c r="AF230" i="28"/>
  <c r="N55" i="18"/>
  <c r="N53" i="18" s="1"/>
  <c r="H123" i="15"/>
  <c r="H104" i="15"/>
  <c r="N89" i="17"/>
  <c r="K192" i="39"/>
  <c r="AK192" i="39" s="1"/>
  <c r="AD114" i="28"/>
  <c r="N66" i="1"/>
  <c r="N67" i="1" s="1"/>
  <c r="N68" i="1" s="1"/>
  <c r="N75" i="1"/>
  <c r="L312" i="5"/>
  <c r="AI202" i="28"/>
  <c r="G22" i="15"/>
  <c r="AC242" i="28" s="1"/>
  <c r="G31" i="15"/>
  <c r="AC251" i="28" s="1"/>
  <c r="AI34" i="28"/>
  <c r="Q311" i="5"/>
  <c r="P196" i="39"/>
  <c r="AP196" i="39" s="1"/>
  <c r="AI118" i="28"/>
  <c r="K65" i="18"/>
  <c r="N10" i="5"/>
  <c r="AF139" i="28" s="1"/>
  <c r="Q204" i="5"/>
  <c r="D145" i="34"/>
  <c r="C144" i="34"/>
  <c r="C118" i="34"/>
  <c r="C117" i="34"/>
  <c r="C120" i="34" s="1"/>
  <c r="C124" i="34" s="1"/>
  <c r="C127" i="34" s="1"/>
  <c r="C116" i="34"/>
  <c r="C143" i="34"/>
  <c r="C110" i="34"/>
  <c r="C113" i="34" s="1"/>
  <c r="P35" i="20"/>
  <c r="K114" i="15" s="1"/>
  <c r="J114" i="15"/>
  <c r="J115" i="15" s="1"/>
  <c r="Q51" i="17"/>
  <c r="M7" i="15" s="1"/>
  <c r="AI229" i="28" s="1"/>
  <c r="AI27" i="17"/>
  <c r="P68" i="17"/>
  <c r="L19" i="15" s="1"/>
  <c r="AH239" i="28" s="1"/>
  <c r="P60" i="17"/>
  <c r="AF239" i="28"/>
  <c r="AF249" i="28"/>
  <c r="O39" i="16"/>
  <c r="P192" i="5" s="1"/>
  <c r="P193" i="5" s="1"/>
  <c r="P45" i="16"/>
  <c r="Q45" i="16" s="1"/>
  <c r="O59" i="39"/>
  <c r="AO59" i="39" s="1"/>
  <c r="M66" i="21"/>
  <c r="L109" i="5"/>
  <c r="J190" i="39"/>
  <c r="AT173" i="35"/>
  <c r="AW238" i="35"/>
  <c r="O308" i="5"/>
  <c r="N53" i="39"/>
  <c r="AN53" i="39" s="1"/>
  <c r="L16" i="21"/>
  <c r="P66" i="17"/>
  <c r="L17" i="15" s="1"/>
  <c r="P58" i="17"/>
  <c r="AI25" i="17"/>
  <c r="Q49" i="17"/>
  <c r="P61" i="17"/>
  <c r="P69" i="17"/>
  <c r="AF237" i="28"/>
  <c r="J27" i="15"/>
  <c r="AF247" i="28" s="1"/>
  <c r="Q251" i="5"/>
  <c r="P95" i="5"/>
  <c r="AH28" i="28" s="1"/>
  <c r="Q28" i="18"/>
  <c r="P40" i="18"/>
  <c r="AE143" i="28"/>
  <c r="M27" i="16"/>
  <c r="N73" i="1"/>
  <c r="N78" i="1"/>
  <c r="N313" i="5" s="1"/>
  <c r="N72" i="1"/>
  <c r="L177" i="5"/>
  <c r="L180" i="5"/>
  <c r="AC158" i="28"/>
  <c r="J79" i="39"/>
  <c r="J100" i="16"/>
  <c r="J83" i="39" s="1"/>
  <c r="AD232" i="28"/>
  <c r="T10" i="15"/>
  <c r="H11" i="15"/>
  <c r="H69" i="15"/>
  <c r="M10" i="5"/>
  <c r="AE139" i="28" s="1"/>
  <c r="L9" i="39"/>
  <c r="AL9" i="39" s="1"/>
  <c r="Q50" i="17"/>
  <c r="AI26" i="17"/>
  <c r="AF157" i="28"/>
  <c r="M78" i="39"/>
  <c r="M86" i="17"/>
  <c r="M87" i="17" s="1"/>
  <c r="M85" i="17"/>
  <c r="M111" i="5"/>
  <c r="L171" i="39"/>
  <c r="AL171" i="39" s="1"/>
  <c r="AE30" i="28"/>
  <c r="J9" i="21"/>
  <c r="J26" i="15"/>
  <c r="AF246" i="28" s="1"/>
  <c r="AF236" i="28"/>
  <c r="K53" i="34"/>
  <c r="N28" i="34"/>
  <c r="O79" i="18"/>
  <c r="AM142" i="29"/>
  <c r="K7" i="16"/>
  <c r="L118" i="17"/>
  <c r="K96" i="16" s="1"/>
  <c r="AK48" i="16" s="1"/>
  <c r="L99" i="17"/>
  <c r="N50" i="18"/>
  <c r="J42" i="15"/>
  <c r="J43" i="15" s="1"/>
  <c r="I120" i="15"/>
  <c r="J9" i="15"/>
  <c r="N43" i="18"/>
  <c r="M108" i="16" s="1"/>
  <c r="M110" i="16" s="1"/>
  <c r="M103" i="16" s="1"/>
  <c r="N7" i="5"/>
  <c r="M6" i="39"/>
  <c r="AM6" i="39" s="1"/>
  <c r="H52" i="15"/>
  <c r="H53" i="15" s="1"/>
  <c r="L61" i="18"/>
  <c r="L62" i="18" s="1"/>
  <c r="L60" i="18"/>
  <c r="H21" i="15"/>
  <c r="L64" i="18"/>
  <c r="Q39" i="1"/>
  <c r="X90" i="15"/>
  <c r="Q22" i="1"/>
  <c r="Q23" i="1"/>
  <c r="AH62" i="29"/>
  <c r="AH64" i="29"/>
  <c r="AH115" i="29"/>
  <c r="O42" i="18"/>
  <c r="Q48" i="17"/>
  <c r="Q29" i="17"/>
  <c r="L98" i="15" s="1"/>
  <c r="AI24" i="17"/>
  <c r="J118" i="15"/>
  <c r="J119" i="15" s="1"/>
  <c r="O36" i="18"/>
  <c r="P37" i="17"/>
  <c r="W98" i="15"/>
  <c r="W91" i="15"/>
  <c r="P41" i="1"/>
  <c r="P24" i="1" s="1"/>
  <c r="P40" i="1"/>
  <c r="B116" i="39"/>
  <c r="D165" i="16"/>
  <c r="N84" i="17"/>
  <c r="N71" i="17"/>
  <c r="I102" i="15" s="1"/>
  <c r="I101" i="15"/>
  <c r="N81" i="17"/>
  <c r="I103" i="15" s="1"/>
  <c r="Q9" i="17"/>
  <c r="P12" i="17"/>
  <c r="Q27" i="18"/>
  <c r="R27" i="18" s="1"/>
  <c r="P30" i="18"/>
  <c r="K118" i="15" s="1"/>
  <c r="P39" i="18"/>
  <c r="AE231" i="28"/>
  <c r="I58" i="15"/>
  <c r="I65" i="15" s="1"/>
  <c r="I10" i="15"/>
  <c r="I69" i="15" s="1"/>
  <c r="P65" i="17"/>
  <c r="P53" i="17"/>
  <c r="K100" i="15" s="1"/>
  <c r="P57" i="17"/>
  <c r="P81" i="18"/>
  <c r="Q80" i="18"/>
  <c r="R80" i="18" s="1"/>
  <c r="R78" i="18" s="1"/>
  <c r="P78" i="18"/>
  <c r="X94" i="15"/>
  <c r="M266" i="5"/>
  <c r="L306" i="5"/>
  <c r="P67" i="17"/>
  <c r="L18" i="15" s="1"/>
  <c r="P59" i="17"/>
  <c r="K8" i="5"/>
  <c r="J7" i="39"/>
  <c r="AJ7" i="39" s="1"/>
  <c r="J10" i="16"/>
  <c r="M98" i="17"/>
  <c r="M95" i="17" s="1"/>
  <c r="N89" i="18"/>
  <c r="N90" i="18" s="1"/>
  <c r="N50" i="5"/>
  <c r="CX142" i="29"/>
  <c r="K17" i="5"/>
  <c r="AC146" i="28" s="1"/>
  <c r="J28" i="39"/>
  <c r="AJ28" i="39" s="1"/>
  <c r="J100" i="15"/>
  <c r="O62" i="17"/>
  <c r="N107" i="16" s="1"/>
  <c r="O45" i="17"/>
  <c r="N66" i="18"/>
  <c r="N67" i="18" s="1"/>
  <c r="Q12" i="18"/>
  <c r="J28" i="15"/>
  <c r="AF248" i="28" s="1"/>
  <c r="AF238" i="28"/>
  <c r="O70" i="17"/>
  <c r="H121" i="15"/>
  <c r="H122" i="15" s="1"/>
  <c r="M59" i="18"/>
  <c r="M64" i="18" s="1"/>
  <c r="Q69" i="17" l="1"/>
  <c r="L12" i="15"/>
  <c r="T15" i="20"/>
  <c r="O108" i="15" s="1"/>
  <c r="O109" i="15" s="1"/>
  <c r="S43" i="1"/>
  <c r="N94" i="15" s="1"/>
  <c r="R23" i="1"/>
  <c r="R22" i="1"/>
  <c r="R35" i="1" s="1"/>
  <c r="AL115" i="29"/>
  <c r="AL64" i="29"/>
  <c r="AL65" i="29" s="1"/>
  <c r="AL62" i="29"/>
  <c r="AL63" i="29" s="1"/>
  <c r="AL99" i="29"/>
  <c r="AL142" i="29"/>
  <c r="AM144" i="29"/>
  <c r="O3" i="15"/>
  <c r="N90" i="15"/>
  <c r="O36" i="15"/>
  <c r="AH237" i="28"/>
  <c r="L27" i="15"/>
  <c r="AH247" i="28" s="1"/>
  <c r="L56" i="15"/>
  <c r="N39" i="15"/>
  <c r="N6" i="15"/>
  <c r="AJ228" i="28" s="1"/>
  <c r="M6" i="15"/>
  <c r="AI228" i="28" s="1"/>
  <c r="M39" i="15"/>
  <c r="N4" i="15"/>
  <c r="AJ226" i="28" s="1"/>
  <c r="N37" i="15"/>
  <c r="AH238" i="28"/>
  <c r="L28" i="15"/>
  <c r="AH248" i="28" s="1"/>
  <c r="L16" i="15"/>
  <c r="L47" i="15"/>
  <c r="M37" i="15"/>
  <c r="M4" i="15"/>
  <c r="AI226" i="28" s="1"/>
  <c r="M15" i="15"/>
  <c r="L91" i="15"/>
  <c r="M46" i="15"/>
  <c r="R39" i="1"/>
  <c r="R54" i="1" s="1"/>
  <c r="L49" i="15"/>
  <c r="M5" i="15"/>
  <c r="AI227" i="28" s="1"/>
  <c r="M38" i="15"/>
  <c r="N38" i="15"/>
  <c r="N5" i="15"/>
  <c r="AJ227" i="28" s="1"/>
  <c r="AI225" i="28"/>
  <c r="K110" i="15"/>
  <c r="L8" i="15"/>
  <c r="AH230" i="28" s="1"/>
  <c r="L41" i="15"/>
  <c r="L48" i="15"/>
  <c r="N3" i="15"/>
  <c r="M90" i="15"/>
  <c r="N36" i="15"/>
  <c r="AI197" i="28"/>
  <c r="T115" i="5"/>
  <c r="R37" i="17"/>
  <c r="M99" i="15" s="1"/>
  <c r="U7" i="17"/>
  <c r="S9" i="18"/>
  <c r="R11" i="18"/>
  <c r="R12" i="18" s="1"/>
  <c r="R81" i="18"/>
  <c r="S80" i="18"/>
  <c r="S78" i="18" s="1"/>
  <c r="R39" i="18"/>
  <c r="S27" i="18"/>
  <c r="Q12" i="17"/>
  <c r="R9" i="17"/>
  <c r="Q40" i="18"/>
  <c r="R28" i="18"/>
  <c r="R30" i="18" s="1"/>
  <c r="M118" i="15" s="1"/>
  <c r="Q95" i="5"/>
  <c r="AI28" i="28" s="1"/>
  <c r="R251" i="5"/>
  <c r="Q39" i="16"/>
  <c r="O66" i="21"/>
  <c r="R45" i="16"/>
  <c r="Q18" i="20"/>
  <c r="R20" i="20"/>
  <c r="T78" i="5"/>
  <c r="U151" i="5"/>
  <c r="T152" i="5"/>
  <c r="U209" i="5"/>
  <c r="T88" i="5"/>
  <c r="S41" i="18"/>
  <c r="T29" i="18"/>
  <c r="S97" i="5"/>
  <c r="T247" i="5"/>
  <c r="V173" i="5"/>
  <c r="V79" i="5" s="1"/>
  <c r="U79" i="5"/>
  <c r="R94" i="18"/>
  <c r="Q29" i="16"/>
  <c r="R16" i="5" s="1"/>
  <c r="AJ145" i="28" s="1"/>
  <c r="S99" i="18"/>
  <c r="R97" i="16" s="1"/>
  <c r="AK159" i="28" s="1"/>
  <c r="R8" i="16"/>
  <c r="S9" i="5" s="1"/>
  <c r="AK138" i="28" s="1"/>
  <c r="T73" i="18"/>
  <c r="S92" i="18"/>
  <c r="S88" i="18" s="1"/>
  <c r="AJ138" i="28"/>
  <c r="S311" i="5"/>
  <c r="AK118" i="28"/>
  <c r="AK34" i="28"/>
  <c r="AK202" i="28"/>
  <c r="S210" i="5"/>
  <c r="S204" i="5" s="1"/>
  <c r="R91" i="5"/>
  <c r="R60" i="17"/>
  <c r="R68" i="17"/>
  <c r="N19" i="15" s="1"/>
  <c r="AJ239" i="28" s="1"/>
  <c r="S51" i="17"/>
  <c r="O7" i="15" s="1"/>
  <c r="AK229" i="28" s="1"/>
  <c r="T27" i="17"/>
  <c r="R55" i="5"/>
  <c r="AJ197" i="28" s="1"/>
  <c r="S252" i="5"/>
  <c r="T7" i="1"/>
  <c r="R52" i="17"/>
  <c r="R53" i="17" s="1"/>
  <c r="M100" i="15" s="1"/>
  <c r="S28" i="17"/>
  <c r="S29" i="17" s="1"/>
  <c r="R58" i="17"/>
  <c r="R66" i="17"/>
  <c r="N17" i="15" s="1"/>
  <c r="S49" i="17"/>
  <c r="T25" i="17"/>
  <c r="T26" i="17"/>
  <c r="S50" i="17"/>
  <c r="R59" i="17"/>
  <c r="R67" i="17"/>
  <c r="N18" i="15" s="1"/>
  <c r="S23" i="1"/>
  <c r="T20" i="1"/>
  <c r="S22" i="1"/>
  <c r="S39" i="1"/>
  <c r="R96" i="5"/>
  <c r="S243" i="5"/>
  <c r="R57" i="17"/>
  <c r="R65" i="17"/>
  <c r="N16" i="15" s="1"/>
  <c r="S48" i="17"/>
  <c r="T24" i="17"/>
  <c r="AE214" i="28"/>
  <c r="P189" i="5"/>
  <c r="P187" i="5" s="1"/>
  <c r="AF5" i="28"/>
  <c r="K60" i="21"/>
  <c r="L59" i="21"/>
  <c r="O280" i="5"/>
  <c r="AG6" i="28"/>
  <c r="P286" i="5"/>
  <c r="P279" i="5" s="1"/>
  <c r="AH65" i="29"/>
  <c r="AS60" i="32"/>
  <c r="AH63" i="29"/>
  <c r="AS59" i="32"/>
  <c r="AE201" i="28"/>
  <c r="L122" i="16"/>
  <c r="O132" i="16"/>
  <c r="O121" i="16" s="1"/>
  <c r="M83" i="16"/>
  <c r="M86" i="39"/>
  <c r="L68" i="39"/>
  <c r="AE151" i="28"/>
  <c r="P55" i="1"/>
  <c r="O6" i="16"/>
  <c r="O6" i="39" s="1"/>
  <c r="AO6" i="39" s="1"/>
  <c r="P70" i="1"/>
  <c r="O27" i="16" s="1"/>
  <c r="Q95" i="1"/>
  <c r="P87" i="1"/>
  <c r="O95" i="16" s="1"/>
  <c r="O78" i="39" s="1"/>
  <c r="P62" i="1"/>
  <c r="P97" i="1"/>
  <c r="P98" i="1" s="1"/>
  <c r="P46" i="1"/>
  <c r="P47" i="1" s="1"/>
  <c r="Q35" i="1"/>
  <c r="Q37" i="1" s="1"/>
  <c r="R32" i="1" s="1"/>
  <c r="P106" i="16"/>
  <c r="AG157" i="28"/>
  <c r="Q63" i="1"/>
  <c r="P105" i="1"/>
  <c r="O73" i="1"/>
  <c r="N27" i="16"/>
  <c r="N25" i="39" s="1"/>
  <c r="AN25" i="39" s="1"/>
  <c r="O72" i="1"/>
  <c r="K119" i="15"/>
  <c r="O78" i="1"/>
  <c r="O313" i="5" s="1"/>
  <c r="N6" i="39"/>
  <c r="AN6" i="39" s="1"/>
  <c r="K115" i="15"/>
  <c r="W92" i="15"/>
  <c r="K92" i="15"/>
  <c r="AG237" i="28"/>
  <c r="K27" i="15"/>
  <c r="AG247" i="28" s="1"/>
  <c r="K51" i="15"/>
  <c r="K42" i="15"/>
  <c r="K43" i="15" s="1"/>
  <c r="K9" i="15"/>
  <c r="K57" i="15"/>
  <c r="AG230" i="28"/>
  <c r="W99" i="15"/>
  <c r="K99" i="15"/>
  <c r="J19" i="16"/>
  <c r="J20" i="16" s="1"/>
  <c r="J20" i="39" s="1"/>
  <c r="J89" i="16"/>
  <c r="J72" i="39" s="1"/>
  <c r="P8" i="39"/>
  <c r="AP8" i="39" s="1"/>
  <c r="Q9" i="5"/>
  <c r="AI138" i="28" s="1"/>
  <c r="P80" i="39"/>
  <c r="AI159" i="28"/>
  <c r="Q88" i="18"/>
  <c r="P29" i="16"/>
  <c r="Q94" i="18"/>
  <c r="O68" i="1"/>
  <c r="N98" i="17"/>
  <c r="N62" i="20"/>
  <c r="N58" i="20" s="1"/>
  <c r="N59" i="20" s="1"/>
  <c r="N38" i="20"/>
  <c r="N46" i="20"/>
  <c r="N69" i="20"/>
  <c r="M98" i="16" s="1"/>
  <c r="AF160" i="28" s="1"/>
  <c r="N55" i="20"/>
  <c r="P26" i="20"/>
  <c r="W110" i="15"/>
  <c r="P19" i="20"/>
  <c r="O30" i="20"/>
  <c r="K20" i="15" s="1"/>
  <c r="O25" i="20"/>
  <c r="K81" i="39"/>
  <c r="AD160" i="28"/>
  <c r="L64" i="20"/>
  <c r="L58" i="20"/>
  <c r="L59" i="20" s="1"/>
  <c r="L60" i="20" s="1"/>
  <c r="M62" i="20"/>
  <c r="M46" i="20"/>
  <c r="M38" i="20"/>
  <c r="M39" i="20" s="1"/>
  <c r="M55" i="20"/>
  <c r="M56" i="20" s="1"/>
  <c r="M69" i="20"/>
  <c r="L98" i="16" s="1"/>
  <c r="N32" i="20"/>
  <c r="N33" i="20" s="1"/>
  <c r="I111" i="15"/>
  <c r="I112" i="15" s="1"/>
  <c r="J20" i="15"/>
  <c r="N31" i="20"/>
  <c r="AE240" i="28"/>
  <c r="I30" i="15"/>
  <c r="AE250" i="28" s="1"/>
  <c r="O89" i="17"/>
  <c r="I104" i="15"/>
  <c r="O55" i="18"/>
  <c r="O53" i="18" s="1"/>
  <c r="I123" i="15"/>
  <c r="G32" i="15"/>
  <c r="AC252" i="28" s="1"/>
  <c r="M9" i="39"/>
  <c r="AM9" i="39" s="1"/>
  <c r="P42" i="18"/>
  <c r="C145" i="34"/>
  <c r="Q60" i="17"/>
  <c r="Q68" i="17"/>
  <c r="M19" i="15" s="1"/>
  <c r="AI239" i="28" s="1"/>
  <c r="Q35" i="20"/>
  <c r="L114" i="15" s="1"/>
  <c r="L115" i="15" s="1"/>
  <c r="W114" i="15"/>
  <c r="W115" i="15" s="1"/>
  <c r="AT174" i="35"/>
  <c r="AW239" i="35"/>
  <c r="M109" i="5"/>
  <c r="K190" i="39"/>
  <c r="P39" i="16"/>
  <c r="Q192" i="5" s="1"/>
  <c r="Q193" i="5" s="1"/>
  <c r="P59" i="39"/>
  <c r="AP59" i="39" s="1"/>
  <c r="N66" i="21"/>
  <c r="Q58" i="17"/>
  <c r="Q66" i="17"/>
  <c r="M17" i="15" s="1"/>
  <c r="P308" i="5"/>
  <c r="O53" i="39"/>
  <c r="AO53" i="39" s="1"/>
  <c r="M16" i="21"/>
  <c r="AF136" i="28"/>
  <c r="Q67" i="17"/>
  <c r="M18" i="15" s="1"/>
  <c r="Q59" i="17"/>
  <c r="J15" i="39"/>
  <c r="AK7" i="16"/>
  <c r="K41" i="5"/>
  <c r="J10" i="39"/>
  <c r="AJ10" i="39" s="1"/>
  <c r="D207" i="34"/>
  <c r="J11" i="16"/>
  <c r="J11" i="39" s="1"/>
  <c r="AP19" i="16"/>
  <c r="AQ19" i="16" s="1"/>
  <c r="CX99" i="29"/>
  <c r="J58" i="15"/>
  <c r="J65" i="15" s="1"/>
  <c r="AF231" i="28"/>
  <c r="J10" i="15"/>
  <c r="AD158" i="28"/>
  <c r="K79" i="39"/>
  <c r="K100" i="16"/>
  <c r="K83" i="39" s="1"/>
  <c r="AE114" i="28"/>
  <c r="M312" i="5"/>
  <c r="L192" i="39"/>
  <c r="AL192" i="39" s="1"/>
  <c r="M60" i="18"/>
  <c r="I52" i="15"/>
  <c r="I53" i="15" s="1"/>
  <c r="I21" i="15"/>
  <c r="M61" i="18"/>
  <c r="M62" i="18" s="1"/>
  <c r="O50" i="5"/>
  <c r="O50" i="18"/>
  <c r="J120" i="15"/>
  <c r="O43" i="18"/>
  <c r="N108" i="16" s="1"/>
  <c r="N110" i="16" s="1"/>
  <c r="N103" i="16" s="1"/>
  <c r="X91" i="15"/>
  <c r="Q40" i="1"/>
  <c r="Q41" i="1"/>
  <c r="Q24" i="1" s="1"/>
  <c r="L8" i="5"/>
  <c r="K7" i="39"/>
  <c r="AK7" i="39" s="1"/>
  <c r="K10" i="16"/>
  <c r="O28" i="34"/>
  <c r="L53" i="34"/>
  <c r="AC137" i="28"/>
  <c r="K11" i="5"/>
  <c r="O84" i="17"/>
  <c r="J101" i="15"/>
  <c r="O81" i="17"/>
  <c r="J103" i="15" s="1"/>
  <c r="O71" i="17"/>
  <c r="J102" i="15" s="1"/>
  <c r="AH143" i="29"/>
  <c r="AH144" i="29"/>
  <c r="N180" i="5"/>
  <c r="N177" i="5"/>
  <c r="M112" i="17"/>
  <c r="L7" i="16"/>
  <c r="M118" i="17"/>
  <c r="L96" i="16" s="1"/>
  <c r="M91" i="17"/>
  <c r="M92" i="17" s="1"/>
  <c r="M99" i="17"/>
  <c r="W100" i="15"/>
  <c r="P62" i="17"/>
  <c r="O107" i="16" s="1"/>
  <c r="P45" i="17"/>
  <c r="P36" i="18"/>
  <c r="W118" i="15"/>
  <c r="W119" i="15" s="1"/>
  <c r="L65" i="18"/>
  <c r="G124" i="15"/>
  <c r="G125" i="15" s="1"/>
  <c r="N14" i="5"/>
  <c r="M25" i="39"/>
  <c r="AM25" i="39" s="1"/>
  <c r="M65" i="18"/>
  <c r="H124" i="15"/>
  <c r="K15" i="5"/>
  <c r="J26" i="39"/>
  <c r="AJ26" i="39" s="1"/>
  <c r="J32" i="16"/>
  <c r="M177" i="5"/>
  <c r="M180" i="5"/>
  <c r="Q54" i="1"/>
  <c r="P70" i="17"/>
  <c r="K101" i="15" s="1"/>
  <c r="Q30" i="18"/>
  <c r="L118" i="15" s="1"/>
  <c r="L119" i="15" s="1"/>
  <c r="Q39" i="18"/>
  <c r="AG136" i="28"/>
  <c r="AD241" i="28"/>
  <c r="H31" i="15"/>
  <c r="AD251" i="28" s="1"/>
  <c r="H22" i="15"/>
  <c r="N111" i="5"/>
  <c r="K9" i="21"/>
  <c r="AF30" i="28"/>
  <c r="M171" i="39"/>
  <c r="AM171" i="39" s="1"/>
  <c r="P79" i="18"/>
  <c r="N85" i="17"/>
  <c r="N86" i="17"/>
  <c r="N87" i="17" s="1"/>
  <c r="Q37" i="17"/>
  <c r="X98" i="15"/>
  <c r="O89" i="18"/>
  <c r="O90" i="18" s="1"/>
  <c r="P10" i="5"/>
  <c r="AH139" i="28" s="1"/>
  <c r="O9" i="39"/>
  <c r="AO9" i="39" s="1"/>
  <c r="K28" i="16"/>
  <c r="L114" i="17"/>
  <c r="N266" i="5"/>
  <c r="M306" i="5"/>
  <c r="Q81" i="18"/>
  <c r="Q78" i="18"/>
  <c r="R79" i="18" s="1"/>
  <c r="D116" i="39"/>
  <c r="D168" i="16"/>
  <c r="D119" i="39" s="1"/>
  <c r="Q65" i="17"/>
  <c r="M16" i="15" s="1"/>
  <c r="Q57" i="17"/>
  <c r="Q53" i="17"/>
  <c r="L100" i="15" s="1"/>
  <c r="L108" i="17"/>
  <c r="L109" i="17" s="1"/>
  <c r="L110" i="17" s="1"/>
  <c r="O66" i="18"/>
  <c r="O67" i="18" s="1"/>
  <c r="I11" i="15"/>
  <c r="AE232" i="28"/>
  <c r="N59" i="18"/>
  <c r="N64" i="18" s="1"/>
  <c r="I121" i="15"/>
  <c r="I122" i="15" s="1"/>
  <c r="U15" i="20" l="1"/>
  <c r="P108" i="15" s="1"/>
  <c r="P109" i="15" s="1"/>
  <c r="AJ74" i="16"/>
  <c r="AK82" i="16" s="1"/>
  <c r="X75" i="18"/>
  <c r="Q42" i="18"/>
  <c r="M42" i="15" s="1"/>
  <c r="Q106" i="16"/>
  <c r="T43" i="1"/>
  <c r="O94" i="15" s="1"/>
  <c r="R40" i="1"/>
  <c r="M92" i="15" s="1"/>
  <c r="R41" i="1"/>
  <c r="R24" i="1" s="1"/>
  <c r="M47" i="15"/>
  <c r="AL143" i="29"/>
  <c r="AL144" i="29"/>
  <c r="AL100" i="29"/>
  <c r="AL29" i="29"/>
  <c r="AL26" i="29"/>
  <c r="Q6" i="16"/>
  <c r="R7" i="5" s="1"/>
  <c r="R104" i="1"/>
  <c r="S95" i="1"/>
  <c r="R97" i="1"/>
  <c r="S63" i="1"/>
  <c r="R87" i="1"/>
  <c r="Q95" i="16" s="1"/>
  <c r="AJ157" i="28" s="1"/>
  <c r="R46" i="1"/>
  <c r="R70" i="1"/>
  <c r="R66" i="1" s="1"/>
  <c r="R67" i="1" s="1"/>
  <c r="M26" i="15"/>
  <c r="AI246" i="28" s="1"/>
  <c r="AI236" i="28"/>
  <c r="N91" i="15"/>
  <c r="O15" i="15"/>
  <c r="O46" i="15"/>
  <c r="O6" i="15"/>
  <c r="AK228" i="28" s="1"/>
  <c r="O39" i="15"/>
  <c r="L51" i="15"/>
  <c r="M48" i="15"/>
  <c r="N47" i="15"/>
  <c r="L57" i="15"/>
  <c r="L9" i="15"/>
  <c r="AH231" i="28" s="1"/>
  <c r="L42" i="15"/>
  <c r="M119" i="15"/>
  <c r="X92" i="15"/>
  <c r="L92" i="15"/>
  <c r="O4" i="15"/>
  <c r="AK226" i="28" s="1"/>
  <c r="O37" i="15"/>
  <c r="P36" i="15"/>
  <c r="P3" i="15"/>
  <c r="O90" i="15"/>
  <c r="M12" i="15"/>
  <c r="N12" i="15" s="1"/>
  <c r="M91" i="15"/>
  <c r="N15" i="15"/>
  <c r="N46" i="15"/>
  <c r="M49" i="15"/>
  <c r="AI237" i="28"/>
  <c r="M27" i="15"/>
  <c r="AI247" i="28" s="1"/>
  <c r="O5" i="15"/>
  <c r="O38" i="15"/>
  <c r="Q26" i="20"/>
  <c r="Q30" i="20" s="1"/>
  <c r="L110" i="15"/>
  <c r="M8" i="15"/>
  <c r="M41" i="15"/>
  <c r="R55" i="1"/>
  <c r="AJ236" i="28"/>
  <c r="N26" i="15"/>
  <c r="AJ246" i="28" s="1"/>
  <c r="AJ237" i="28"/>
  <c r="N27" i="15"/>
  <c r="AJ247" i="28" s="1"/>
  <c r="M56" i="15"/>
  <c r="AH236" i="28"/>
  <c r="L26" i="15"/>
  <c r="AH246" i="28" s="1"/>
  <c r="X99" i="15"/>
  <c r="L99" i="15"/>
  <c r="AI238" i="28"/>
  <c r="M28" i="15"/>
  <c r="AI248" i="28" s="1"/>
  <c r="AJ238" i="28"/>
  <c r="N28" i="15"/>
  <c r="AJ248" i="28" s="1"/>
  <c r="S37" i="17"/>
  <c r="N99" i="15" s="1"/>
  <c r="N98" i="15"/>
  <c r="AJ225" i="28"/>
  <c r="N56" i="15"/>
  <c r="N49" i="15"/>
  <c r="N48" i="15"/>
  <c r="AI235" i="28"/>
  <c r="M25" i="15"/>
  <c r="AI245" i="28" s="1"/>
  <c r="AK225" i="28"/>
  <c r="U115" i="5"/>
  <c r="X110" i="15"/>
  <c r="Q19" i="20"/>
  <c r="R36" i="18"/>
  <c r="R45" i="17"/>
  <c r="R62" i="17"/>
  <c r="Q107" i="16" s="1"/>
  <c r="S41" i="1"/>
  <c r="S24" i="1" s="1"/>
  <c r="S40" i="1"/>
  <c r="N92" i="15" s="1"/>
  <c r="R61" i="17"/>
  <c r="R69" i="17"/>
  <c r="R70" i="17" s="1"/>
  <c r="M101" i="15" s="1"/>
  <c r="U29" i="18"/>
  <c r="U41" i="18" s="1"/>
  <c r="T41" i="18"/>
  <c r="S20" i="20"/>
  <c r="R18" i="20"/>
  <c r="S54" i="1"/>
  <c r="S9" i="17"/>
  <c r="R12" i="17"/>
  <c r="T9" i="18"/>
  <c r="S11" i="18"/>
  <c r="S12" i="18" s="1"/>
  <c r="R37" i="1"/>
  <c r="S32" i="1" s="1"/>
  <c r="V7" i="17"/>
  <c r="R63" i="1"/>
  <c r="R62" i="1" s="1"/>
  <c r="R95" i="1"/>
  <c r="X114" i="15"/>
  <c r="X115" i="15" s="1"/>
  <c r="R35" i="20"/>
  <c r="M114" i="15" s="1"/>
  <c r="M115" i="15" s="1"/>
  <c r="T48" i="17"/>
  <c r="U24" i="17"/>
  <c r="S57" i="17"/>
  <c r="S65" i="17"/>
  <c r="O16" i="15" s="1"/>
  <c r="S96" i="5"/>
  <c r="T243" i="5"/>
  <c r="R106" i="16"/>
  <c r="S35" i="1"/>
  <c r="U20" i="1"/>
  <c r="T23" i="1"/>
  <c r="T22" i="1"/>
  <c r="T39" i="1"/>
  <c r="S59" i="17"/>
  <c r="S67" i="17"/>
  <c r="O18" i="15" s="1"/>
  <c r="T50" i="17"/>
  <c r="U26" i="17"/>
  <c r="T49" i="17"/>
  <c r="U25" i="17"/>
  <c r="S58" i="17"/>
  <c r="S66" i="17"/>
  <c r="O17" i="15" s="1"/>
  <c r="AK237" i="28" s="1"/>
  <c r="S52" i="17"/>
  <c r="S53" i="17" s="1"/>
  <c r="N100" i="15" s="1"/>
  <c r="T28" i="17"/>
  <c r="T29" i="17" s="1"/>
  <c r="U7" i="1"/>
  <c r="S55" i="5"/>
  <c r="AK197" i="28" s="1"/>
  <c r="T252" i="5"/>
  <c r="T51" i="17"/>
  <c r="P7" i="15" s="1"/>
  <c r="AL229" i="28" s="1"/>
  <c r="U27" i="17"/>
  <c r="S68" i="17"/>
  <c r="O19" i="15" s="1"/>
  <c r="AK239" i="28" s="1"/>
  <c r="S60" i="17"/>
  <c r="S91" i="5"/>
  <c r="T210" i="5"/>
  <c r="T204" i="5" s="1"/>
  <c r="T311" i="5"/>
  <c r="AL34" i="28"/>
  <c r="AL202" i="28"/>
  <c r="AL118" i="28"/>
  <c r="S94" i="18"/>
  <c r="R29" i="16"/>
  <c r="S16" i="5" s="1"/>
  <c r="AK145" i="28" s="1"/>
  <c r="S79" i="18"/>
  <c r="T99" i="18"/>
  <c r="S97" i="16" s="1"/>
  <c r="AL159" i="28" s="1"/>
  <c r="S8" i="16"/>
  <c r="T9" i="5" s="1"/>
  <c r="AL138" i="28" s="1"/>
  <c r="U73" i="18"/>
  <c r="T92" i="18"/>
  <c r="T88" i="18" s="1"/>
  <c r="T97" i="5"/>
  <c r="U247" i="5"/>
  <c r="V209" i="5"/>
  <c r="U88" i="5"/>
  <c r="U78" i="5"/>
  <c r="V151" i="5"/>
  <c r="U152" i="5"/>
  <c r="P66" i="21"/>
  <c r="S45" i="16"/>
  <c r="R39" i="16"/>
  <c r="O16" i="21"/>
  <c r="R192" i="5"/>
  <c r="R193" i="5" s="1"/>
  <c r="R308" i="5"/>
  <c r="R312" i="5" s="1"/>
  <c r="R95" i="5"/>
  <c r="AJ28" i="28" s="1"/>
  <c r="S251" i="5"/>
  <c r="R40" i="18"/>
  <c r="R42" i="18" s="1"/>
  <c r="S28" i="18"/>
  <c r="S30" i="18" s="1"/>
  <c r="S39" i="18"/>
  <c r="T27" i="18"/>
  <c r="S81" i="18"/>
  <c r="T80" i="18"/>
  <c r="T78" i="18" s="1"/>
  <c r="Q286" i="5"/>
  <c r="Q279" i="5" s="1"/>
  <c r="AF214" i="28"/>
  <c r="Q189" i="5"/>
  <c r="P280" i="5"/>
  <c r="M59" i="21"/>
  <c r="AH6" i="28"/>
  <c r="L60" i="21"/>
  <c r="AG5" i="28"/>
  <c r="AF201" i="28"/>
  <c r="M122" i="16"/>
  <c r="P132" i="16"/>
  <c r="P121" i="16" s="1"/>
  <c r="J161" i="39"/>
  <c r="AJ161" i="39" s="1"/>
  <c r="N83" i="16"/>
  <c r="N86" i="39"/>
  <c r="AF151" i="28"/>
  <c r="M68" i="39"/>
  <c r="P7" i="5"/>
  <c r="AH136" i="28" s="1"/>
  <c r="AH157" i="28"/>
  <c r="O14" i="5"/>
  <c r="AG143" i="28" s="1"/>
  <c r="P66" i="1"/>
  <c r="P67" i="1" s="1"/>
  <c r="P68" i="1" s="1"/>
  <c r="P73" i="1"/>
  <c r="P72" i="1"/>
  <c r="P78" i="1"/>
  <c r="P313" i="5" s="1"/>
  <c r="N112" i="17"/>
  <c r="N108" i="17" s="1"/>
  <c r="N109" i="17" s="1"/>
  <c r="N95" i="17"/>
  <c r="P89" i="18"/>
  <c r="P90" i="18" s="1"/>
  <c r="K120" i="15"/>
  <c r="K30" i="15"/>
  <c r="AG250" i="28" s="1"/>
  <c r="AG240" i="28"/>
  <c r="K58" i="15"/>
  <c r="K65" i="15" s="1"/>
  <c r="AG231" i="28"/>
  <c r="K10" i="15"/>
  <c r="K225" i="5"/>
  <c r="K221" i="5"/>
  <c r="K217" i="5"/>
  <c r="L217" i="5" s="1"/>
  <c r="M217" i="5" s="1"/>
  <c r="N217" i="5" s="1"/>
  <c r="O217" i="5" s="1"/>
  <c r="P217" i="5" s="1"/>
  <c r="Q217" i="5" s="1"/>
  <c r="R217" i="5" s="1"/>
  <c r="J19" i="39"/>
  <c r="N118" i="17"/>
  <c r="M96" i="16" s="1"/>
  <c r="AF158" i="28" s="1"/>
  <c r="M7" i="16"/>
  <c r="M10" i="16" s="1"/>
  <c r="M15" i="16" s="1"/>
  <c r="M15" i="39" s="1"/>
  <c r="Q16" i="5"/>
  <c r="AI145" i="28" s="1"/>
  <c r="P27" i="39"/>
  <c r="AP27" i="39" s="1"/>
  <c r="N91" i="17"/>
  <c r="N92" i="17" s="1"/>
  <c r="N56" i="20"/>
  <c r="N99" i="17"/>
  <c r="P30" i="20"/>
  <c r="L20" i="15" s="1"/>
  <c r="P25" i="20"/>
  <c r="M58" i="20"/>
  <c r="M59" i="20" s="1"/>
  <c r="M60" i="20" s="1"/>
  <c r="M64" i="20"/>
  <c r="J30" i="15"/>
  <c r="AF250" i="28" s="1"/>
  <c r="AF240" i="28"/>
  <c r="K28" i="39"/>
  <c r="AK28" i="39" s="1"/>
  <c r="L17" i="5"/>
  <c r="AD146" i="28" s="1"/>
  <c r="J111" i="15"/>
  <c r="J112" i="15" s="1"/>
  <c r="O32" i="20"/>
  <c r="O33" i="20" s="1"/>
  <c r="O31" i="20"/>
  <c r="M81" i="39"/>
  <c r="AE160" i="28"/>
  <c r="L81" i="39"/>
  <c r="N39" i="20"/>
  <c r="O45" i="20"/>
  <c r="N64" i="20"/>
  <c r="O98" i="17"/>
  <c r="J123" i="15"/>
  <c r="P55" i="18"/>
  <c r="P89" i="17"/>
  <c r="K104" i="15" s="1"/>
  <c r="J104" i="15"/>
  <c r="AK37" i="16"/>
  <c r="AL37" i="16" s="1"/>
  <c r="AM99" i="29"/>
  <c r="G33" i="15"/>
  <c r="AH100" i="29"/>
  <c r="P50" i="18"/>
  <c r="W120" i="15"/>
  <c r="P43" i="18"/>
  <c r="O108" i="16" s="1"/>
  <c r="O110" i="16" s="1"/>
  <c r="O103" i="16" s="1"/>
  <c r="P66" i="18"/>
  <c r="P67" i="18" s="1"/>
  <c r="H125" i="15"/>
  <c r="O10" i="5"/>
  <c r="AG139" i="28" s="1"/>
  <c r="N9" i="39"/>
  <c r="AN9" i="39" s="1"/>
  <c r="Q70" i="17"/>
  <c r="Q308" i="5"/>
  <c r="P53" i="39"/>
  <c r="AP53" i="39" s="1"/>
  <c r="N16" i="21"/>
  <c r="N109" i="5"/>
  <c r="L190" i="39"/>
  <c r="AW240" i="35"/>
  <c r="AT175" i="35"/>
  <c r="L203" i="34"/>
  <c r="L207" i="34"/>
  <c r="D213" i="34"/>
  <c r="D255" i="34"/>
  <c r="N61" i="18"/>
  <c r="N62" i="18" s="1"/>
  <c r="J52" i="15"/>
  <c r="J53" i="15" s="1"/>
  <c r="J21" i="15"/>
  <c r="N60" i="18"/>
  <c r="AD137" i="28"/>
  <c r="L11" i="5"/>
  <c r="O59" i="18"/>
  <c r="J121" i="15"/>
  <c r="J122" i="15" s="1"/>
  <c r="L28" i="16"/>
  <c r="M114" i="17"/>
  <c r="L15" i="5"/>
  <c r="K26" i="39"/>
  <c r="AK26" i="39" s="1"/>
  <c r="N65" i="18"/>
  <c r="I124" i="15"/>
  <c r="I125" i="15" s="1"/>
  <c r="J11" i="15"/>
  <c r="AF232" i="28"/>
  <c r="Q62" i="17"/>
  <c r="P107" i="16" s="1"/>
  <c r="Q45" i="17"/>
  <c r="X100" i="15"/>
  <c r="N306" i="5"/>
  <c r="O266" i="5"/>
  <c r="AF143" i="28"/>
  <c r="M108" i="17"/>
  <c r="M109" i="17" s="1"/>
  <c r="M110" i="17" s="1"/>
  <c r="O86" i="17"/>
  <c r="O87" i="17" s="1"/>
  <c r="O85" i="17"/>
  <c r="O177" i="5"/>
  <c r="O180" i="5"/>
  <c r="I31" i="15"/>
  <c r="AE251" i="28" s="1"/>
  <c r="AE241" i="28"/>
  <c r="I22" i="15"/>
  <c r="Q79" i="18"/>
  <c r="K88" i="16"/>
  <c r="X77" i="18" s="1"/>
  <c r="L41" i="5"/>
  <c r="E207" i="34"/>
  <c r="K15" i="16"/>
  <c r="K15" i="39" s="1"/>
  <c r="K11" i="16"/>
  <c r="K11" i="39" s="1"/>
  <c r="K10" i="39"/>
  <c r="AK10" i="39" s="1"/>
  <c r="P14" i="5"/>
  <c r="O25" i="39"/>
  <c r="AO25" i="39" s="1"/>
  <c r="AC20" i="28"/>
  <c r="AC140" i="28"/>
  <c r="K335" i="5"/>
  <c r="K338" i="5" s="1"/>
  <c r="K339" i="5" s="1"/>
  <c r="K12" i="5"/>
  <c r="J91" i="22" s="1"/>
  <c r="H5" i="21"/>
  <c r="O111" i="5"/>
  <c r="N171" i="39"/>
  <c r="AN171" i="39" s="1"/>
  <c r="AG30" i="28"/>
  <c r="L9" i="21"/>
  <c r="Q50" i="5"/>
  <c r="AC144" i="28"/>
  <c r="J69" i="15"/>
  <c r="Q36" i="18"/>
  <c r="X118" i="15"/>
  <c r="X119" i="15" s="1"/>
  <c r="P50" i="5"/>
  <c r="P84" i="17"/>
  <c r="P71" i="17"/>
  <c r="W101" i="15"/>
  <c r="P81" i="17"/>
  <c r="J52" i="16"/>
  <c r="CX128" i="29"/>
  <c r="J185" i="16"/>
  <c r="J136" i="39" s="1"/>
  <c r="J30" i="39"/>
  <c r="AJ30" i="39" s="1"/>
  <c r="AP20" i="16"/>
  <c r="AK8" i="16"/>
  <c r="J34" i="16"/>
  <c r="J32" i="39" s="1"/>
  <c r="J41" i="16"/>
  <c r="J35" i="39"/>
  <c r="D208" i="34"/>
  <c r="E87" i="34"/>
  <c r="K43" i="5"/>
  <c r="K47" i="5" s="1"/>
  <c r="J33" i="16"/>
  <c r="J31" i="39" s="1"/>
  <c r="AE158" i="28"/>
  <c r="L79" i="39"/>
  <c r="L100" i="16"/>
  <c r="L83" i="39" s="1"/>
  <c r="K28" i="5"/>
  <c r="AC195" i="28" s="1"/>
  <c r="AP24" i="16"/>
  <c r="AQ24" i="16" s="1"/>
  <c r="D209" i="34"/>
  <c r="AC154" i="28"/>
  <c r="J75" i="39"/>
  <c r="J71" i="39"/>
  <c r="AJ71" i="39" s="1"/>
  <c r="F21" i="34"/>
  <c r="F46" i="34" s="1"/>
  <c r="CX170" i="29"/>
  <c r="AC162" i="28"/>
  <c r="AK10" i="16"/>
  <c r="J181" i="16"/>
  <c r="J132" i="39" s="1"/>
  <c r="AF114" i="28"/>
  <c r="N312" i="5"/>
  <c r="M192" i="39"/>
  <c r="AM192" i="39" s="1"/>
  <c r="AD242" i="28"/>
  <c r="H32" i="15"/>
  <c r="T22" i="15"/>
  <c r="P6" i="16"/>
  <c r="Q87" i="1"/>
  <c r="P95" i="16" s="1"/>
  <c r="Q97" i="1"/>
  <c r="Q98" i="1" s="1"/>
  <c r="Q62" i="1"/>
  <c r="Q55" i="1"/>
  <c r="Q104" i="1"/>
  <c r="Q105" i="1" s="1"/>
  <c r="Q46" i="1"/>
  <c r="Q47" i="1" s="1"/>
  <c r="Q70" i="1"/>
  <c r="K18" i="5"/>
  <c r="AC147" i="28" s="1"/>
  <c r="CX154" i="29"/>
  <c r="J29" i="39"/>
  <c r="AJ29" i="39" s="1"/>
  <c r="M8" i="5"/>
  <c r="L7" i="39"/>
  <c r="AL7" i="39" s="1"/>
  <c r="L10" i="16"/>
  <c r="M53" i="34"/>
  <c r="P28" i="34"/>
  <c r="V15" i="20" l="1"/>
  <c r="Q108" i="15" s="1"/>
  <c r="Q109" i="15" s="1"/>
  <c r="X103" i="17"/>
  <c r="X63" i="1"/>
  <c r="R72" i="1"/>
  <c r="X101" i="17"/>
  <c r="X61" i="1"/>
  <c r="X120" i="15"/>
  <c r="Q66" i="18"/>
  <c r="Q67" i="18" s="1"/>
  <c r="Q89" i="18"/>
  <c r="Q90" i="18" s="1"/>
  <c r="Q27" i="16"/>
  <c r="R14" i="5" s="1"/>
  <c r="L120" i="15"/>
  <c r="Q43" i="18"/>
  <c r="P108" i="16" s="1"/>
  <c r="P110" i="16" s="1"/>
  <c r="P103" i="16" s="1"/>
  <c r="Q50" i="18"/>
  <c r="M9" i="15"/>
  <c r="M10" i="15" s="1"/>
  <c r="AI232" i="28" s="1"/>
  <c r="M51" i="15"/>
  <c r="U43" i="1"/>
  <c r="P94" i="15" s="1"/>
  <c r="R73" i="1"/>
  <c r="V29" i="18"/>
  <c r="V41" i="18" s="1"/>
  <c r="R78" i="1"/>
  <c r="R313" i="5" s="1"/>
  <c r="O56" i="15"/>
  <c r="Q25" i="20"/>
  <c r="S36" i="18"/>
  <c r="N118" i="15"/>
  <c r="N119" i="15" s="1"/>
  <c r="P6" i="15"/>
  <c r="AL228" i="28" s="1"/>
  <c r="P39" i="15"/>
  <c r="M110" i="15"/>
  <c r="N8" i="15"/>
  <c r="N41" i="15"/>
  <c r="AL225" i="28"/>
  <c r="L43" i="15"/>
  <c r="N9" i="15"/>
  <c r="M120" i="15"/>
  <c r="N42" i="15"/>
  <c r="T37" i="17"/>
  <c r="O99" i="15" s="1"/>
  <c r="O98" i="15"/>
  <c r="AK238" i="28"/>
  <c r="O28" i="15"/>
  <c r="AK248" i="28" s="1"/>
  <c r="O49" i="15"/>
  <c r="L10" i="15"/>
  <c r="AI230" i="28"/>
  <c r="M57" i="15"/>
  <c r="O47" i="15"/>
  <c r="T54" i="1"/>
  <c r="T55" i="1" s="1"/>
  <c r="P46" i="15"/>
  <c r="P15" i="15"/>
  <c r="O91" i="15"/>
  <c r="O26" i="15"/>
  <c r="AK246" i="28" s="1"/>
  <c r="AK236" i="28"/>
  <c r="M43" i="15"/>
  <c r="Q84" i="17"/>
  <c r="Q85" i="17" s="1"/>
  <c r="L101" i="15"/>
  <c r="X111" i="15"/>
  <c r="L111" i="15"/>
  <c r="M20" i="15"/>
  <c r="AJ235" i="28"/>
  <c r="N25" i="15"/>
  <c r="AJ245" i="28" s="1"/>
  <c r="AK235" i="28"/>
  <c r="O25" i="15"/>
  <c r="AK245" i="28" s="1"/>
  <c r="O48" i="15"/>
  <c r="AH240" i="28"/>
  <c r="L30" i="15"/>
  <c r="AH250" i="28" s="1"/>
  <c r="P5" i="15"/>
  <c r="P38" i="15"/>
  <c r="P90" i="15"/>
  <c r="Q36" i="15"/>
  <c r="Q3" i="15"/>
  <c r="P4" i="15"/>
  <c r="P37" i="15"/>
  <c r="O27" i="15"/>
  <c r="AK247" i="28" s="1"/>
  <c r="AK227" i="28"/>
  <c r="O12" i="15"/>
  <c r="L58" i="15"/>
  <c r="L65" i="15" s="1"/>
  <c r="K69" i="15"/>
  <c r="Q122" i="16"/>
  <c r="Q132" i="16"/>
  <c r="Q121" i="16" s="1"/>
  <c r="V115" i="5"/>
  <c r="R43" i="18"/>
  <c r="Q108" i="16" s="1"/>
  <c r="Q110" i="16" s="1"/>
  <c r="Q103" i="16" s="1"/>
  <c r="Q83" i="16" s="1"/>
  <c r="AJ151" i="28" s="1"/>
  <c r="R50" i="18"/>
  <c r="R66" i="18"/>
  <c r="R89" i="18"/>
  <c r="T79" i="18"/>
  <c r="S45" i="17"/>
  <c r="S62" i="17"/>
  <c r="R107" i="16" s="1"/>
  <c r="S35" i="20"/>
  <c r="N114" i="15" s="1"/>
  <c r="N115" i="15" s="1"/>
  <c r="R84" i="17"/>
  <c r="R81" i="17"/>
  <c r="M103" i="15" s="1"/>
  <c r="R71" i="17"/>
  <c r="M102" i="15" s="1"/>
  <c r="R105" i="1"/>
  <c r="R98" i="1"/>
  <c r="U9" i="18"/>
  <c r="T11" i="18"/>
  <c r="T12" i="18" s="1"/>
  <c r="S104" i="1"/>
  <c r="S105" i="1" s="1"/>
  <c r="S46" i="1"/>
  <c r="S47" i="1" s="1"/>
  <c r="R6" i="16"/>
  <c r="S97" i="1"/>
  <c r="S98" i="1" s="1"/>
  <c r="T95" i="1"/>
  <c r="S62" i="1"/>
  <c r="T63" i="1"/>
  <c r="S55" i="1"/>
  <c r="S87" i="1"/>
  <c r="R95" i="16" s="1"/>
  <c r="S70" i="1"/>
  <c r="S37" i="1"/>
  <c r="T32" i="1" s="1"/>
  <c r="R19" i="20"/>
  <c r="R26" i="20"/>
  <c r="AJ136" i="28"/>
  <c r="T20" i="20"/>
  <c r="S18" i="20"/>
  <c r="S61" i="17"/>
  <c r="S69" i="17"/>
  <c r="S70" i="17" s="1"/>
  <c r="N101" i="15" s="1"/>
  <c r="R47" i="1"/>
  <c r="V27" i="17"/>
  <c r="V51" i="17" s="1"/>
  <c r="R7" i="15" s="1"/>
  <c r="AN229" i="28" s="1"/>
  <c r="U51" i="17"/>
  <c r="Q7" i="15" s="1"/>
  <c r="AM229" i="28" s="1"/>
  <c r="T40" i="1"/>
  <c r="O92" i="15" s="1"/>
  <c r="T41" i="1"/>
  <c r="T24" i="1" s="1"/>
  <c r="T9" i="17"/>
  <c r="S12" i="17"/>
  <c r="Q187" i="5"/>
  <c r="R189" i="5"/>
  <c r="U80" i="18"/>
  <c r="U78" i="18" s="1"/>
  <c r="T81" i="18"/>
  <c r="T39" i="18"/>
  <c r="U27" i="18"/>
  <c r="S40" i="18"/>
  <c r="S42" i="18" s="1"/>
  <c r="T28" i="18"/>
  <c r="T30" i="18" s="1"/>
  <c r="S95" i="5"/>
  <c r="AK28" i="28" s="1"/>
  <c r="T251" i="5"/>
  <c r="S308" i="5"/>
  <c r="S312" i="5" s="1"/>
  <c r="S192" i="5"/>
  <c r="S193" i="5" s="1"/>
  <c r="P16" i="21"/>
  <c r="S39" i="16"/>
  <c r="Q66" i="21"/>
  <c r="T45" i="16"/>
  <c r="V152" i="5"/>
  <c r="V78" i="5"/>
  <c r="V88" i="5"/>
  <c r="V247" i="5"/>
  <c r="V97" i="5" s="1"/>
  <c r="U97" i="5"/>
  <c r="T94" i="18"/>
  <c r="S29" i="16"/>
  <c r="T16" i="5" s="1"/>
  <c r="AL145" i="28" s="1"/>
  <c r="U99" i="18"/>
  <c r="T97" i="16" s="1"/>
  <c r="AM159" i="28" s="1"/>
  <c r="T8" i="16"/>
  <c r="U9" i="5" s="1"/>
  <c r="V73" i="18"/>
  <c r="U92" i="18"/>
  <c r="U311" i="5"/>
  <c r="AM118" i="28"/>
  <c r="AM34" i="28"/>
  <c r="AM202" i="28"/>
  <c r="T91" i="5"/>
  <c r="U210" i="5"/>
  <c r="U204" i="5" s="1"/>
  <c r="T60" i="17"/>
  <c r="T68" i="17"/>
  <c r="P19" i="15" s="1"/>
  <c r="U252" i="5"/>
  <c r="T55" i="5"/>
  <c r="AL197" i="28" s="1"/>
  <c r="V7" i="1"/>
  <c r="U28" i="17"/>
  <c r="U29" i="17" s="1"/>
  <c r="T52" i="17"/>
  <c r="U49" i="17"/>
  <c r="V25" i="17"/>
  <c r="V49" i="17" s="1"/>
  <c r="T58" i="17"/>
  <c r="T66" i="17"/>
  <c r="V26" i="17"/>
  <c r="V50" i="17" s="1"/>
  <c r="U50" i="17"/>
  <c r="T59" i="17"/>
  <c r="T67" i="17"/>
  <c r="P18" i="15" s="1"/>
  <c r="T35" i="1"/>
  <c r="S106" i="16"/>
  <c r="U39" i="1"/>
  <c r="V20" i="1"/>
  <c r="U23" i="1"/>
  <c r="U22" i="1"/>
  <c r="T96" i="5"/>
  <c r="U243" i="5"/>
  <c r="U48" i="17"/>
  <c r="V24" i="17"/>
  <c r="T65" i="17"/>
  <c r="P16" i="15" s="1"/>
  <c r="T57" i="17"/>
  <c r="S217" i="5"/>
  <c r="R286" i="5"/>
  <c r="R279" i="5" s="1"/>
  <c r="AG214" i="28"/>
  <c r="K84" i="16"/>
  <c r="AD152" i="28" s="1"/>
  <c r="AJ77" i="16"/>
  <c r="AK85" i="16" s="1"/>
  <c r="M60" i="21"/>
  <c r="AH5" i="28"/>
  <c r="Q280" i="5"/>
  <c r="AI6" i="28"/>
  <c r="N59" i="21"/>
  <c r="AG201" i="28"/>
  <c r="N122" i="16"/>
  <c r="K161" i="39"/>
  <c r="AK161" i="39" s="1"/>
  <c r="K42" i="5"/>
  <c r="J162" i="39" s="1"/>
  <c r="CX165" i="29"/>
  <c r="AG151" i="28"/>
  <c r="N68" i="39"/>
  <c r="O83" i="16"/>
  <c r="O86" i="39"/>
  <c r="N114" i="17"/>
  <c r="M28" i="16"/>
  <c r="M26" i="39" s="1"/>
  <c r="AM26" i="39" s="1"/>
  <c r="O99" i="17"/>
  <c r="O95" i="17"/>
  <c r="W103" i="15"/>
  <c r="K103" i="15"/>
  <c r="Q45" i="20"/>
  <c r="Q38" i="20" s="1"/>
  <c r="K111" i="15"/>
  <c r="W102" i="15"/>
  <c r="K102" i="15"/>
  <c r="K52" i="15"/>
  <c r="K53" i="15" s="1"/>
  <c r="K21" i="15"/>
  <c r="P53" i="18"/>
  <c r="W121" i="15" s="1"/>
  <c r="W122" i="15" s="1"/>
  <c r="K123" i="15"/>
  <c r="AG232" i="28"/>
  <c r="K11" i="15"/>
  <c r="P45" i="20"/>
  <c r="P38" i="20" s="1"/>
  <c r="M7" i="39"/>
  <c r="AM7" i="39" s="1"/>
  <c r="N8" i="5"/>
  <c r="AF137" i="28" s="1"/>
  <c r="M100" i="16"/>
  <c r="M83" i="39" s="1"/>
  <c r="M79" i="39"/>
  <c r="O118" i="17"/>
  <c r="N96" i="16" s="1"/>
  <c r="AG158" i="28" s="1"/>
  <c r="P98" i="17"/>
  <c r="O91" i="17"/>
  <c r="O92" i="17" s="1"/>
  <c r="O112" i="17"/>
  <c r="O108" i="17" s="1"/>
  <c r="O109" i="17" s="1"/>
  <c r="O110" i="17" s="1"/>
  <c r="O62" i="20"/>
  <c r="O58" i="20" s="1"/>
  <c r="O59" i="20" s="1"/>
  <c r="O60" i="20" s="1"/>
  <c r="O55" i="20"/>
  <c r="O56" i="20" s="1"/>
  <c r="O46" i="20"/>
  <c r="O69" i="20"/>
  <c r="N98" i="16" s="1"/>
  <c r="O38" i="20"/>
  <c r="O39" i="20" s="1"/>
  <c r="N7" i="16"/>
  <c r="N10" i="16" s="1"/>
  <c r="M17" i="5"/>
  <c r="AE146" i="28" s="1"/>
  <c r="L28" i="39"/>
  <c r="AL28" i="39" s="1"/>
  <c r="N17" i="5"/>
  <c r="AF146" i="28" s="1"/>
  <c r="M28" i="39"/>
  <c r="AM28" i="39" s="1"/>
  <c r="N60" i="20"/>
  <c r="P32" i="20"/>
  <c r="P33" i="20" s="1"/>
  <c r="P31" i="20"/>
  <c r="W111" i="15"/>
  <c r="Q32" i="20"/>
  <c r="Q33" i="20" s="1"/>
  <c r="Q31" i="20"/>
  <c r="W104" i="15"/>
  <c r="Q89" i="17"/>
  <c r="L104" i="15" s="1"/>
  <c r="Q55" i="18"/>
  <c r="W123" i="15"/>
  <c r="K32" i="16"/>
  <c r="X76" i="18" s="1"/>
  <c r="AM154" i="29"/>
  <c r="AL154" i="29" s="1"/>
  <c r="AL128" i="29" s="1"/>
  <c r="AK40" i="16"/>
  <c r="AM170" i="29"/>
  <c r="AL170" i="29" s="1"/>
  <c r="AH26" i="29"/>
  <c r="AL27" i="29" s="1"/>
  <c r="AH29" i="29"/>
  <c r="AL30" i="29" s="1"/>
  <c r="Q71" i="17"/>
  <c r="Q81" i="17"/>
  <c r="X101" i="15"/>
  <c r="AT176" i="35"/>
  <c r="AW241" i="35"/>
  <c r="AH165" i="29"/>
  <c r="AH168" i="29" s="1"/>
  <c r="O109" i="5"/>
  <c r="M190" i="39"/>
  <c r="N110" i="17"/>
  <c r="P27" i="16"/>
  <c r="Q73" i="1"/>
  <c r="Q78" i="1"/>
  <c r="Q313" i="5" s="1"/>
  <c r="Q72" i="1"/>
  <c r="E108" i="34"/>
  <c r="E91" i="34"/>
  <c r="E107" i="34"/>
  <c r="E92" i="34"/>
  <c r="E93" i="34"/>
  <c r="AE137" i="28"/>
  <c r="M11" i="5"/>
  <c r="M88" i="16"/>
  <c r="M10" i="39"/>
  <c r="AM10" i="39" s="1"/>
  <c r="M11" i="16"/>
  <c r="M11" i="39" s="1"/>
  <c r="G207" i="34"/>
  <c r="N41" i="5"/>
  <c r="L208" i="34"/>
  <c r="D214" i="34"/>
  <c r="D256" i="34"/>
  <c r="D210" i="34"/>
  <c r="Q180" i="5"/>
  <c r="Q177" i="5"/>
  <c r="P266" i="5"/>
  <c r="O306" i="5"/>
  <c r="M15" i="5"/>
  <c r="L26" i="39"/>
  <c r="AL26" i="39" s="1"/>
  <c r="Q7" i="5"/>
  <c r="P6" i="39"/>
  <c r="AP6" i="39" s="1"/>
  <c r="H33" i="15"/>
  <c r="AD252" i="28"/>
  <c r="J38" i="39"/>
  <c r="J64" i="16"/>
  <c r="Q111" i="5"/>
  <c r="P171" i="39"/>
  <c r="AP171" i="39" s="1"/>
  <c r="AI30" i="28"/>
  <c r="N9" i="21"/>
  <c r="J43" i="16"/>
  <c r="J57" i="39" s="1"/>
  <c r="J42" i="16"/>
  <c r="J56" i="39" s="1"/>
  <c r="J55" i="39"/>
  <c r="AJ55" i="39" s="1"/>
  <c r="I32" i="15"/>
  <c r="AE242" i="28"/>
  <c r="O60" i="18"/>
  <c r="O61" i="18"/>
  <c r="O62" i="18" s="1"/>
  <c r="O64" i="18"/>
  <c r="Q66" i="1"/>
  <c r="Q67" i="1" s="1"/>
  <c r="D215" i="34"/>
  <c r="D257" i="34"/>
  <c r="L209" i="34"/>
  <c r="K71" i="5"/>
  <c r="E213" i="34"/>
  <c r="M207" i="34"/>
  <c r="E255" i="34"/>
  <c r="M203" i="34"/>
  <c r="L216" i="5"/>
  <c r="AD140" i="28"/>
  <c r="L12" i="5"/>
  <c r="K91" i="22" s="1"/>
  <c r="L335" i="5"/>
  <c r="L338" i="5" s="1"/>
  <c r="L339" i="5" s="1"/>
  <c r="I5" i="21"/>
  <c r="AD20" i="28"/>
  <c r="L224" i="5"/>
  <c r="L220" i="5"/>
  <c r="Q28" i="34"/>
  <c r="N53" i="34"/>
  <c r="AH132" i="29"/>
  <c r="AH181" i="29"/>
  <c r="AH129" i="29"/>
  <c r="P177" i="5"/>
  <c r="P180" i="5"/>
  <c r="K226" i="5"/>
  <c r="K86" i="5"/>
  <c r="K89" i="5" s="1"/>
  <c r="K93" i="5" s="1"/>
  <c r="J31" i="15"/>
  <c r="AF251" i="28" s="1"/>
  <c r="AF241" i="28"/>
  <c r="J22" i="15"/>
  <c r="L18" i="5"/>
  <c r="AD147" i="28" s="1"/>
  <c r="K29" i="39"/>
  <c r="AK29" i="39" s="1"/>
  <c r="H18" i="21"/>
  <c r="H33" i="21" s="1"/>
  <c r="K309" i="5"/>
  <c r="K29" i="5"/>
  <c r="AC24" i="28"/>
  <c r="K147" i="5"/>
  <c r="G66" i="15"/>
  <c r="G67" i="15" s="1"/>
  <c r="K30" i="5"/>
  <c r="AQ20" i="16"/>
  <c r="AP30" i="16"/>
  <c r="P85" i="17"/>
  <c r="P86" i="17"/>
  <c r="P87" i="17" s="1"/>
  <c r="P111" i="5"/>
  <c r="AH30" i="28"/>
  <c r="M9" i="21"/>
  <c r="O171" i="39"/>
  <c r="AO171" i="39" s="1"/>
  <c r="K19" i="5"/>
  <c r="N192" i="39"/>
  <c r="AN192" i="39" s="1"/>
  <c r="O312" i="5"/>
  <c r="AG114" i="28"/>
  <c r="K72" i="5"/>
  <c r="AH143" i="28"/>
  <c r="L28" i="5"/>
  <c r="K181" i="16"/>
  <c r="K132" i="39" s="1"/>
  <c r="K92" i="16"/>
  <c r="K75" i="39" s="1"/>
  <c r="G21" i="34"/>
  <c r="G46" i="34" s="1"/>
  <c r="E209" i="34"/>
  <c r="AD154" i="28"/>
  <c r="K71" i="39"/>
  <c r="AK71" i="39" s="1"/>
  <c r="AD162" i="28"/>
  <c r="L88" i="16"/>
  <c r="L11" i="16"/>
  <c r="L11" i="39" s="1"/>
  <c r="M41" i="5"/>
  <c r="F207" i="34"/>
  <c r="L15" i="16"/>
  <c r="L15" i="39" s="1"/>
  <c r="L10" i="39"/>
  <c r="AL10" i="39" s="1"/>
  <c r="AI157" i="28"/>
  <c r="P78" i="39"/>
  <c r="AH172" i="29"/>
  <c r="AH171" i="29"/>
  <c r="J163" i="39"/>
  <c r="AJ163" i="39" s="1"/>
  <c r="AD144" i="28"/>
  <c r="U109" i="15" l="1"/>
  <c r="X102" i="17"/>
  <c r="X62" i="1"/>
  <c r="R67" i="18"/>
  <c r="R90" i="18"/>
  <c r="M58" i="15"/>
  <c r="AI231" i="28"/>
  <c r="M11" i="15"/>
  <c r="AD195" i="28"/>
  <c r="L167" i="5"/>
  <c r="V68" i="17"/>
  <c r="R19" i="15" s="1"/>
  <c r="AN239" i="28" s="1"/>
  <c r="S6" i="16"/>
  <c r="T7" i="5" s="1"/>
  <c r="T104" i="1"/>
  <c r="T105" i="1" s="1"/>
  <c r="Q86" i="17"/>
  <c r="Q87" i="17" s="1"/>
  <c r="T70" i="1"/>
  <c r="T78" i="1" s="1"/>
  <c r="T313" i="5" s="1"/>
  <c r="U63" i="1"/>
  <c r="V43" i="1"/>
  <c r="Q94" i="15" s="1"/>
  <c r="T87" i="1"/>
  <c r="S95" i="16" s="1"/>
  <c r="AL157" i="28" s="1"/>
  <c r="AL172" i="29"/>
  <c r="AL171" i="29"/>
  <c r="T97" i="1"/>
  <c r="T98" i="1" s="1"/>
  <c r="T62" i="1"/>
  <c r="P12" i="15"/>
  <c r="AL181" i="29"/>
  <c r="AL165" i="29"/>
  <c r="AL166" i="29" s="1"/>
  <c r="U95" i="1"/>
  <c r="AH133" i="29"/>
  <c r="AH134" i="29"/>
  <c r="AI134" i="29"/>
  <c r="M65" i="15"/>
  <c r="AL132" i="29"/>
  <c r="AL129" i="29"/>
  <c r="L69" i="15"/>
  <c r="L11" i="15"/>
  <c r="R55" i="18"/>
  <c r="R53" i="18" s="1"/>
  <c r="L123" i="15"/>
  <c r="AL238" i="28"/>
  <c r="P28" i="15"/>
  <c r="AL248" i="28" s="1"/>
  <c r="R39" i="15"/>
  <c r="R6" i="15"/>
  <c r="AN228" i="28" s="1"/>
  <c r="Q90" i="15"/>
  <c r="R36" i="15"/>
  <c r="R3" i="15"/>
  <c r="P48" i="15"/>
  <c r="P17" i="15"/>
  <c r="T46" i="1"/>
  <c r="T47" i="1" s="1"/>
  <c r="U54" i="1"/>
  <c r="U104" i="1" s="1"/>
  <c r="P91" i="15"/>
  <c r="Q46" i="15"/>
  <c r="Q15" i="15"/>
  <c r="AL239" i="28"/>
  <c r="P26" i="15"/>
  <c r="AL246" i="28" s="1"/>
  <c r="AL236" i="28"/>
  <c r="X103" i="15"/>
  <c r="L103" i="15"/>
  <c r="R38" i="15"/>
  <c r="R5" i="15"/>
  <c r="AN227" i="28" s="1"/>
  <c r="X102" i="15"/>
  <c r="L102" i="15"/>
  <c r="Q37" i="15"/>
  <c r="Q4" i="15"/>
  <c r="AM226" i="28" s="1"/>
  <c r="T37" i="1"/>
  <c r="U32" i="1" s="1"/>
  <c r="Q38" i="15"/>
  <c r="Q5" i="15"/>
  <c r="P56" i="15"/>
  <c r="AL227" i="28"/>
  <c r="AH232" i="28"/>
  <c r="M69" i="15"/>
  <c r="N51" i="15"/>
  <c r="N43" i="15"/>
  <c r="P25" i="15"/>
  <c r="AL245" i="28" s="1"/>
  <c r="AL235" i="28"/>
  <c r="AJ230" i="28"/>
  <c r="N57" i="15"/>
  <c r="N10" i="15"/>
  <c r="U37" i="17"/>
  <c r="P99" i="15" s="1"/>
  <c r="P98" i="15"/>
  <c r="T36" i="18"/>
  <c r="O118" i="15"/>
  <c r="O119" i="15" s="1"/>
  <c r="P47" i="15"/>
  <c r="AJ231" i="28"/>
  <c r="N58" i="15"/>
  <c r="Q6" i="15"/>
  <c r="AM228" i="28" s="1"/>
  <c r="Q39" i="15"/>
  <c r="O42" i="15"/>
  <c r="O9" i="15"/>
  <c r="N120" i="15"/>
  <c r="AL226" i="28"/>
  <c r="P49" i="15"/>
  <c r="O41" i="15"/>
  <c r="N110" i="15"/>
  <c r="O8" i="15"/>
  <c r="AM225" i="28"/>
  <c r="M30" i="15"/>
  <c r="AI250" i="28" s="1"/>
  <c r="AI240" i="28"/>
  <c r="K112" i="15"/>
  <c r="L112" i="15"/>
  <c r="R122" i="16"/>
  <c r="R132" i="16"/>
  <c r="R121" i="16" s="1"/>
  <c r="V60" i="17"/>
  <c r="S43" i="18"/>
  <c r="R108" i="16" s="1"/>
  <c r="R110" i="16" s="1"/>
  <c r="R103" i="16" s="1"/>
  <c r="R83" i="16" s="1"/>
  <c r="AK151" i="28" s="1"/>
  <c r="S50" i="18"/>
  <c r="S89" i="18"/>
  <c r="S90" i="18" s="1"/>
  <c r="S66" i="18"/>
  <c r="S67" i="18" s="1"/>
  <c r="S81" i="17"/>
  <c r="N103" i="15" s="1"/>
  <c r="S71" i="17"/>
  <c r="N102" i="15" s="1"/>
  <c r="S84" i="17"/>
  <c r="Q68" i="1"/>
  <c r="R68" i="1"/>
  <c r="T61" i="17"/>
  <c r="T69" i="17"/>
  <c r="T70" i="17" s="1"/>
  <c r="O101" i="15" s="1"/>
  <c r="R27" i="16"/>
  <c r="S72" i="1"/>
  <c r="S78" i="1"/>
  <c r="S313" i="5" s="1"/>
  <c r="S73" i="1"/>
  <c r="S7" i="5"/>
  <c r="T29" i="16"/>
  <c r="U16" i="5" s="1"/>
  <c r="AM145" i="28" s="1"/>
  <c r="U94" i="18"/>
  <c r="U9" i="17"/>
  <c r="T12" i="17"/>
  <c r="R25" i="20"/>
  <c r="R30" i="20"/>
  <c r="S66" i="1"/>
  <c r="S67" i="1" s="1"/>
  <c r="S68" i="1" s="1"/>
  <c r="S26" i="20"/>
  <c r="S19" i="20"/>
  <c r="AK157" i="28"/>
  <c r="U88" i="18"/>
  <c r="T35" i="20"/>
  <c r="O114" i="15" s="1"/>
  <c r="O115" i="15" s="1"/>
  <c r="U20" i="20"/>
  <c r="T18" i="20"/>
  <c r="S189" i="5"/>
  <c r="R187" i="5"/>
  <c r="U60" i="17"/>
  <c r="U68" i="17"/>
  <c r="Q19" i="15" s="1"/>
  <c r="AM239" i="28" s="1"/>
  <c r="V9" i="18"/>
  <c r="V11" i="18" s="1"/>
  <c r="U11" i="18"/>
  <c r="U12" i="18" s="1"/>
  <c r="R86" i="17"/>
  <c r="R87" i="17" s="1"/>
  <c r="R85" i="17"/>
  <c r="T53" i="17"/>
  <c r="O100" i="15" s="1"/>
  <c r="AJ143" i="28"/>
  <c r="X104" i="15"/>
  <c r="R89" i="17"/>
  <c r="M104" i="15" s="1"/>
  <c r="AJ6" i="28"/>
  <c r="O59" i="21"/>
  <c r="V48" i="17"/>
  <c r="U57" i="17"/>
  <c r="U65" i="17"/>
  <c r="Q16" i="15" s="1"/>
  <c r="U96" i="5"/>
  <c r="V243" i="5"/>
  <c r="V96" i="5" s="1"/>
  <c r="U35" i="1"/>
  <c r="T106" i="16"/>
  <c r="V23" i="1"/>
  <c r="V22" i="1"/>
  <c r="V39" i="1"/>
  <c r="U41" i="1"/>
  <c r="U24" i="1" s="1"/>
  <c r="U40" i="1"/>
  <c r="P92" i="15" s="1"/>
  <c r="U59" i="17"/>
  <c r="U67" i="17"/>
  <c r="Q18" i="15" s="1"/>
  <c r="V59" i="17"/>
  <c r="V67" i="17"/>
  <c r="R18" i="15" s="1"/>
  <c r="V58" i="17"/>
  <c r="V66" i="17"/>
  <c r="R17" i="15" s="1"/>
  <c r="U58" i="17"/>
  <c r="U66" i="17"/>
  <c r="V28" i="17"/>
  <c r="V52" i="17" s="1"/>
  <c r="U52" i="17"/>
  <c r="U55" i="5"/>
  <c r="AM197" i="28" s="1"/>
  <c r="V252" i="5"/>
  <c r="V55" i="5" s="1"/>
  <c r="AN197" i="28" s="1"/>
  <c r="V210" i="5"/>
  <c r="U91" i="5"/>
  <c r="V311" i="5"/>
  <c r="AN34" i="28"/>
  <c r="AN202" i="28"/>
  <c r="AN118" i="28"/>
  <c r="U79" i="18"/>
  <c r="V99" i="18"/>
  <c r="U97" i="16" s="1"/>
  <c r="AN159" i="28" s="1"/>
  <c r="U8" i="16"/>
  <c r="V9" i="5" s="1"/>
  <c r="V92" i="18"/>
  <c r="AM138" i="28"/>
  <c r="T39" i="16"/>
  <c r="U45" i="16"/>
  <c r="R66" i="21"/>
  <c r="T192" i="5"/>
  <c r="T193" i="5" s="1"/>
  <c r="Q16" i="21"/>
  <c r="T308" i="5"/>
  <c r="T312" i="5" s="1"/>
  <c r="U251" i="5"/>
  <c r="T95" i="5"/>
  <c r="AL28" i="28" s="1"/>
  <c r="U28" i="18"/>
  <c r="U30" i="18" s="1"/>
  <c r="T40" i="18"/>
  <c r="T42" i="18" s="1"/>
  <c r="U39" i="18"/>
  <c r="V27" i="18"/>
  <c r="U81" i="18"/>
  <c r="V80" i="18"/>
  <c r="V81" i="18" s="1"/>
  <c r="T217" i="5"/>
  <c r="R280" i="5"/>
  <c r="S286" i="5"/>
  <c r="S279" i="5" s="1"/>
  <c r="AH214" i="28"/>
  <c r="K69" i="39"/>
  <c r="AJ75" i="16"/>
  <c r="AK83" i="16" s="1"/>
  <c r="AW37" i="29"/>
  <c r="N60" i="21"/>
  <c r="AI5" i="28"/>
  <c r="AH30" i="29"/>
  <c r="AS17" i="32"/>
  <c r="AH166" i="29"/>
  <c r="U5" i="40"/>
  <c r="U7" i="40" s="1"/>
  <c r="U11" i="40" s="1"/>
  <c r="AH27" i="29"/>
  <c r="AS16" i="32"/>
  <c r="AC192" i="28"/>
  <c r="AH201" i="28"/>
  <c r="O122" i="16"/>
  <c r="AI201" i="28"/>
  <c r="P122" i="16"/>
  <c r="M161" i="39"/>
  <c r="AM161" i="39" s="1"/>
  <c r="L161" i="39"/>
  <c r="AL161" i="39" s="1"/>
  <c r="J66" i="16"/>
  <c r="J65" i="16"/>
  <c r="J51" i="39" s="1"/>
  <c r="J50" i="39"/>
  <c r="AJ50" i="39" s="1"/>
  <c r="J68" i="16"/>
  <c r="P83" i="16"/>
  <c r="P86" i="39"/>
  <c r="O68" i="39"/>
  <c r="AH151" i="28"/>
  <c r="M92" i="16"/>
  <c r="M75" i="39" s="1"/>
  <c r="M84" i="16"/>
  <c r="L92" i="16"/>
  <c r="L75" i="39" s="1"/>
  <c r="L84" i="16"/>
  <c r="N15" i="5"/>
  <c r="AF144" i="28" s="1"/>
  <c r="O7" i="16"/>
  <c r="P8" i="5" s="1"/>
  <c r="P95" i="17"/>
  <c r="Q55" i="20"/>
  <c r="K31" i="15"/>
  <c r="AG251" i="28" s="1"/>
  <c r="AG241" i="28"/>
  <c r="K22" i="15"/>
  <c r="Q69" i="20"/>
  <c r="P98" i="16" s="1"/>
  <c r="P81" i="39" s="1"/>
  <c r="Q62" i="20"/>
  <c r="Q58" i="20" s="1"/>
  <c r="Q59" i="20" s="1"/>
  <c r="P59" i="18"/>
  <c r="K121" i="15"/>
  <c r="Q46" i="20"/>
  <c r="P46" i="20"/>
  <c r="P55" i="20"/>
  <c r="P56" i="20" s="1"/>
  <c r="P69" i="20"/>
  <c r="O98" i="16" s="1"/>
  <c r="AH160" i="28" s="1"/>
  <c r="P62" i="20"/>
  <c r="P58" i="20" s="1"/>
  <c r="P59" i="20" s="1"/>
  <c r="P60" i="20" s="1"/>
  <c r="K33" i="16"/>
  <c r="N11" i="5"/>
  <c r="N220" i="5" s="1"/>
  <c r="O8" i="5"/>
  <c r="O11" i="5" s="1"/>
  <c r="P118" i="17"/>
  <c r="O96" i="16" s="1"/>
  <c r="O79" i="39" s="1"/>
  <c r="P112" i="17"/>
  <c r="P108" i="17" s="1"/>
  <c r="P109" i="17" s="1"/>
  <c r="P110" i="17" s="1"/>
  <c r="O114" i="17"/>
  <c r="N28" i="16"/>
  <c r="O15" i="5" s="1"/>
  <c r="N79" i="39"/>
  <c r="Q98" i="17"/>
  <c r="P99" i="17"/>
  <c r="P91" i="17"/>
  <c r="P92" i="17" s="1"/>
  <c r="N7" i="39"/>
  <c r="AN7" i="39" s="1"/>
  <c r="N100" i="16"/>
  <c r="N83" i="39" s="1"/>
  <c r="Q39" i="20"/>
  <c r="W112" i="15"/>
  <c r="X112" i="15"/>
  <c r="P39" i="20"/>
  <c r="AG160" i="28"/>
  <c r="N81" i="39"/>
  <c r="O64" i="20"/>
  <c r="K37" i="16"/>
  <c r="K35" i="39" s="1"/>
  <c r="K185" i="16"/>
  <c r="K136" i="39" s="1"/>
  <c r="F87" i="34"/>
  <c r="F91" i="34" s="1"/>
  <c r="L43" i="5"/>
  <c r="X123" i="15"/>
  <c r="Q53" i="18"/>
  <c r="L121" i="15" s="1"/>
  <c r="K52" i="16"/>
  <c r="AK46" i="16" s="1"/>
  <c r="AK38" i="16"/>
  <c r="AL38" i="16" s="1"/>
  <c r="AM128" i="29"/>
  <c r="AM132" i="29" s="1"/>
  <c r="K34" i="16"/>
  <c r="K32" i="39" s="1"/>
  <c r="K41" i="16"/>
  <c r="K30" i="39"/>
  <c r="AK30" i="39" s="1"/>
  <c r="E208" i="34"/>
  <c r="M208" i="34" s="1"/>
  <c r="S7" i="40"/>
  <c r="S11" i="40" s="1"/>
  <c r="Q10" i="5"/>
  <c r="AI139" i="28" s="1"/>
  <c r="P9" i="39"/>
  <c r="AP9" i="39" s="1"/>
  <c r="N190" i="39"/>
  <c r="P109" i="5"/>
  <c r="AW242" i="35"/>
  <c r="AT177" i="35"/>
  <c r="M18" i="5"/>
  <c r="AE147" i="28" s="1"/>
  <c r="L29" i="39"/>
  <c r="AL29" i="39" s="1"/>
  <c r="O53" i="34"/>
  <c r="R28" i="34"/>
  <c r="S28" i="34" s="1"/>
  <c r="T28" i="34" s="1"/>
  <c r="U28" i="34" s="1"/>
  <c r="V28" i="34" s="1"/>
  <c r="W28" i="34" s="1"/>
  <c r="X28" i="34" s="1"/>
  <c r="Y28" i="34" s="1"/>
  <c r="Z28" i="34" s="1"/>
  <c r="AA28" i="34" s="1"/>
  <c r="AB28" i="34" s="1"/>
  <c r="AC28" i="34" s="1"/>
  <c r="AD28" i="34" s="1"/>
  <c r="AE28" i="34" s="1"/>
  <c r="AF28" i="34" s="1"/>
  <c r="L218" i="5"/>
  <c r="L71" i="5"/>
  <c r="AE252" i="28"/>
  <c r="I33" i="15"/>
  <c r="D216" i="34"/>
  <c r="L210" i="34"/>
  <c r="D258" i="34"/>
  <c r="N28" i="5"/>
  <c r="AF195" i="28" s="1"/>
  <c r="AF154" i="28"/>
  <c r="M71" i="39"/>
  <c r="AM71" i="39" s="1"/>
  <c r="AF162" i="28"/>
  <c r="M181" i="16"/>
  <c r="M132" i="39" s="1"/>
  <c r="G209" i="34"/>
  <c r="I21" i="34"/>
  <c r="I46" i="34" s="1"/>
  <c r="N207" i="34"/>
  <c r="F255" i="34"/>
  <c r="F213" i="34"/>
  <c r="N203" i="34"/>
  <c r="E131" i="34"/>
  <c r="E133" i="34"/>
  <c r="L19" i="5"/>
  <c r="AD192" i="28" s="1"/>
  <c r="L222" i="5"/>
  <c r="L72" i="5"/>
  <c r="N88" i="16"/>
  <c r="N84" i="16" s="1"/>
  <c r="N11" i="16"/>
  <c r="N11" i="39" s="1"/>
  <c r="N10" i="39"/>
  <c r="AN10" i="39" s="1"/>
  <c r="O41" i="5"/>
  <c r="H207" i="34"/>
  <c r="P192" i="39"/>
  <c r="AP192" i="39" s="1"/>
  <c r="AI114" i="28"/>
  <c r="Q312" i="5"/>
  <c r="Q266" i="5"/>
  <c r="P306" i="5"/>
  <c r="M216" i="5"/>
  <c r="AE20" i="28"/>
  <c r="M12" i="5"/>
  <c r="L91" i="22" s="1"/>
  <c r="M335" i="5"/>
  <c r="M338" i="5" s="1"/>
  <c r="M339" i="5" s="1"/>
  <c r="AE140" i="28"/>
  <c r="J5" i="21"/>
  <c r="M224" i="5"/>
  <c r="M220" i="5"/>
  <c r="L226" i="5"/>
  <c r="L86" i="5"/>
  <c r="L89" i="5" s="1"/>
  <c r="L93" i="5" s="1"/>
  <c r="G70" i="15"/>
  <c r="G68" i="15"/>
  <c r="M28" i="5"/>
  <c r="AE195" i="28" s="1"/>
  <c r="F209" i="34"/>
  <c r="L71" i="39"/>
  <c r="AL71" i="39" s="1"/>
  <c r="AE154" i="28"/>
  <c r="AE162" i="28"/>
  <c r="H21" i="34"/>
  <c r="H46" i="34" s="1"/>
  <c r="L181" i="16"/>
  <c r="L132" i="39" s="1"/>
  <c r="I18" i="21"/>
  <c r="I33" i="21" s="1"/>
  <c r="L309" i="5"/>
  <c r="H66" i="15"/>
  <c r="H67" i="15" s="1"/>
  <c r="L30" i="5"/>
  <c r="AD24" i="28"/>
  <c r="L29" i="5"/>
  <c r="H7" i="21"/>
  <c r="K32" i="5"/>
  <c r="K20" i="5"/>
  <c r="K267" i="5"/>
  <c r="AC148" i="28"/>
  <c r="K307" i="5"/>
  <c r="K21" i="5"/>
  <c r="AC21" i="28"/>
  <c r="K82" i="1"/>
  <c r="K83" i="1" s="1"/>
  <c r="K84" i="1" s="1"/>
  <c r="J32" i="15"/>
  <c r="AF242" i="28"/>
  <c r="O65" i="18"/>
  <c r="J124" i="15"/>
  <c r="J125" i="15" s="1"/>
  <c r="AI136" i="28"/>
  <c r="K52" i="5"/>
  <c r="K56" i="5" s="1"/>
  <c r="L297" i="5" s="1"/>
  <c r="L294" i="5" s="1"/>
  <c r="L63" i="5" s="1"/>
  <c r="K325" i="5"/>
  <c r="K326" i="5" s="1"/>
  <c r="J167" i="39"/>
  <c r="AJ167" i="39" s="1"/>
  <c r="O192" i="39"/>
  <c r="AO192" i="39" s="1"/>
  <c r="P312" i="5"/>
  <c r="AH114" i="28"/>
  <c r="L163" i="5"/>
  <c r="Q14" i="5"/>
  <c r="P25" i="39"/>
  <c r="AP25" i="39" s="1"/>
  <c r="AE144" i="28"/>
  <c r="L141" i="5"/>
  <c r="L137" i="5"/>
  <c r="AH182" i="29"/>
  <c r="AH183" i="29"/>
  <c r="L32" i="16"/>
  <c r="L37" i="16" s="1"/>
  <c r="O207" i="34"/>
  <c r="O203" i="34"/>
  <c r="G255" i="34"/>
  <c r="G213" i="34"/>
  <c r="E215" i="34"/>
  <c r="E257" i="34"/>
  <c r="M209" i="34"/>
  <c r="K228" i="5"/>
  <c r="AC193" i="28" s="1"/>
  <c r="M141" i="5" l="1"/>
  <c r="N141" i="5" s="1"/>
  <c r="T72" i="1"/>
  <c r="U70" i="1"/>
  <c r="U66" i="1" s="1"/>
  <c r="U67" i="1" s="1"/>
  <c r="S27" i="16"/>
  <c r="T14" i="5" s="1"/>
  <c r="T66" i="1"/>
  <c r="T67" i="1" s="1"/>
  <c r="T68" i="1" s="1"/>
  <c r="M167" i="5"/>
  <c r="N167" i="5" s="1"/>
  <c r="T73" i="1"/>
  <c r="AD15" i="28"/>
  <c r="K183" i="39"/>
  <c r="V63" i="1"/>
  <c r="L117" i="5"/>
  <c r="L300" i="5"/>
  <c r="U62" i="1"/>
  <c r="U105" i="1"/>
  <c r="U46" i="1"/>
  <c r="U47" i="1" s="1"/>
  <c r="U87" i="1"/>
  <c r="T95" i="16" s="1"/>
  <c r="AM157" i="28" s="1"/>
  <c r="U37" i="1"/>
  <c r="V32" i="1" s="1"/>
  <c r="AL183" i="29"/>
  <c r="AL182" i="29"/>
  <c r="Q12" i="15"/>
  <c r="V95" i="1"/>
  <c r="U55" i="1"/>
  <c r="AL133" i="29"/>
  <c r="AL134" i="29"/>
  <c r="R59" i="18"/>
  <c r="M121" i="15"/>
  <c r="M122" i="15" s="1"/>
  <c r="O120" i="15"/>
  <c r="P42" i="15"/>
  <c r="P9" i="15"/>
  <c r="T6" i="16"/>
  <c r="U7" i="5" s="1"/>
  <c r="U97" i="1"/>
  <c r="U98" i="1" s="1"/>
  <c r="Q49" i="15"/>
  <c r="U36" i="18"/>
  <c r="P118" i="15"/>
  <c r="P119" i="15" s="1"/>
  <c r="Q48" i="15"/>
  <c r="Q17" i="15"/>
  <c r="AM237" i="28" s="1"/>
  <c r="O51" i="15"/>
  <c r="O43" i="15"/>
  <c r="Q26" i="15"/>
  <c r="AM246" i="28" s="1"/>
  <c r="AM236" i="28"/>
  <c r="R49" i="15"/>
  <c r="AN237" i="28"/>
  <c r="R27" i="15"/>
  <c r="AN247" i="28" s="1"/>
  <c r="Q91" i="15"/>
  <c r="R46" i="15"/>
  <c r="R15" i="15"/>
  <c r="R25" i="15" s="1"/>
  <c r="AN245" i="28" s="1"/>
  <c r="AJ232" i="28"/>
  <c r="N11" i="15"/>
  <c r="N69" i="15"/>
  <c r="Q47" i="15"/>
  <c r="L21" i="15"/>
  <c r="L52" i="15"/>
  <c r="L53" i="15" s="1"/>
  <c r="R37" i="15"/>
  <c r="R4" i="15"/>
  <c r="AN226" i="28" s="1"/>
  <c r="N65" i="15"/>
  <c r="P27" i="15"/>
  <c r="AL247" i="28" s="1"/>
  <c r="AL237" i="28"/>
  <c r="R28" i="15"/>
  <c r="AN248" i="28" s="1"/>
  <c r="AN238" i="28"/>
  <c r="P41" i="15"/>
  <c r="O110" i="15"/>
  <c r="P8" i="15"/>
  <c r="M111" i="15"/>
  <c r="M112" i="15" s="1"/>
  <c r="N20" i="15"/>
  <c r="Q56" i="15"/>
  <c r="AK231" i="28"/>
  <c r="O58" i="15"/>
  <c r="Q25" i="15"/>
  <c r="AM245" i="28" s="1"/>
  <c r="AM235" i="28"/>
  <c r="AN225" i="28"/>
  <c r="S55" i="18"/>
  <c r="M123" i="15"/>
  <c r="Q28" i="15"/>
  <c r="AM248" i="28" s="1"/>
  <c r="AM238" i="28"/>
  <c r="AK230" i="28"/>
  <c r="O57" i="15"/>
  <c r="O10" i="15"/>
  <c r="AM227" i="28"/>
  <c r="R48" i="15"/>
  <c r="K122" i="15"/>
  <c r="L122" i="15"/>
  <c r="S122" i="16"/>
  <c r="S132" i="16"/>
  <c r="S121" i="16" s="1"/>
  <c r="V78" i="18"/>
  <c r="V79" i="18" s="1"/>
  <c r="V12" i="18"/>
  <c r="T43" i="18"/>
  <c r="S108" i="16" s="1"/>
  <c r="T50" i="18"/>
  <c r="T66" i="18"/>
  <c r="T67" i="18" s="1"/>
  <c r="T89" i="18"/>
  <c r="T90" i="18" s="1"/>
  <c r="U29" i="16"/>
  <c r="V16" i="5" s="1"/>
  <c r="AN145" i="28" s="1"/>
  <c r="V94" i="18"/>
  <c r="S66" i="21"/>
  <c r="U39" i="16"/>
  <c r="V41" i="1"/>
  <c r="V24" i="1" s="1"/>
  <c r="V40" i="1"/>
  <c r="Q92" i="15" s="1"/>
  <c r="AL136" i="28"/>
  <c r="T26" i="20"/>
  <c r="T19" i="20"/>
  <c r="V91" i="5"/>
  <c r="V204" i="5"/>
  <c r="V20" i="20"/>
  <c r="V18" i="20" s="1"/>
  <c r="U18" i="20"/>
  <c r="V9" i="17"/>
  <c r="V12" i="17" s="1"/>
  <c r="U12" i="17"/>
  <c r="V54" i="1"/>
  <c r="T189" i="5"/>
  <c r="S187" i="5"/>
  <c r="V88" i="18"/>
  <c r="S30" i="20"/>
  <c r="S25" i="20"/>
  <c r="S85" i="17"/>
  <c r="S86" i="17"/>
  <c r="S87" i="17" s="1"/>
  <c r="T45" i="17"/>
  <c r="T62" i="17"/>
  <c r="S107" i="16" s="1"/>
  <c r="S14" i="5"/>
  <c r="U61" i="17"/>
  <c r="U69" i="17"/>
  <c r="U70" i="17" s="1"/>
  <c r="P101" i="15" s="1"/>
  <c r="U53" i="17"/>
  <c r="P100" i="15" s="1"/>
  <c r="S89" i="17"/>
  <c r="N104" i="15" s="1"/>
  <c r="R98" i="17"/>
  <c r="V61" i="17"/>
  <c r="V69" i="17"/>
  <c r="U35" i="20"/>
  <c r="P114" i="15" s="1"/>
  <c r="P115" i="15" s="1"/>
  <c r="AK136" i="28"/>
  <c r="V29" i="17"/>
  <c r="R32" i="20"/>
  <c r="R33" i="20" s="1"/>
  <c r="R31" i="20"/>
  <c r="R45" i="20"/>
  <c r="T71" i="17"/>
  <c r="O102" i="15" s="1"/>
  <c r="T84" i="17"/>
  <c r="T81" i="17"/>
  <c r="O103" i="15" s="1"/>
  <c r="Q306" i="5"/>
  <c r="R266" i="5"/>
  <c r="P59" i="21"/>
  <c r="AK6" i="28"/>
  <c r="V39" i="18"/>
  <c r="V28" i="18"/>
  <c r="V40" i="18" s="1"/>
  <c r="U40" i="18"/>
  <c r="U42" i="18" s="1"/>
  <c r="U95" i="5"/>
  <c r="AM28" i="28" s="1"/>
  <c r="V251" i="5"/>
  <c r="V95" i="5" s="1"/>
  <c r="AN28" i="28" s="1"/>
  <c r="U192" i="5"/>
  <c r="U193" i="5" s="1"/>
  <c r="R16" i="21"/>
  <c r="U308" i="5"/>
  <c r="U312" i="5" s="1"/>
  <c r="AN138" i="28"/>
  <c r="V35" i="1"/>
  <c r="U106" i="16"/>
  <c r="V57" i="17"/>
  <c r="V65" i="17"/>
  <c r="R16" i="15" s="1"/>
  <c r="V53" i="17"/>
  <c r="Q100" i="15" s="1"/>
  <c r="AJ5" i="28"/>
  <c r="O60" i="21"/>
  <c r="U217" i="5"/>
  <c r="S280" i="5"/>
  <c r="T286" i="5"/>
  <c r="T279" i="5" s="1"/>
  <c r="AI214" i="28"/>
  <c r="AC199" i="28"/>
  <c r="AC203" i="28" s="1"/>
  <c r="AC206" i="28" s="1"/>
  <c r="N161" i="39"/>
  <c r="AN161" i="39" s="1"/>
  <c r="K163" i="39"/>
  <c r="AK163" i="39" s="1"/>
  <c r="L42" i="5"/>
  <c r="K162" i="39" s="1"/>
  <c r="K31" i="39"/>
  <c r="K65" i="16"/>
  <c r="K64" i="16" s="1"/>
  <c r="J69" i="16"/>
  <c r="J70" i="16"/>
  <c r="AM165" i="29"/>
  <c r="L69" i="39"/>
  <c r="AE152" i="28"/>
  <c r="M69" i="39"/>
  <c r="AF152" i="28"/>
  <c r="AG152" i="28"/>
  <c r="N69" i="39"/>
  <c r="P68" i="39"/>
  <c r="AI151" i="28"/>
  <c r="O10" i="16"/>
  <c r="O11" i="16" s="1"/>
  <c r="O11" i="39" s="1"/>
  <c r="O7" i="39"/>
  <c r="AO7" i="39" s="1"/>
  <c r="Q112" i="17"/>
  <c r="Q108" i="17" s="1"/>
  <c r="Q109" i="17" s="1"/>
  <c r="Q110" i="17" s="1"/>
  <c r="Q95" i="17"/>
  <c r="AI160" i="28"/>
  <c r="P60" i="18"/>
  <c r="P61" i="18"/>
  <c r="P62" i="18" s="1"/>
  <c r="P64" i="18"/>
  <c r="Q64" i="20"/>
  <c r="AG242" i="28"/>
  <c r="K32" i="15"/>
  <c r="P64" i="20"/>
  <c r="Q56" i="20"/>
  <c r="O81" i="39"/>
  <c r="AF20" i="28"/>
  <c r="N335" i="5"/>
  <c r="N338" i="5" s="1"/>
  <c r="N339" i="5" s="1"/>
  <c r="AG137" i="28"/>
  <c r="N12" i="5"/>
  <c r="M91" i="22" s="1"/>
  <c r="AH158" i="28"/>
  <c r="K5" i="21"/>
  <c r="AF140" i="28"/>
  <c r="N216" i="5"/>
  <c r="N218" i="5" s="1"/>
  <c r="N224" i="5"/>
  <c r="N86" i="5" s="1"/>
  <c r="N89" i="5" s="1"/>
  <c r="N93" i="5" s="1"/>
  <c r="Q91" i="17"/>
  <c r="Q92" i="17" s="1"/>
  <c r="Q118" i="17"/>
  <c r="P96" i="16" s="1"/>
  <c r="AI158" i="28" s="1"/>
  <c r="P114" i="17"/>
  <c r="O100" i="16"/>
  <c r="O83" i="39" s="1"/>
  <c r="O28" i="16"/>
  <c r="P15" i="5" s="1"/>
  <c r="N26" i="39"/>
  <c r="AN26" i="39" s="1"/>
  <c r="Q99" i="17"/>
  <c r="P7" i="16"/>
  <c r="Q8" i="5" s="1"/>
  <c r="F93" i="34"/>
  <c r="Q60" i="20"/>
  <c r="N28" i="39"/>
  <c r="AN28" i="39" s="1"/>
  <c r="O17" i="5"/>
  <c r="AG146" i="28" s="1"/>
  <c r="P17" i="5"/>
  <c r="AH146" i="28" s="1"/>
  <c r="O28" i="39"/>
  <c r="AO28" i="39" s="1"/>
  <c r="F107" i="34"/>
  <c r="F108" i="34"/>
  <c r="F131" i="34" s="1"/>
  <c r="F92" i="34"/>
  <c r="K43" i="16"/>
  <c r="K57" i="39" s="1"/>
  <c r="E210" i="34"/>
  <c r="M210" i="34" s="1"/>
  <c r="K55" i="39"/>
  <c r="AK55" i="39" s="1"/>
  <c r="E214" i="34"/>
  <c r="K38" i="39"/>
  <c r="E256" i="34"/>
  <c r="X121" i="15"/>
  <c r="X122" i="15" s="1"/>
  <c r="Q59" i="18"/>
  <c r="K42" i="16"/>
  <c r="K56" i="39" s="1"/>
  <c r="Q17" i="5"/>
  <c r="AI146" i="28" s="1"/>
  <c r="P28" i="39"/>
  <c r="AP28" i="39" s="1"/>
  <c r="M19" i="5"/>
  <c r="AT178" i="35"/>
  <c r="AW243" i="35"/>
  <c r="O190" i="39"/>
  <c r="Q109" i="5"/>
  <c r="N222" i="5"/>
  <c r="N72" i="5"/>
  <c r="AH137" i="28"/>
  <c r="P11" i="5"/>
  <c r="H15" i="21"/>
  <c r="H17" i="21" s="1"/>
  <c r="H22" i="21"/>
  <c r="H23" i="21" s="1"/>
  <c r="H31" i="21" s="1"/>
  <c r="H6" i="21"/>
  <c r="H10" i="21"/>
  <c r="H12" i="21" s="1"/>
  <c r="H75" i="21" s="1"/>
  <c r="H68" i="15"/>
  <c r="H70" i="15"/>
  <c r="N209" i="34"/>
  <c r="F215" i="34"/>
  <c r="F257" i="34"/>
  <c r="L228" i="5"/>
  <c r="L113" i="5" s="1"/>
  <c r="K77" i="5"/>
  <c r="AC37" i="28" s="1"/>
  <c r="K145" i="5"/>
  <c r="K135" i="5"/>
  <c r="K310" i="5"/>
  <c r="K319" i="5" s="1"/>
  <c r="J194" i="39"/>
  <c r="AJ194" i="39" s="1"/>
  <c r="AC116" i="28"/>
  <c r="J33" i="15"/>
  <c r="AF252" i="28"/>
  <c r="O28" i="5"/>
  <c r="N71" i="39"/>
  <c r="AN71" i="39" s="1"/>
  <c r="H209" i="34"/>
  <c r="J21" i="34"/>
  <c r="J46" i="34" s="1"/>
  <c r="AG154" i="28"/>
  <c r="AG162" i="28"/>
  <c r="N181" i="16"/>
  <c r="N132" i="39" s="1"/>
  <c r="L133" i="5"/>
  <c r="L268" i="5"/>
  <c r="L142" i="5"/>
  <c r="L144" i="5" s="1"/>
  <c r="J18" i="21"/>
  <c r="J33" i="21" s="1"/>
  <c r="I66" i="15"/>
  <c r="I67" i="15" s="1"/>
  <c r="M309" i="5"/>
  <c r="AE24" i="28"/>
  <c r="M29" i="5"/>
  <c r="M30" i="5"/>
  <c r="M218" i="5"/>
  <c r="M71" i="5"/>
  <c r="I7" i="21"/>
  <c r="L32" i="5"/>
  <c r="AD21" i="28"/>
  <c r="L307" i="5"/>
  <c r="L21" i="5"/>
  <c r="AD148" i="28"/>
  <c r="L20" i="5"/>
  <c r="L267" i="5"/>
  <c r="L82" i="1"/>
  <c r="L83" i="1" s="1"/>
  <c r="L84" i="1" s="1"/>
  <c r="O209" i="34"/>
  <c r="G215" i="34"/>
  <c r="G257" i="34"/>
  <c r="M137" i="5"/>
  <c r="AI143" i="28"/>
  <c r="K161" i="5"/>
  <c r="K171" i="5"/>
  <c r="K80" i="5"/>
  <c r="J173" i="39"/>
  <c r="AJ173" i="39" s="1"/>
  <c r="K57" i="5"/>
  <c r="K234" i="5"/>
  <c r="K238" i="5" s="1"/>
  <c r="L238" i="5" s="1"/>
  <c r="M238" i="5" s="1"/>
  <c r="N238" i="5" s="1"/>
  <c r="O238" i="5" s="1"/>
  <c r="P238" i="5" s="1"/>
  <c r="Q238" i="5" s="1"/>
  <c r="R238" i="5" s="1"/>
  <c r="S238" i="5" s="1"/>
  <c r="T238" i="5" s="1"/>
  <c r="U238" i="5" s="1"/>
  <c r="V238" i="5" s="1"/>
  <c r="AG144" i="28"/>
  <c r="M222" i="5"/>
  <c r="M72" i="5"/>
  <c r="H213" i="34"/>
  <c r="H255" i="34"/>
  <c r="P203" i="34"/>
  <c r="P207" i="34"/>
  <c r="E136" i="34"/>
  <c r="K18" i="21"/>
  <c r="K33" i="21" s="1"/>
  <c r="N30" i="5"/>
  <c r="N29" i="5"/>
  <c r="AF24" i="28"/>
  <c r="N309" i="5"/>
  <c r="J66" i="15"/>
  <c r="J67" i="15" s="1"/>
  <c r="M43" i="5"/>
  <c r="M42" i="5" s="1"/>
  <c r="L162" i="39" s="1"/>
  <c r="L33" i="16"/>
  <c r="L34" i="16"/>
  <c r="L32" i="39" s="1"/>
  <c r="L185" i="16"/>
  <c r="L136" i="39" s="1"/>
  <c r="F208" i="34"/>
  <c r="G87" i="34"/>
  <c r="L35" i="39"/>
  <c r="L30" i="39"/>
  <c r="AL30" i="39" s="1"/>
  <c r="L41" i="16"/>
  <c r="L52" i="16"/>
  <c r="L159" i="5"/>
  <c r="L168" i="5"/>
  <c r="L170" i="5" s="1"/>
  <c r="O216" i="5"/>
  <c r="O335" i="5"/>
  <c r="O338" i="5" s="1"/>
  <c r="O12" i="5"/>
  <c r="N91" i="22" s="1"/>
  <c r="AG140" i="28"/>
  <c r="L5" i="21"/>
  <c r="AG20" i="28"/>
  <c r="O220" i="5"/>
  <c r="O224" i="5"/>
  <c r="M226" i="5"/>
  <c r="M86" i="5"/>
  <c r="M89" i="5" s="1"/>
  <c r="M93" i="5" s="1"/>
  <c r="M163" i="5"/>
  <c r="M159" i="5" s="1"/>
  <c r="L147" i="5"/>
  <c r="N18" i="5"/>
  <c r="M29" i="39"/>
  <c r="AM29" i="39" s="1"/>
  <c r="M32" i="16"/>
  <c r="M37" i="16" s="1"/>
  <c r="M35" i="39" s="1"/>
  <c r="K110" i="5"/>
  <c r="AC25" i="28"/>
  <c r="K34" i="5"/>
  <c r="K33" i="5"/>
  <c r="U78" i="1" l="1"/>
  <c r="U313" i="5" s="1"/>
  <c r="U73" i="1"/>
  <c r="O141" i="5"/>
  <c r="U68" i="1"/>
  <c r="U72" i="1"/>
  <c r="T27" i="16"/>
  <c r="U14" i="5" s="1"/>
  <c r="O167" i="5"/>
  <c r="L259" i="5"/>
  <c r="I64" i="21"/>
  <c r="AD120" i="28"/>
  <c r="AD208" i="28"/>
  <c r="K198" i="39"/>
  <c r="V37" i="1"/>
  <c r="V42" i="18"/>
  <c r="Q120" i="15" s="1"/>
  <c r="Q27" i="15"/>
  <c r="AM247" i="28" s="1"/>
  <c r="N111" i="15"/>
  <c r="N112" i="15" s="1"/>
  <c r="O20" i="15"/>
  <c r="Q110" i="15"/>
  <c r="R8" i="15"/>
  <c r="R41" i="15"/>
  <c r="R12" i="15"/>
  <c r="P51" i="15"/>
  <c r="P43" i="15"/>
  <c r="AK232" i="28"/>
  <c r="O11" i="15"/>
  <c r="AH241" i="28"/>
  <c r="L31" i="15"/>
  <c r="AH251" i="28" s="1"/>
  <c r="L22" i="15"/>
  <c r="AL231" i="28"/>
  <c r="P58" i="15"/>
  <c r="R64" i="18"/>
  <c r="M124" i="15" s="1"/>
  <c r="M21" i="15"/>
  <c r="M52" i="15"/>
  <c r="M53" i="15" s="1"/>
  <c r="V37" i="17"/>
  <c r="Q99" i="15" s="1"/>
  <c r="Q98" i="15"/>
  <c r="R56" i="15"/>
  <c r="O65" i="15"/>
  <c r="AJ240" i="28"/>
  <c r="N30" i="15"/>
  <c r="AJ250" i="28" s="1"/>
  <c r="R26" i="15"/>
  <c r="AN246" i="28" s="1"/>
  <c r="AN236" i="28"/>
  <c r="O69" i="15"/>
  <c r="P57" i="15"/>
  <c r="AL230" i="28"/>
  <c r="P10" i="15"/>
  <c r="P69" i="15" s="1"/>
  <c r="N21" i="15"/>
  <c r="N22" i="15" s="1"/>
  <c r="N52" i="15"/>
  <c r="N53" i="15" s="1"/>
  <c r="Q9" i="15"/>
  <c r="P120" i="15"/>
  <c r="Q42" i="15"/>
  <c r="P110" i="15"/>
  <c r="Q8" i="15"/>
  <c r="Q41" i="15"/>
  <c r="T55" i="18"/>
  <c r="N123" i="15"/>
  <c r="S53" i="18"/>
  <c r="R47" i="15"/>
  <c r="AN235" i="28"/>
  <c r="T122" i="16"/>
  <c r="T132" i="16"/>
  <c r="T121" i="16" s="1"/>
  <c r="V70" i="17"/>
  <c r="Q101" i="15" s="1"/>
  <c r="U84" i="17"/>
  <c r="U81" i="17"/>
  <c r="P103" i="15" s="1"/>
  <c r="U71" i="17"/>
  <c r="P102" i="15" s="1"/>
  <c r="U89" i="18"/>
  <c r="U90" i="18" s="1"/>
  <c r="U66" i="18"/>
  <c r="U67" i="18" s="1"/>
  <c r="U43" i="18"/>
  <c r="T108" i="16" s="1"/>
  <c r="U50" i="18"/>
  <c r="V35" i="20"/>
  <c r="Q114" i="15" s="1"/>
  <c r="U45" i="17"/>
  <c r="U62" i="17"/>
  <c r="T107" i="16" s="1"/>
  <c r="S110" i="16"/>
  <c r="S103" i="16" s="1"/>
  <c r="S83" i="16" s="1"/>
  <c r="AL151" i="28" s="1"/>
  <c r="S31" i="20"/>
  <c r="S32" i="20"/>
  <c r="S33" i="20" s="1"/>
  <c r="V26" i="20"/>
  <c r="V19" i="20"/>
  <c r="T86" i="17"/>
  <c r="T87" i="17" s="1"/>
  <c r="T85" i="17"/>
  <c r="S45" i="20"/>
  <c r="V308" i="5"/>
  <c r="V312" i="5" s="1"/>
  <c r="S16" i="21"/>
  <c r="V192" i="5"/>
  <c r="V193" i="5" s="1"/>
  <c r="AM136" i="28"/>
  <c r="U189" i="5"/>
  <c r="T187" i="5"/>
  <c r="V30" i="18"/>
  <c r="R60" i="18"/>
  <c r="U6" i="16"/>
  <c r="V62" i="1"/>
  <c r="V55" i="1"/>
  <c r="V87" i="1"/>
  <c r="U95" i="16" s="1"/>
  <c r="V46" i="1"/>
  <c r="V47" i="1" s="1"/>
  <c r="V97" i="1"/>
  <c r="V98" i="1" s="1"/>
  <c r="V104" i="1"/>
  <c r="V105" i="1" s="1"/>
  <c r="V70" i="1"/>
  <c r="R69" i="20"/>
  <c r="Q98" i="16" s="1"/>
  <c r="AJ160" i="28" s="1"/>
  <c r="R55" i="20"/>
  <c r="R56" i="20" s="1"/>
  <c r="R46" i="20"/>
  <c r="R38" i="20"/>
  <c r="R39" i="20" s="1"/>
  <c r="R62" i="20"/>
  <c r="R64" i="20" s="1"/>
  <c r="R61" i="18"/>
  <c r="R62" i="18" s="1"/>
  <c r="T25" i="20"/>
  <c r="T30" i="20"/>
  <c r="AL143" i="28"/>
  <c r="Q7" i="16"/>
  <c r="R112" i="17"/>
  <c r="R108" i="17" s="1"/>
  <c r="R109" i="17" s="1"/>
  <c r="R110" i="17" s="1"/>
  <c r="R91" i="17"/>
  <c r="R92" i="17" s="1"/>
  <c r="R99" i="17"/>
  <c r="R118" i="17"/>
  <c r="Q96" i="16" s="1"/>
  <c r="R95" i="17"/>
  <c r="V45" i="17"/>
  <c r="V62" i="17"/>
  <c r="U107" i="16" s="1"/>
  <c r="T89" i="17"/>
  <c r="O104" i="15" s="1"/>
  <c r="S98" i="17"/>
  <c r="AK143" i="28"/>
  <c r="U26" i="20"/>
  <c r="U19" i="20"/>
  <c r="P190" i="39"/>
  <c r="R109" i="5"/>
  <c r="S109" i="5" s="1"/>
  <c r="T109" i="5" s="1"/>
  <c r="U109" i="5" s="1"/>
  <c r="V109" i="5" s="1"/>
  <c r="AL6" i="28"/>
  <c r="Q59" i="21"/>
  <c r="AJ214" i="28"/>
  <c r="P60" i="21"/>
  <c r="AK5" i="28"/>
  <c r="R306" i="5"/>
  <c r="S266" i="5"/>
  <c r="V217" i="5"/>
  <c r="V286" i="5"/>
  <c r="U286" i="5"/>
  <c r="U279" i="5" s="1"/>
  <c r="T280" i="5"/>
  <c r="AC212" i="28"/>
  <c r="AC33" i="28"/>
  <c r="K118" i="16"/>
  <c r="K117" i="16"/>
  <c r="L31" i="39"/>
  <c r="L65" i="16"/>
  <c r="L51" i="39" s="1"/>
  <c r="K66" i="16"/>
  <c r="K51" i="39"/>
  <c r="K50" i="39"/>
  <c r="AK50" i="39" s="1"/>
  <c r="K68" i="16"/>
  <c r="AW34" i="29" s="1"/>
  <c r="AD193" i="28"/>
  <c r="O88" i="16"/>
  <c r="P28" i="16"/>
  <c r="P26" i="39" s="1"/>
  <c r="AP26" i="39" s="1"/>
  <c r="Q114" i="17"/>
  <c r="O10" i="39"/>
  <c r="AO10" i="39" s="1"/>
  <c r="P41" i="5"/>
  <c r="AG195" i="28"/>
  <c r="K66" i="15"/>
  <c r="K67" i="15" s="1"/>
  <c r="K33" i="15"/>
  <c r="AG252" i="28"/>
  <c r="K124" i="15"/>
  <c r="W124" i="15"/>
  <c r="W125" i="15" s="1"/>
  <c r="P65" i="18"/>
  <c r="O339" i="5"/>
  <c r="N226" i="5"/>
  <c r="N228" i="5" s="1"/>
  <c r="N113" i="5" s="1"/>
  <c r="N71" i="5"/>
  <c r="P100" i="16"/>
  <c r="P83" i="39" s="1"/>
  <c r="P79" i="39"/>
  <c r="O26" i="39"/>
  <c r="AO26" i="39" s="1"/>
  <c r="P10" i="16"/>
  <c r="P11" i="16" s="1"/>
  <c r="P11" i="39" s="1"/>
  <c r="P7" i="39"/>
  <c r="AP7" i="39" s="1"/>
  <c r="F133" i="34"/>
  <c r="F136" i="34" s="1"/>
  <c r="E258" i="34"/>
  <c r="E216" i="34"/>
  <c r="Q60" i="18"/>
  <c r="Q61" i="18"/>
  <c r="Q62" i="18" s="1"/>
  <c r="Q64" i="18"/>
  <c r="M307" i="5"/>
  <c r="AE192" i="28"/>
  <c r="AE21" i="28"/>
  <c r="K315" i="5"/>
  <c r="K320" i="5" s="1"/>
  <c r="M32" i="5"/>
  <c r="M110" i="5" s="1"/>
  <c r="M20" i="5"/>
  <c r="M82" i="1"/>
  <c r="M83" i="1" s="1"/>
  <c r="M84" i="1" s="1"/>
  <c r="J7" i="21"/>
  <c r="J6" i="21" s="1"/>
  <c r="AE148" i="28"/>
  <c r="M21" i="5"/>
  <c r="M267" i="5"/>
  <c r="AT179" i="35"/>
  <c r="AW244" i="35"/>
  <c r="L77" i="5"/>
  <c r="AD37" i="28" s="1"/>
  <c r="L145" i="5"/>
  <c r="O218" i="5"/>
  <c r="O71" i="5"/>
  <c r="G107" i="34"/>
  <c r="G92" i="34"/>
  <c r="G91" i="34"/>
  <c r="G108" i="34"/>
  <c r="G93" i="34"/>
  <c r="N137" i="5"/>
  <c r="L110" i="5"/>
  <c r="L33" i="5"/>
  <c r="L34" i="5"/>
  <c r="AD25" i="28"/>
  <c r="J68" i="15"/>
  <c r="J70" i="15"/>
  <c r="K258" i="5"/>
  <c r="AC31" i="28"/>
  <c r="J177" i="39"/>
  <c r="AJ177" i="39" s="1"/>
  <c r="K61" i="5"/>
  <c r="N43" i="5"/>
  <c r="N42" i="5" s="1"/>
  <c r="M162" i="39" s="1"/>
  <c r="M34" i="16"/>
  <c r="M32" i="39" s="1"/>
  <c r="M185" i="16"/>
  <c r="M136" i="39" s="1"/>
  <c r="G208" i="34"/>
  <c r="M41" i="16"/>
  <c r="M52" i="16"/>
  <c r="M33" i="16"/>
  <c r="M31" i="39" s="1"/>
  <c r="M30" i="39"/>
  <c r="AM30" i="39" s="1"/>
  <c r="H87" i="34"/>
  <c r="L171" i="5"/>
  <c r="L80" i="5"/>
  <c r="O226" i="5"/>
  <c r="O86" i="5"/>
  <c r="O89" i="5" s="1"/>
  <c r="O93" i="5" s="1"/>
  <c r="M168" i="5"/>
  <c r="M170" i="5" s="1"/>
  <c r="M161" i="5" s="1"/>
  <c r="N208" i="34"/>
  <c r="F214" i="34"/>
  <c r="F210" i="34"/>
  <c r="F256" i="34"/>
  <c r="M133" i="5"/>
  <c r="M268" i="5"/>
  <c r="I15" i="21"/>
  <c r="I6" i="21"/>
  <c r="I70" i="15"/>
  <c r="I68" i="15"/>
  <c r="AD116" i="28"/>
  <c r="L310" i="5"/>
  <c r="L319" i="5" s="1"/>
  <c r="K194" i="39"/>
  <c r="AK194" i="39" s="1"/>
  <c r="AH144" i="28"/>
  <c r="M45" i="5"/>
  <c r="M160" i="5"/>
  <c r="O222" i="5"/>
  <c r="O72" i="5"/>
  <c r="L45" i="5"/>
  <c r="L160" i="5"/>
  <c r="L161" i="5"/>
  <c r="H19" i="21"/>
  <c r="AC168" i="28"/>
  <c r="H28" i="21"/>
  <c r="H30" i="21" s="1"/>
  <c r="H34" i="21" s="1"/>
  <c r="H35" i="21" s="1"/>
  <c r="O18" i="5"/>
  <c r="N29" i="39"/>
  <c r="AN29" i="39" s="1"/>
  <c r="N32" i="16"/>
  <c r="N163" i="5"/>
  <c r="N159" i="5" s="1"/>
  <c r="M228" i="5"/>
  <c r="M113" i="5" s="1"/>
  <c r="L117" i="16" s="1"/>
  <c r="P209" i="34"/>
  <c r="H215" i="34"/>
  <c r="H257" i="34"/>
  <c r="P216" i="5"/>
  <c r="P12" i="5"/>
  <c r="O91" i="22" s="1"/>
  <c r="M5" i="21"/>
  <c r="AH20" i="28"/>
  <c r="P335" i="5"/>
  <c r="P338" i="5" s="1"/>
  <c r="P339" i="5" s="1"/>
  <c r="AH140" i="28"/>
  <c r="P220" i="5"/>
  <c r="P224" i="5"/>
  <c r="AF147" i="28"/>
  <c r="N19" i="5"/>
  <c r="L38" i="39"/>
  <c r="M142" i="5"/>
  <c r="AC113" i="28"/>
  <c r="AC26" i="28"/>
  <c r="L43" i="16"/>
  <c r="L57" i="39" s="1"/>
  <c r="L42" i="16"/>
  <c r="L56" i="39" s="1"/>
  <c r="L55" i="39"/>
  <c r="AL55" i="39" s="1"/>
  <c r="L163" i="39"/>
  <c r="AL163" i="39" s="1"/>
  <c r="AI137" i="28"/>
  <c r="Q11" i="5"/>
  <c r="M147" i="5"/>
  <c r="L18" i="21"/>
  <c r="L33" i="21" s="1"/>
  <c r="AG24" i="28"/>
  <c r="O29" i="5"/>
  <c r="O30" i="5"/>
  <c r="O309" i="5"/>
  <c r="J191" i="39"/>
  <c r="AJ191" i="39" s="1"/>
  <c r="K235" i="5"/>
  <c r="L44" i="5"/>
  <c r="L134" i="5"/>
  <c r="L135" i="5"/>
  <c r="AD13" i="28" l="1"/>
  <c r="AD213" i="28"/>
  <c r="AD215" i="28" s="1"/>
  <c r="V43" i="18"/>
  <c r="U108" i="16" s="1"/>
  <c r="U110" i="16" s="1"/>
  <c r="U103" i="16" s="1"/>
  <c r="U83" i="16" s="1"/>
  <c r="AN151" i="28" s="1"/>
  <c r="R9" i="15"/>
  <c r="R10" i="15" s="1"/>
  <c r="AN232" i="28" s="1"/>
  <c r="V66" i="18"/>
  <c r="V67" i="18" s="1"/>
  <c r="V89" i="18"/>
  <c r="V90" i="18" s="1"/>
  <c r="R42" i="15"/>
  <c r="R43" i="15" s="1"/>
  <c r="R51" i="15"/>
  <c r="AJ242" i="28"/>
  <c r="N32" i="15"/>
  <c r="Q57" i="15"/>
  <c r="AM230" i="28"/>
  <c r="Q10" i="15"/>
  <c r="Q115" i="15"/>
  <c r="U115" i="15"/>
  <c r="P65" i="15"/>
  <c r="V71" i="17"/>
  <c r="Q102" i="15" s="1"/>
  <c r="V36" i="18"/>
  <c r="Q118" i="15"/>
  <c r="R65" i="18"/>
  <c r="L124" i="15"/>
  <c r="M125" i="15" s="1"/>
  <c r="V81" i="17"/>
  <c r="Q103" i="15" s="1"/>
  <c r="AN230" i="28"/>
  <c r="R57" i="15"/>
  <c r="V84" i="17"/>
  <c r="V85" i="17" s="1"/>
  <c r="S59" i="18"/>
  <c r="N121" i="15"/>
  <c r="N122" i="15" s="1"/>
  <c r="AM231" i="28"/>
  <c r="Q58" i="15"/>
  <c r="O111" i="15"/>
  <c r="O112" i="15" s="1"/>
  <c r="P20" i="15"/>
  <c r="AH242" i="28"/>
  <c r="L32" i="15"/>
  <c r="AK240" i="28"/>
  <c r="O30" i="15"/>
  <c r="AK250" i="28" s="1"/>
  <c r="U55" i="18"/>
  <c r="O123" i="15"/>
  <c r="T53" i="18"/>
  <c r="AJ241" i="28"/>
  <c r="N31" i="15"/>
  <c r="AJ251" i="28" s="1"/>
  <c r="Q51" i="15"/>
  <c r="Q43" i="15"/>
  <c r="AL232" i="28"/>
  <c r="P11" i="15"/>
  <c r="AI241" i="28"/>
  <c r="M31" i="15"/>
  <c r="AI251" i="28" s="1"/>
  <c r="M22" i="15"/>
  <c r="K125" i="15"/>
  <c r="U122" i="16"/>
  <c r="U132" i="16"/>
  <c r="U121" i="16" s="1"/>
  <c r="V50" i="18"/>
  <c r="Q28" i="16"/>
  <c r="R114" i="17"/>
  <c r="T31" i="20"/>
  <c r="T32" i="20"/>
  <c r="T33" i="20" s="1"/>
  <c r="T45" i="20"/>
  <c r="R7" i="16"/>
  <c r="S95" i="17"/>
  <c r="S112" i="17"/>
  <c r="S108" i="17" s="1"/>
  <c r="S109" i="17" s="1"/>
  <c r="S110" i="17" s="1"/>
  <c r="S99" i="17"/>
  <c r="S118" i="17"/>
  <c r="R96" i="16" s="1"/>
  <c r="S91" i="17"/>
  <c r="S92" i="17" s="1"/>
  <c r="U27" i="16"/>
  <c r="V73" i="1"/>
  <c r="V78" i="1"/>
  <c r="V313" i="5" s="1"/>
  <c r="V72" i="1"/>
  <c r="V7" i="5"/>
  <c r="U89" i="17"/>
  <c r="P104" i="15" s="1"/>
  <c r="T98" i="17"/>
  <c r="R8" i="5"/>
  <c r="Q10" i="16"/>
  <c r="V66" i="1"/>
  <c r="V67" i="1" s="1"/>
  <c r="V68" i="1" s="1"/>
  <c r="V25" i="20"/>
  <c r="V30" i="20"/>
  <c r="AM143" i="28"/>
  <c r="R58" i="20"/>
  <c r="R59" i="20" s="1"/>
  <c r="R60" i="20" s="1"/>
  <c r="S46" i="20"/>
  <c r="S62" i="20"/>
  <c r="S64" i="20" s="1"/>
  <c r="S38" i="20"/>
  <c r="S39" i="20" s="1"/>
  <c r="S55" i="20"/>
  <c r="S56" i="20" s="1"/>
  <c r="S69" i="20"/>
  <c r="R98" i="16" s="1"/>
  <c r="AK160" i="28" s="1"/>
  <c r="AK214" i="28"/>
  <c r="AJ158" i="28"/>
  <c r="Q100" i="16"/>
  <c r="V189" i="5"/>
  <c r="V187" i="5" s="1"/>
  <c r="U187" i="5"/>
  <c r="U30" i="20"/>
  <c r="U25" i="20"/>
  <c r="AN157" i="28"/>
  <c r="T110" i="16"/>
  <c r="T103" i="16" s="1"/>
  <c r="T83" i="16" s="1"/>
  <c r="AM151" i="28" s="1"/>
  <c r="U85" i="17"/>
  <c r="U86" i="17"/>
  <c r="U87" i="17" s="1"/>
  <c r="R59" i="21"/>
  <c r="AM6" i="28"/>
  <c r="S306" i="5"/>
  <c r="T266" i="5"/>
  <c r="Q60" i="21"/>
  <c r="AL5" i="28"/>
  <c r="V279" i="5"/>
  <c r="V280" i="5" s="1"/>
  <c r="U280" i="5"/>
  <c r="AF192" i="28"/>
  <c r="M117" i="16"/>
  <c r="L118" i="16"/>
  <c r="O161" i="39"/>
  <c r="AO161" i="39" s="1"/>
  <c r="M65" i="16"/>
  <c r="L64" i="16"/>
  <c r="L66" i="16" s="1"/>
  <c r="K70" i="16"/>
  <c r="K69" i="16"/>
  <c r="M118" i="16"/>
  <c r="AE193" i="28"/>
  <c r="AH154" i="28"/>
  <c r="O84" i="16"/>
  <c r="O181" i="16"/>
  <c r="O132" i="39" s="1"/>
  <c r="O71" i="39"/>
  <c r="AO71" i="39" s="1"/>
  <c r="K21" i="34"/>
  <c r="K46" i="34" s="1"/>
  <c r="AH162" i="28"/>
  <c r="P28" i="5"/>
  <c r="Q15" i="5"/>
  <c r="AI144" i="28" s="1"/>
  <c r="K70" i="15"/>
  <c r="K68" i="15"/>
  <c r="P10" i="39"/>
  <c r="AP10" i="39" s="1"/>
  <c r="Q41" i="5"/>
  <c r="P88" i="16"/>
  <c r="X124" i="15"/>
  <c r="X125" i="15" s="1"/>
  <c r="Q65" i="18"/>
  <c r="K316" i="5"/>
  <c r="I17" i="21"/>
  <c r="I80" i="21"/>
  <c r="AF116" i="28"/>
  <c r="AF193" i="28"/>
  <c r="J15" i="21"/>
  <c r="H76" i="21"/>
  <c r="H77" i="21" s="1"/>
  <c r="F22" i="34"/>
  <c r="F47" i="34" s="1"/>
  <c r="AE25" i="28"/>
  <c r="AE26" i="28" s="1"/>
  <c r="M194" i="39"/>
  <c r="AM194" i="39" s="1"/>
  <c r="M33" i="5"/>
  <c r="M34" i="5"/>
  <c r="N310" i="5"/>
  <c r="N319" i="5" s="1"/>
  <c r="N142" i="5"/>
  <c r="N144" i="5" s="1"/>
  <c r="AW245" i="35"/>
  <c r="AT180" i="35"/>
  <c r="P226" i="5"/>
  <c r="P86" i="5"/>
  <c r="P89" i="5" s="1"/>
  <c r="P93" i="5" s="1"/>
  <c r="P222" i="5"/>
  <c r="P72" i="5"/>
  <c r="P18" i="5"/>
  <c r="O29" i="39"/>
  <c r="AO29" i="39" s="1"/>
  <c r="O32" i="16"/>
  <c r="N210" i="34"/>
  <c r="F258" i="34"/>
  <c r="F216" i="34"/>
  <c r="AC16" i="28"/>
  <c r="J181" i="39"/>
  <c r="AJ181" i="39" s="1"/>
  <c r="Q216" i="5"/>
  <c r="N5" i="21"/>
  <c r="Q12" i="5"/>
  <c r="P91" i="22" s="1"/>
  <c r="AI20" i="28"/>
  <c r="Q335" i="5"/>
  <c r="Q338" i="5" s="1"/>
  <c r="AI140" i="28"/>
  <c r="Q224" i="5"/>
  <c r="Q220" i="5"/>
  <c r="AG147" i="28"/>
  <c r="O19" i="5"/>
  <c r="L191" i="39"/>
  <c r="AL191" i="39" s="1"/>
  <c r="L165" i="39"/>
  <c r="AL165" i="39" s="1"/>
  <c r="M269" i="5"/>
  <c r="AE23" i="28"/>
  <c r="H91" i="34"/>
  <c r="H107" i="34"/>
  <c r="H93" i="34"/>
  <c r="H108" i="34"/>
  <c r="H92" i="34"/>
  <c r="M163" i="39"/>
  <c r="AM163" i="39" s="1"/>
  <c r="K191" i="39"/>
  <c r="AK191" i="39" s="1"/>
  <c r="L194" i="39"/>
  <c r="AL194" i="39" s="1"/>
  <c r="M310" i="5"/>
  <c r="AE116" i="28"/>
  <c r="M144" i="5"/>
  <c r="M135" i="5" s="1"/>
  <c r="M171" i="5"/>
  <c r="M80" i="5"/>
  <c r="K98" i="5"/>
  <c r="K99" i="5" s="1"/>
  <c r="O137" i="5"/>
  <c r="K164" i="39"/>
  <c r="AK164" i="39" s="1"/>
  <c r="I8" i="21"/>
  <c r="AD22" i="28"/>
  <c r="I29" i="21"/>
  <c r="I32" i="21" s="1"/>
  <c r="L47" i="5"/>
  <c r="O163" i="5"/>
  <c r="O159" i="5" s="1"/>
  <c r="AC169" i="28"/>
  <c r="AC170" i="28" s="1"/>
  <c r="H20" i="21"/>
  <c r="AD23" i="28"/>
  <c r="K165" i="39"/>
  <c r="AK165" i="39" s="1"/>
  <c r="L269" i="5"/>
  <c r="M44" i="5"/>
  <c r="M134" i="5"/>
  <c r="N168" i="5"/>
  <c r="N170" i="5" s="1"/>
  <c r="M38" i="39"/>
  <c r="N133" i="5"/>
  <c r="N268" i="5"/>
  <c r="N147" i="5"/>
  <c r="O228" i="5"/>
  <c r="O113" i="5" s="1"/>
  <c r="N118" i="16" s="1"/>
  <c r="K7" i="21"/>
  <c r="N32" i="5"/>
  <c r="N307" i="5"/>
  <c r="N267" i="5"/>
  <c r="N20" i="5"/>
  <c r="AF21" i="28"/>
  <c r="AF148" i="28"/>
  <c r="N21" i="5"/>
  <c r="N82" i="1"/>
  <c r="N83" i="1" s="1"/>
  <c r="N84" i="1" s="1"/>
  <c r="N45" i="5"/>
  <c r="N160" i="5"/>
  <c r="M42" i="16"/>
  <c r="M56" i="39" s="1"/>
  <c r="M43" i="16"/>
  <c r="M57" i="39" s="1"/>
  <c r="M55" i="39"/>
  <c r="AM55" i="39" s="1"/>
  <c r="P218" i="5"/>
  <c r="P71" i="5"/>
  <c r="O43" i="5"/>
  <c r="O42" i="5" s="1"/>
  <c r="N162" i="39" s="1"/>
  <c r="N30" i="39"/>
  <c r="AN30" i="39" s="1"/>
  <c r="N185" i="16"/>
  <c r="N136" i="39" s="1"/>
  <c r="N33" i="16"/>
  <c r="N31" i="39" s="1"/>
  <c r="N52" i="16"/>
  <c r="H208" i="34"/>
  <c r="N41" i="16"/>
  <c r="N34" i="16"/>
  <c r="N32" i="39" s="1"/>
  <c r="I87" i="34"/>
  <c r="G256" i="34"/>
  <c r="O208" i="34"/>
  <c r="G210" i="34"/>
  <c r="G214" i="34"/>
  <c r="AD113" i="28"/>
  <c r="AD26" i="28"/>
  <c r="G131" i="34"/>
  <c r="G133" i="34"/>
  <c r="P141" i="5" l="1"/>
  <c r="P167" i="5"/>
  <c r="AN231" i="28"/>
  <c r="R58" i="15"/>
  <c r="R65" i="15" s="1"/>
  <c r="V86" i="17"/>
  <c r="V87" i="17" s="1"/>
  <c r="R69" i="15"/>
  <c r="L125" i="15"/>
  <c r="Q65" i="15"/>
  <c r="R11" i="15"/>
  <c r="T59" i="18"/>
  <c r="T64" i="18" s="1"/>
  <c r="O121" i="15"/>
  <c r="O122" i="15" s="1"/>
  <c r="O21" i="15"/>
  <c r="S61" i="18"/>
  <c r="S62" i="18" s="1"/>
  <c r="S60" i="18"/>
  <c r="S64" i="18"/>
  <c r="O52" i="15"/>
  <c r="O53" i="15" s="1"/>
  <c r="Q119" i="15"/>
  <c r="U119" i="15"/>
  <c r="Q20" i="15"/>
  <c r="P111" i="15"/>
  <c r="P112" i="15" s="1"/>
  <c r="S58" i="20"/>
  <c r="S59" i="20" s="1"/>
  <c r="S60" i="20" s="1"/>
  <c r="V55" i="18"/>
  <c r="P123" i="15"/>
  <c r="U53" i="18"/>
  <c r="AL240" i="28"/>
  <c r="P30" i="15"/>
  <c r="AL250" i="28" s="1"/>
  <c r="Q111" i="15"/>
  <c r="R20" i="15"/>
  <c r="AI242" i="28"/>
  <c r="M32" i="15"/>
  <c r="N33" i="15" s="1"/>
  <c r="AJ252" i="28"/>
  <c r="AH252" i="28"/>
  <c r="L33" i="15"/>
  <c r="Q69" i="15"/>
  <c r="AM232" i="28"/>
  <c r="Q11" i="15"/>
  <c r="AH195" i="28"/>
  <c r="L66" i="15"/>
  <c r="L67" i="15" s="1"/>
  <c r="U31" i="20"/>
  <c r="U32" i="20"/>
  <c r="U33" i="20" s="1"/>
  <c r="V32" i="20"/>
  <c r="V33" i="20" s="1"/>
  <c r="V31" i="20"/>
  <c r="V14" i="5"/>
  <c r="V45" i="20"/>
  <c r="U45" i="20"/>
  <c r="R41" i="5"/>
  <c r="Q11" i="16"/>
  <c r="Q88" i="16"/>
  <c r="AN136" i="28"/>
  <c r="AK158" i="28"/>
  <c r="R100" i="16"/>
  <c r="T55" i="20"/>
  <c r="T56" i="20" s="1"/>
  <c r="T46" i="20"/>
  <c r="T62" i="20"/>
  <c r="T64" i="20" s="1"/>
  <c r="T38" i="20"/>
  <c r="T39" i="20" s="1"/>
  <c r="T69" i="20"/>
  <c r="S98" i="16" s="1"/>
  <c r="AL160" i="28" s="1"/>
  <c r="AJ137" i="28"/>
  <c r="R11" i="5"/>
  <c r="S7" i="16"/>
  <c r="T118" i="17"/>
  <c r="S96" i="16" s="1"/>
  <c r="T95" i="17"/>
  <c r="T112" i="17"/>
  <c r="T108" i="17" s="1"/>
  <c r="T109" i="17" s="1"/>
  <c r="T110" i="17" s="1"/>
  <c r="T91" i="17"/>
  <c r="T92" i="17" s="1"/>
  <c r="T99" i="17"/>
  <c r="V89" i="17"/>
  <c r="U98" i="17"/>
  <c r="S114" i="17"/>
  <c r="R28" i="16"/>
  <c r="R15" i="5"/>
  <c r="Q32" i="16"/>
  <c r="S8" i="5"/>
  <c r="R10" i="16"/>
  <c r="AN6" i="28"/>
  <c r="S59" i="21"/>
  <c r="AL214" i="28"/>
  <c r="T306" i="5"/>
  <c r="U266" i="5"/>
  <c r="AM5" i="28"/>
  <c r="R60" i="21"/>
  <c r="Q339" i="5"/>
  <c r="AG192" i="28"/>
  <c r="N117" i="16"/>
  <c r="P161" i="39"/>
  <c r="AP161" i="39" s="1"/>
  <c r="N65" i="16"/>
  <c r="M64" i="16"/>
  <c r="M66" i="16" s="1"/>
  <c r="L68" i="16"/>
  <c r="L70" i="16" s="1"/>
  <c r="L50" i="39"/>
  <c r="AL50" i="39" s="1"/>
  <c r="M51" i="39"/>
  <c r="AG193" i="28"/>
  <c r="AH152" i="28"/>
  <c r="O69" i="39"/>
  <c r="P71" i="39"/>
  <c r="AP71" i="39" s="1"/>
  <c r="P84" i="16"/>
  <c r="M18" i="21"/>
  <c r="M33" i="21" s="1"/>
  <c r="P309" i="5"/>
  <c r="P29" i="5"/>
  <c r="P30" i="5"/>
  <c r="AH24" i="28"/>
  <c r="I19" i="21"/>
  <c r="AD169" i="28" s="1"/>
  <c r="AD170" i="28" s="1"/>
  <c r="L21" i="34"/>
  <c r="L46" i="34" s="1"/>
  <c r="AI162" i="28"/>
  <c r="P181" i="16"/>
  <c r="P132" i="39" s="1"/>
  <c r="Q28" i="5"/>
  <c r="AI154" i="28"/>
  <c r="AD168" i="28"/>
  <c r="I28" i="21"/>
  <c r="I30" i="21" s="1"/>
  <c r="J17" i="21"/>
  <c r="J19" i="21" s="1"/>
  <c r="AE169" i="28" s="1"/>
  <c r="AE170" i="28" s="1"/>
  <c r="J80" i="21"/>
  <c r="AE113" i="28"/>
  <c r="AT181" i="35"/>
  <c r="AW246" i="35"/>
  <c r="K15" i="21"/>
  <c r="K6" i="21"/>
  <c r="N171" i="5"/>
  <c r="N80" i="5"/>
  <c r="N77" i="5"/>
  <c r="AF37" i="28" s="1"/>
  <c r="N145" i="5"/>
  <c r="Q218" i="5"/>
  <c r="Q71" i="5"/>
  <c r="Q18" i="5"/>
  <c r="P29" i="39"/>
  <c r="AP29" i="39" s="1"/>
  <c r="P32" i="16"/>
  <c r="N42" i="16"/>
  <c r="N56" i="39" s="1"/>
  <c r="N55" i="39"/>
  <c r="AN55" i="39" s="1"/>
  <c r="N43" i="16"/>
  <c r="N57" i="39" s="1"/>
  <c r="P208" i="34"/>
  <c r="H210" i="34"/>
  <c r="H214" i="34"/>
  <c r="H256" i="34"/>
  <c r="O310" i="5"/>
  <c r="O319" i="5" s="1"/>
  <c r="AG116" i="28"/>
  <c r="N194" i="39"/>
  <c r="AN194" i="39" s="1"/>
  <c r="P163" i="5"/>
  <c r="P159" i="5" s="1"/>
  <c r="O133" i="5"/>
  <c r="O268" i="5"/>
  <c r="O147" i="5"/>
  <c r="Q222" i="5"/>
  <c r="Q72" i="5"/>
  <c r="O210" i="34"/>
  <c r="G258" i="34"/>
  <c r="G216" i="34"/>
  <c r="L52" i="5"/>
  <c r="K167" i="39"/>
  <c r="AK167" i="39" s="1"/>
  <c r="L325" i="5"/>
  <c r="L326" i="5" s="1"/>
  <c r="O142" i="5"/>
  <c r="O144" i="5" s="1"/>
  <c r="N44" i="5"/>
  <c r="N134" i="5"/>
  <c r="N135" i="5"/>
  <c r="AC29" i="28"/>
  <c r="K101" i="5"/>
  <c r="P137" i="5"/>
  <c r="N161" i="5"/>
  <c r="P43" i="5"/>
  <c r="P42" i="5" s="1"/>
  <c r="O162" i="39" s="1"/>
  <c r="O34" i="16"/>
  <c r="O32" i="39" s="1"/>
  <c r="O33" i="16"/>
  <c r="O31" i="39" s="1"/>
  <c r="O30" i="39"/>
  <c r="AO30" i="39" s="1"/>
  <c r="O52" i="16"/>
  <c r="O185" i="16"/>
  <c r="O136" i="39" s="1"/>
  <c r="J87" i="34"/>
  <c r="O41" i="16"/>
  <c r="O45" i="5"/>
  <c r="O160" i="5"/>
  <c r="G136" i="34"/>
  <c r="I92" i="34"/>
  <c r="I107" i="34"/>
  <c r="I93" i="34"/>
  <c r="I108" i="34"/>
  <c r="I91" i="34"/>
  <c r="N163" i="39"/>
  <c r="AN163" i="39" s="1"/>
  <c r="P228" i="5"/>
  <c r="P113" i="5" s="1"/>
  <c r="O118" i="16" s="1"/>
  <c r="I22" i="21"/>
  <c r="I23" i="21" s="1"/>
  <c r="I31" i="21" s="1"/>
  <c r="I10" i="21"/>
  <c r="H131" i="34"/>
  <c r="H133" i="34"/>
  <c r="N38" i="39"/>
  <c r="L164" i="39"/>
  <c r="AL164" i="39" s="1"/>
  <c r="AE22" i="28"/>
  <c r="J8" i="21"/>
  <c r="J29" i="21"/>
  <c r="J32" i="21" s="1"/>
  <c r="M47" i="5"/>
  <c r="Q226" i="5"/>
  <c r="Q86" i="5"/>
  <c r="Q89" i="5" s="1"/>
  <c r="Q93" i="5" s="1"/>
  <c r="M165" i="39"/>
  <c r="AM165" i="39" s="1"/>
  <c r="N269" i="5"/>
  <c r="AF23" i="28"/>
  <c r="N110" i="5"/>
  <c r="AF25" i="28"/>
  <c r="N33" i="5"/>
  <c r="N34" i="5"/>
  <c r="O168" i="5"/>
  <c r="M77" i="5"/>
  <c r="AE37" i="28" s="1"/>
  <c r="M145" i="5"/>
  <c r="M319" i="5"/>
  <c r="O32" i="5"/>
  <c r="L7" i="21"/>
  <c r="AG21" i="28"/>
  <c r="O307" i="5"/>
  <c r="O21" i="5"/>
  <c r="AG148" i="28"/>
  <c r="O20" i="5"/>
  <c r="O267" i="5"/>
  <c r="O82" i="1"/>
  <c r="O83" i="1" s="1"/>
  <c r="O84" i="1" s="1"/>
  <c r="AH147" i="28"/>
  <c r="P19" i="5"/>
  <c r="Q167" i="5" l="1"/>
  <c r="Q141" i="5"/>
  <c r="T65" i="18"/>
  <c r="O124" i="15"/>
  <c r="AI252" i="28"/>
  <c r="M33" i="15"/>
  <c r="U59" i="18"/>
  <c r="P121" i="15"/>
  <c r="P122" i="15" s="1"/>
  <c r="Q123" i="15"/>
  <c r="V53" i="18"/>
  <c r="N124" i="15"/>
  <c r="N125" i="15" s="1"/>
  <c r="S65" i="18"/>
  <c r="V98" i="17"/>
  <c r="U7" i="16" s="1"/>
  <c r="Q104" i="15"/>
  <c r="R30" i="15"/>
  <c r="AN250" i="28" s="1"/>
  <c r="AN240" i="28"/>
  <c r="Q112" i="15"/>
  <c r="U112" i="15"/>
  <c r="AM240" i="28"/>
  <c r="Q30" i="15"/>
  <c r="AM250" i="28" s="1"/>
  <c r="AK241" i="28"/>
  <c r="O31" i="15"/>
  <c r="AK251" i="28" s="1"/>
  <c r="O22" i="15"/>
  <c r="P21" i="15"/>
  <c r="P52" i="15"/>
  <c r="P53" i="15" s="1"/>
  <c r="T61" i="18"/>
  <c r="T62" i="18" s="1"/>
  <c r="T60" i="18"/>
  <c r="AI195" i="28"/>
  <c r="M66" i="15"/>
  <c r="M67" i="15" s="1"/>
  <c r="L68" i="15"/>
  <c r="L70" i="15"/>
  <c r="T58" i="20"/>
  <c r="T59" i="20" s="1"/>
  <c r="T60" i="20" s="1"/>
  <c r="AK137" i="28"/>
  <c r="S11" i="5"/>
  <c r="AJ20" i="28"/>
  <c r="R335" i="5"/>
  <c r="R338" i="5" s="1"/>
  <c r="R339" i="5" s="1"/>
  <c r="AJ140" i="28"/>
  <c r="O5" i="21"/>
  <c r="R224" i="5"/>
  <c r="R216" i="5"/>
  <c r="R220" i="5"/>
  <c r="R12" i="5"/>
  <c r="U46" i="20"/>
  <c r="U62" i="20"/>
  <c r="U64" i="20" s="1"/>
  <c r="U38" i="20"/>
  <c r="U39" i="20" s="1"/>
  <c r="U69" i="20"/>
  <c r="T98" i="16" s="1"/>
  <c r="AM160" i="28" s="1"/>
  <c r="U55" i="20"/>
  <c r="U56" i="20" s="1"/>
  <c r="V69" i="20"/>
  <c r="U98" i="16" s="1"/>
  <c r="AN160" i="28" s="1"/>
  <c r="V55" i="20"/>
  <c r="V46" i="20"/>
  <c r="V38" i="20"/>
  <c r="V62" i="20"/>
  <c r="R43" i="5"/>
  <c r="R42" i="5" s="1"/>
  <c r="Q185" i="16"/>
  <c r="Q34" i="16"/>
  <c r="Q33" i="16"/>
  <c r="Q52" i="16"/>
  <c r="Q41" i="16"/>
  <c r="AN143" i="28"/>
  <c r="AJ144" i="28"/>
  <c r="R19" i="5"/>
  <c r="R82" i="1" s="1"/>
  <c r="R83" i="1" s="1"/>
  <c r="R84" i="1" s="1"/>
  <c r="S15" i="5"/>
  <c r="R32" i="16"/>
  <c r="S28" i="16"/>
  <c r="T114" i="17"/>
  <c r="Q181" i="16"/>
  <c r="Q84" i="16"/>
  <c r="AJ152" i="28" s="1"/>
  <c r="R28" i="5"/>
  <c r="N66" i="15" s="1"/>
  <c r="N67" i="15" s="1"/>
  <c r="AJ154" i="28"/>
  <c r="AJ162" i="28"/>
  <c r="T7" i="16"/>
  <c r="U118" i="17"/>
  <c r="T96" i="16" s="1"/>
  <c r="U95" i="17"/>
  <c r="U112" i="17"/>
  <c r="U99" i="17"/>
  <c r="U91" i="17"/>
  <c r="U92" i="17" s="1"/>
  <c r="AL158" i="28"/>
  <c r="S100" i="16"/>
  <c r="AM214" i="28"/>
  <c r="R88" i="16"/>
  <c r="R11" i="16"/>
  <c r="S41" i="5"/>
  <c r="T8" i="5"/>
  <c r="S10" i="16"/>
  <c r="V266" i="5"/>
  <c r="V306" i="5" s="1"/>
  <c r="U306" i="5"/>
  <c r="AN5" i="28"/>
  <c r="S60" i="21"/>
  <c r="AH192" i="28"/>
  <c r="O117" i="16"/>
  <c r="M68" i="16"/>
  <c r="M70" i="16" s="1"/>
  <c r="M50" i="39"/>
  <c r="AM50" i="39" s="1"/>
  <c r="L69" i="16"/>
  <c r="O65" i="16"/>
  <c r="N64" i="16"/>
  <c r="N66" i="16" s="1"/>
  <c r="N51" i="39"/>
  <c r="AH193" i="28"/>
  <c r="P69" i="39"/>
  <c r="AI152" i="28"/>
  <c r="I20" i="21"/>
  <c r="Q309" i="5"/>
  <c r="N18" i="21"/>
  <c r="N33" i="21" s="1"/>
  <c r="Q29" i="5"/>
  <c r="Q30" i="5"/>
  <c r="AI24" i="28"/>
  <c r="J20" i="21"/>
  <c r="AE168" i="28"/>
  <c r="K17" i="21"/>
  <c r="AF168" i="28" s="1"/>
  <c r="K80" i="21"/>
  <c r="J28" i="21"/>
  <c r="J30" i="21" s="1"/>
  <c r="P168" i="5"/>
  <c r="P170" i="5" s="1"/>
  <c r="P161" i="5" s="1"/>
  <c r="AT182" i="35"/>
  <c r="AW247" i="35"/>
  <c r="I34" i="21"/>
  <c r="I35" i="21" s="1"/>
  <c r="M7" i="21"/>
  <c r="P32" i="5"/>
  <c r="AH21" i="28"/>
  <c r="AH148" i="28"/>
  <c r="P21" i="5"/>
  <c r="P307" i="5"/>
  <c r="P20" i="5"/>
  <c r="P267" i="5"/>
  <c r="P82" i="1"/>
  <c r="P83" i="1" s="1"/>
  <c r="P84" i="1" s="1"/>
  <c r="Q43" i="5"/>
  <c r="Q42" i="5" s="1"/>
  <c r="P162" i="39" s="1"/>
  <c r="P30" i="39"/>
  <c r="AP30" i="39" s="1"/>
  <c r="P34" i="16"/>
  <c r="P32" i="39" s="1"/>
  <c r="P41" i="16"/>
  <c r="P52" i="16"/>
  <c r="P33" i="16"/>
  <c r="P31" i="39" s="1"/>
  <c r="P185" i="16"/>
  <c r="P136" i="39" s="1"/>
  <c r="K87" i="34"/>
  <c r="O38" i="39"/>
  <c r="L234" i="5"/>
  <c r="L233" i="5" s="1"/>
  <c r="K173" i="39"/>
  <c r="AK173" i="39" s="1"/>
  <c r="L15" i="21"/>
  <c r="L6" i="21"/>
  <c r="O110" i="5"/>
  <c r="O33" i="5"/>
  <c r="O34" i="5"/>
  <c r="AG25" i="28"/>
  <c r="H136" i="34"/>
  <c r="K29" i="21"/>
  <c r="K32" i="21" s="1"/>
  <c r="AF22" i="28"/>
  <c r="K8" i="21"/>
  <c r="M164" i="39"/>
  <c r="AM164" i="39" s="1"/>
  <c r="N47" i="5"/>
  <c r="O44" i="5"/>
  <c r="O135" i="5"/>
  <c r="O134" i="5"/>
  <c r="AI147" i="28"/>
  <c r="Q19" i="5"/>
  <c r="AF113" i="28"/>
  <c r="AF26" i="28"/>
  <c r="M52" i="5"/>
  <c r="M325" i="5"/>
  <c r="M326" i="5" s="1"/>
  <c r="L167" i="39"/>
  <c r="AL167" i="39" s="1"/>
  <c r="I133" i="34"/>
  <c r="I131" i="34"/>
  <c r="O269" i="5"/>
  <c r="N165" i="39"/>
  <c r="AN165" i="39" s="1"/>
  <c r="AG23" i="28"/>
  <c r="O163" i="39"/>
  <c r="AO163" i="39" s="1"/>
  <c r="O145" i="5"/>
  <c r="O77" i="5"/>
  <c r="AG37" i="28" s="1"/>
  <c r="P142" i="5"/>
  <c r="P144" i="5" s="1"/>
  <c r="O170" i="5"/>
  <c r="H216" i="34"/>
  <c r="H258" i="34"/>
  <c r="P210" i="34"/>
  <c r="P310" i="5"/>
  <c r="P319" i="5" s="1"/>
  <c r="AH116" i="28"/>
  <c r="O194" i="39"/>
  <c r="AO194" i="39" s="1"/>
  <c r="M191" i="39"/>
  <c r="AM191" i="39" s="1"/>
  <c r="O42" i="16"/>
  <c r="O56" i="39" s="1"/>
  <c r="O43" i="16"/>
  <c r="O57" i="39" s="1"/>
  <c r="O55" i="39"/>
  <c r="AO55" i="39" s="1"/>
  <c r="Q137" i="5"/>
  <c r="P45" i="5"/>
  <c r="P160" i="5"/>
  <c r="Q228" i="5"/>
  <c r="Q113" i="5" s="1"/>
  <c r="P118" i="16" s="1"/>
  <c r="J22" i="21"/>
  <c r="J23" i="21" s="1"/>
  <c r="J31" i="21" s="1"/>
  <c r="J10" i="21"/>
  <c r="J91" i="34"/>
  <c r="J107" i="34"/>
  <c r="J92" i="34"/>
  <c r="J108" i="34"/>
  <c r="J93" i="34"/>
  <c r="P133" i="5"/>
  <c r="P268" i="5"/>
  <c r="P147" i="5"/>
  <c r="AH208" i="29"/>
  <c r="AH207" i="29"/>
  <c r="Q163" i="5"/>
  <c r="Q159" i="5" s="1"/>
  <c r="V118" i="17" l="1"/>
  <c r="U96" i="16" s="1"/>
  <c r="U100" i="16" s="1"/>
  <c r="R141" i="5"/>
  <c r="R167" i="5"/>
  <c r="V91" i="17"/>
  <c r="V92" i="17" s="1"/>
  <c r="O125" i="15"/>
  <c r="V99" i="17"/>
  <c r="V95" i="17"/>
  <c r="U58" i="20"/>
  <c r="U59" i="20" s="1"/>
  <c r="U60" i="20" s="1"/>
  <c r="P31" i="15"/>
  <c r="AL251" i="28" s="1"/>
  <c r="AL241" i="28"/>
  <c r="P22" i="15"/>
  <c r="V59" i="18"/>
  <c r="V64" i="18" s="1"/>
  <c r="Q121" i="15"/>
  <c r="AK242" i="28"/>
  <c r="O32" i="15"/>
  <c r="V112" i="17"/>
  <c r="V108" i="17" s="1"/>
  <c r="V109" i="17" s="1"/>
  <c r="U64" i="18"/>
  <c r="Q21" i="15"/>
  <c r="U61" i="18"/>
  <c r="U62" i="18" s="1"/>
  <c r="U60" i="18"/>
  <c r="Q52" i="15"/>
  <c r="Q53" i="15" s="1"/>
  <c r="N70" i="15"/>
  <c r="N68" i="15"/>
  <c r="M68" i="15"/>
  <c r="M70" i="15"/>
  <c r="V64" i="20"/>
  <c r="R20" i="5"/>
  <c r="AJ21" i="28"/>
  <c r="AJ148" i="28"/>
  <c r="O7" i="21"/>
  <c r="O15" i="21" s="1"/>
  <c r="AJ192" i="28"/>
  <c r="R32" i="5"/>
  <c r="R21" i="5"/>
  <c r="R307" i="5"/>
  <c r="R267" i="5"/>
  <c r="R71" i="5"/>
  <c r="R218" i="5"/>
  <c r="R181" i="16"/>
  <c r="R84" i="16"/>
  <c r="AK152" i="28" s="1"/>
  <c r="AK154" i="28"/>
  <c r="AK162" i="28"/>
  <c r="S28" i="5"/>
  <c r="O66" i="15" s="1"/>
  <c r="O67" i="15" s="1"/>
  <c r="AJ195" i="28"/>
  <c r="AJ24" i="28"/>
  <c r="R29" i="5"/>
  <c r="R309" i="5"/>
  <c r="R30" i="5"/>
  <c r="O18" i="21"/>
  <c r="O33" i="21" s="1"/>
  <c r="R86" i="5"/>
  <c r="R89" i="5" s="1"/>
  <c r="R93" i="5" s="1"/>
  <c r="R226" i="5"/>
  <c r="U114" i="17"/>
  <c r="T28" i="16"/>
  <c r="V58" i="20"/>
  <c r="V59" i="20" s="1"/>
  <c r="U108" i="17"/>
  <c r="U109" i="17" s="1"/>
  <c r="U110" i="17" s="1"/>
  <c r="Q43" i="16"/>
  <c r="Q42" i="16"/>
  <c r="V39" i="20"/>
  <c r="AM158" i="28"/>
  <c r="T100" i="16"/>
  <c r="T15" i="5"/>
  <c r="S32" i="16"/>
  <c r="T41" i="5"/>
  <c r="S88" i="16"/>
  <c r="S11" i="16"/>
  <c r="V8" i="5"/>
  <c r="U10" i="16"/>
  <c r="U8" i="5"/>
  <c r="T10" i="16"/>
  <c r="R34" i="16"/>
  <c r="R41" i="16"/>
  <c r="R33" i="16"/>
  <c r="R52" i="16"/>
  <c r="R185" i="16"/>
  <c r="S43" i="5"/>
  <c r="S42" i="5" s="1"/>
  <c r="V56" i="20"/>
  <c r="AK20" i="28"/>
  <c r="P5" i="21"/>
  <c r="S12" i="5"/>
  <c r="AK140" i="28"/>
  <c r="S335" i="5"/>
  <c r="S338" i="5" s="1"/>
  <c r="S339" i="5" s="1"/>
  <c r="S220" i="5"/>
  <c r="S216" i="5"/>
  <c r="S224" i="5"/>
  <c r="AL137" i="28"/>
  <c r="T11" i="5"/>
  <c r="AK144" i="28"/>
  <c r="S19" i="5"/>
  <c r="S82" i="1" s="1"/>
  <c r="S83" i="1" s="1"/>
  <c r="S84" i="1" s="1"/>
  <c r="R72" i="5"/>
  <c r="R222" i="5"/>
  <c r="AN214" i="28"/>
  <c r="R163" i="5"/>
  <c r="R159" i="5" s="1"/>
  <c r="R137" i="5"/>
  <c r="AI192" i="28"/>
  <c r="P117" i="16"/>
  <c r="M69" i="16"/>
  <c r="N50" i="39"/>
  <c r="AN50" i="39" s="1"/>
  <c r="N68" i="16"/>
  <c r="N70" i="16" s="1"/>
  <c r="P65" i="16"/>
  <c r="P64" i="16" s="1"/>
  <c r="O64" i="16"/>
  <c r="O66" i="16" s="1"/>
  <c r="O51" i="39"/>
  <c r="AI193" i="28"/>
  <c r="K28" i="21"/>
  <c r="K30" i="21" s="1"/>
  <c r="K19" i="21"/>
  <c r="AF169" i="28" s="1"/>
  <c r="AF170" i="28" s="1"/>
  <c r="L17" i="21"/>
  <c r="L19" i="21" s="1"/>
  <c r="L80" i="21"/>
  <c r="Q142" i="5"/>
  <c r="AW248" i="35"/>
  <c r="AT183" i="35"/>
  <c r="J131" i="34"/>
  <c r="J133" i="34"/>
  <c r="P269" i="5"/>
  <c r="O165" i="39"/>
  <c r="AO165" i="39" s="1"/>
  <c r="AH23" i="28"/>
  <c r="P163" i="39"/>
  <c r="AP163" i="39" s="1"/>
  <c r="N7" i="21"/>
  <c r="Q32" i="5"/>
  <c r="Q20" i="5"/>
  <c r="AI148" i="28"/>
  <c r="AI21" i="28"/>
  <c r="Q267" i="5"/>
  <c r="Q307" i="5"/>
  <c r="Q21" i="5"/>
  <c r="Q82" i="1"/>
  <c r="Q83" i="1" s="1"/>
  <c r="Q84" i="1" s="1"/>
  <c r="J34" i="21"/>
  <c r="K93" i="34"/>
  <c r="K108" i="34"/>
  <c r="K91" i="34"/>
  <c r="K92" i="34"/>
  <c r="K107" i="34"/>
  <c r="Q45" i="5"/>
  <c r="Q160" i="5"/>
  <c r="O171" i="5"/>
  <c r="O80" i="5"/>
  <c r="O161" i="5"/>
  <c r="M234" i="5"/>
  <c r="M233" i="5" s="1"/>
  <c r="L173" i="39"/>
  <c r="AL173" i="39" s="1"/>
  <c r="N191" i="39"/>
  <c r="AN191" i="39" s="1"/>
  <c r="P145" i="5"/>
  <c r="P77" i="5"/>
  <c r="AH37" i="28" s="1"/>
  <c r="AG22" i="28"/>
  <c r="L8" i="21"/>
  <c r="L29" i="21"/>
  <c r="L32" i="21" s="1"/>
  <c r="N164" i="39"/>
  <c r="AN164" i="39" s="1"/>
  <c r="O47" i="5"/>
  <c r="Q168" i="5"/>
  <c r="P110" i="5"/>
  <c r="P34" i="5"/>
  <c r="P33" i="5"/>
  <c r="AH25" i="28"/>
  <c r="Q133" i="5"/>
  <c r="Q268" i="5"/>
  <c r="Q147" i="5"/>
  <c r="N52" i="5"/>
  <c r="N325" i="5"/>
  <c r="N326" i="5" s="1"/>
  <c r="M167" i="39"/>
  <c r="AM167" i="39" s="1"/>
  <c r="AG26" i="28"/>
  <c r="AG113" i="28"/>
  <c r="P38" i="39"/>
  <c r="M15" i="21"/>
  <c r="M6" i="21"/>
  <c r="P171" i="5"/>
  <c r="P80" i="5"/>
  <c r="P44" i="5"/>
  <c r="P134" i="5"/>
  <c r="P135" i="5"/>
  <c r="P194" i="39"/>
  <c r="AP194" i="39" s="1"/>
  <c r="Q310" i="5"/>
  <c r="Q319" i="5" s="1"/>
  <c r="AI116" i="28"/>
  <c r="P55" i="39"/>
  <c r="AP55" i="39" s="1"/>
  <c r="P43" i="16"/>
  <c r="P57" i="39" s="1"/>
  <c r="P42" i="16"/>
  <c r="P56" i="39" s="1"/>
  <c r="I136" i="34"/>
  <c r="K10" i="21"/>
  <c r="K22" i="21"/>
  <c r="K23" i="21" s="1"/>
  <c r="K31" i="21" s="1"/>
  <c r="L237" i="5"/>
  <c r="O6" i="21" l="1"/>
  <c r="AN158" i="28"/>
  <c r="S167" i="5"/>
  <c r="S141" i="5"/>
  <c r="V60" i="20"/>
  <c r="U28" i="16"/>
  <c r="V15" i="5" s="1"/>
  <c r="V65" i="18"/>
  <c r="Q124" i="15"/>
  <c r="Q122" i="15"/>
  <c r="U122" i="15"/>
  <c r="R21" i="15"/>
  <c r="R52" i="15"/>
  <c r="R53" i="15" s="1"/>
  <c r="V60" i="18"/>
  <c r="V61" i="18"/>
  <c r="V62" i="18" s="1"/>
  <c r="P32" i="15"/>
  <c r="AL242" i="28"/>
  <c r="Q31" i="15"/>
  <c r="AM251" i="28" s="1"/>
  <c r="AM241" i="28"/>
  <c r="Q22" i="15"/>
  <c r="V114" i="17"/>
  <c r="P124" i="15"/>
  <c r="P125" i="15" s="1"/>
  <c r="U65" i="18"/>
  <c r="AK252" i="28"/>
  <c r="O33" i="15"/>
  <c r="O68" i="15"/>
  <c r="O70" i="15"/>
  <c r="R33" i="5"/>
  <c r="S226" i="5"/>
  <c r="S86" i="5"/>
  <c r="S89" i="5" s="1"/>
  <c r="S93" i="5" s="1"/>
  <c r="T88" i="16"/>
  <c r="U41" i="5"/>
  <c r="T11" i="16"/>
  <c r="AL144" i="28"/>
  <c r="T19" i="5"/>
  <c r="T82" i="1" s="1"/>
  <c r="T83" i="1" s="1"/>
  <c r="T84" i="1" s="1"/>
  <c r="V110" i="17"/>
  <c r="S218" i="5"/>
  <c r="S71" i="5"/>
  <c r="Q65" i="16"/>
  <c r="Q64" i="16" s="1"/>
  <c r="AM137" i="28"/>
  <c r="U11" i="5"/>
  <c r="P18" i="21"/>
  <c r="P33" i="21" s="1"/>
  <c r="S29" i="5"/>
  <c r="S309" i="5"/>
  <c r="S30" i="5"/>
  <c r="AK24" i="28"/>
  <c r="AK195" i="28"/>
  <c r="S222" i="5"/>
  <c r="S72" i="5"/>
  <c r="V41" i="5"/>
  <c r="U88" i="16"/>
  <c r="U11" i="16"/>
  <c r="S21" i="5"/>
  <c r="S20" i="5"/>
  <c r="AK21" i="28"/>
  <c r="AK148" i="28"/>
  <c r="AK192" i="28"/>
  <c r="S307" i="5"/>
  <c r="S32" i="5"/>
  <c r="S267" i="5"/>
  <c r="P7" i="21"/>
  <c r="AN137" i="28"/>
  <c r="V11" i="5"/>
  <c r="S33" i="16"/>
  <c r="S34" i="16"/>
  <c r="S41" i="16"/>
  <c r="S52" i="16"/>
  <c r="T43" i="5"/>
  <c r="T42" i="5" s="1"/>
  <c r="S185" i="16"/>
  <c r="AJ25" i="28"/>
  <c r="R110" i="5"/>
  <c r="R34" i="5"/>
  <c r="S84" i="16"/>
  <c r="AL152" i="28" s="1"/>
  <c r="S181" i="16"/>
  <c r="T28" i="5"/>
  <c r="P66" i="15" s="1"/>
  <c r="P67" i="15" s="1"/>
  <c r="AL154" i="28"/>
  <c r="AL162" i="28"/>
  <c r="O17" i="21"/>
  <c r="O80" i="21"/>
  <c r="Q5" i="21"/>
  <c r="AL140" i="28"/>
  <c r="AL20" i="28"/>
  <c r="T12" i="5"/>
  <c r="T335" i="5"/>
  <c r="T338" i="5" s="1"/>
  <c r="T339" i="5" s="1"/>
  <c r="T220" i="5"/>
  <c r="T224" i="5"/>
  <c r="T216" i="5"/>
  <c r="R43" i="16"/>
  <c r="R42" i="16"/>
  <c r="U15" i="5"/>
  <c r="T32" i="16"/>
  <c r="R228" i="5"/>
  <c r="R113" i="5" s="1"/>
  <c r="Q144" i="5"/>
  <c r="Q145" i="5" s="1"/>
  <c r="R142" i="5"/>
  <c r="R144" i="5" s="1"/>
  <c r="S137" i="5"/>
  <c r="Q170" i="5"/>
  <c r="Q161" i="5" s="1"/>
  <c r="R168" i="5"/>
  <c r="R133" i="5"/>
  <c r="R147" i="5"/>
  <c r="R268" i="5"/>
  <c r="S163" i="5"/>
  <c r="S159" i="5" s="1"/>
  <c r="R160" i="5"/>
  <c r="R45" i="5"/>
  <c r="O50" i="39"/>
  <c r="AO50" i="39" s="1"/>
  <c r="N69" i="16"/>
  <c r="O68" i="16"/>
  <c r="O70" i="16" s="1"/>
  <c r="P66" i="16"/>
  <c r="P51" i="39"/>
  <c r="P50" i="39"/>
  <c r="AP50" i="39" s="1"/>
  <c r="P68" i="16"/>
  <c r="K20" i="21"/>
  <c r="AG168" i="28"/>
  <c r="M17" i="21"/>
  <c r="M28" i="21" s="1"/>
  <c r="M80" i="21"/>
  <c r="L28" i="21"/>
  <c r="L30" i="21" s="1"/>
  <c r="AT184" i="35"/>
  <c r="AW249" i="35"/>
  <c r="K34" i="21"/>
  <c r="K35" i="21" s="1"/>
  <c r="L10" i="21"/>
  <c r="L22" i="21"/>
  <c r="L23" i="21" s="1"/>
  <c r="L31" i="21" s="1"/>
  <c r="K133" i="34"/>
  <c r="K131" i="34"/>
  <c r="L54" i="5"/>
  <c r="L56" i="5" s="1"/>
  <c r="M297" i="5" s="1"/>
  <c r="M294" i="5" s="1"/>
  <c r="L272" i="5"/>
  <c r="L239" i="5"/>
  <c r="N234" i="5"/>
  <c r="N233" i="5" s="1"/>
  <c r="M173" i="39"/>
  <c r="AM173" i="39" s="1"/>
  <c r="P165" i="39"/>
  <c r="AP165" i="39" s="1"/>
  <c r="AI23" i="28"/>
  <c r="Q269" i="5"/>
  <c r="AG169" i="28"/>
  <c r="AG170" i="28" s="1"/>
  <c r="L20" i="21"/>
  <c r="J35" i="21"/>
  <c r="O191" i="39"/>
  <c r="AO191" i="39" s="1"/>
  <c r="AH22" i="28"/>
  <c r="O164" i="39"/>
  <c r="AO164" i="39" s="1"/>
  <c r="M29" i="21"/>
  <c r="M32" i="21" s="1"/>
  <c r="M8" i="21"/>
  <c r="P47" i="5"/>
  <c r="Q44" i="5"/>
  <c r="Q134" i="5"/>
  <c r="AH113" i="28"/>
  <c r="AH26" i="28"/>
  <c r="O52" i="5"/>
  <c r="N167" i="39"/>
  <c r="AN167" i="39" s="1"/>
  <c r="O325" i="5"/>
  <c r="O326" i="5" s="1"/>
  <c r="K70" i="5"/>
  <c r="K74" i="5" s="1"/>
  <c r="L74" i="5" s="1"/>
  <c r="M74" i="5" s="1"/>
  <c r="N74" i="5" s="1"/>
  <c r="O74" i="5" s="1"/>
  <c r="P74" i="5" s="1"/>
  <c r="Q74" i="5" s="1"/>
  <c r="R74" i="5" s="1"/>
  <c r="S74" i="5" s="1"/>
  <c r="T74" i="5" s="1"/>
  <c r="U74" i="5" s="1"/>
  <c r="V74" i="5" s="1"/>
  <c r="Q110" i="5"/>
  <c r="Q34" i="5"/>
  <c r="Q33" i="5"/>
  <c r="AI25" i="28"/>
  <c r="N15" i="21"/>
  <c r="N6" i="21"/>
  <c r="J136" i="34"/>
  <c r="M237" i="5"/>
  <c r="U32" i="16" l="1"/>
  <c r="V43" i="5" s="1"/>
  <c r="V42" i="5" s="1"/>
  <c r="T141" i="5"/>
  <c r="T167" i="5"/>
  <c r="M296" i="5"/>
  <c r="M63" i="5"/>
  <c r="M117" i="5"/>
  <c r="R65" i="16"/>
  <c r="R64" i="16" s="1"/>
  <c r="R68" i="16" s="1"/>
  <c r="P33" i="15"/>
  <c r="AL252" i="28"/>
  <c r="Q32" i="15"/>
  <c r="AM242" i="28"/>
  <c r="R31" i="15"/>
  <c r="AN251" i="28" s="1"/>
  <c r="AN241" i="28"/>
  <c r="R22" i="15"/>
  <c r="Q125" i="15"/>
  <c r="U125" i="15"/>
  <c r="P68" i="15"/>
  <c r="P70" i="15"/>
  <c r="Q118" i="16"/>
  <c r="Q117" i="16"/>
  <c r="Q135" i="5"/>
  <c r="Q80" i="5"/>
  <c r="Q77" i="5"/>
  <c r="AI37" i="28" s="1"/>
  <c r="Q171" i="5"/>
  <c r="S43" i="16"/>
  <c r="S42" i="16"/>
  <c r="AK25" i="28"/>
  <c r="S33" i="5"/>
  <c r="S110" i="5"/>
  <c r="S34" i="5"/>
  <c r="U84" i="16"/>
  <c r="AN152" i="28" s="1"/>
  <c r="U181" i="16"/>
  <c r="AN162" i="28"/>
  <c r="V28" i="5"/>
  <c r="R66" i="15" s="1"/>
  <c r="R67" i="15" s="1"/>
  <c r="AN154" i="28"/>
  <c r="Q7" i="21"/>
  <c r="T32" i="5"/>
  <c r="AL148" i="28"/>
  <c r="AL21" i="28"/>
  <c r="T21" i="5"/>
  <c r="T20" i="5"/>
  <c r="T267" i="5"/>
  <c r="T307" i="5"/>
  <c r="AL192" i="28"/>
  <c r="T218" i="5"/>
  <c r="T71" i="5"/>
  <c r="AJ168" i="28"/>
  <c r="O28" i="21"/>
  <c r="O19" i="21"/>
  <c r="R5" i="21"/>
  <c r="AM20" i="28"/>
  <c r="U335" i="5"/>
  <c r="U338" i="5" s="1"/>
  <c r="U339" i="5" s="1"/>
  <c r="U12" i="5"/>
  <c r="AM140" i="28"/>
  <c r="U224" i="5"/>
  <c r="U216" i="5"/>
  <c r="U220" i="5"/>
  <c r="T86" i="5"/>
  <c r="T89" i="5" s="1"/>
  <c r="T93" i="5" s="1"/>
  <c r="T226" i="5"/>
  <c r="T72" i="5"/>
  <c r="T222" i="5"/>
  <c r="AJ26" i="28"/>
  <c r="AJ113" i="28"/>
  <c r="AN144" i="28"/>
  <c r="V19" i="5"/>
  <c r="V82" i="1" s="1"/>
  <c r="V83" i="1" s="1"/>
  <c r="V84" i="1" s="1"/>
  <c r="AJ193" i="28"/>
  <c r="R310" i="5"/>
  <c r="R319" i="5" s="1"/>
  <c r="AJ116" i="28"/>
  <c r="AN20" i="28"/>
  <c r="S5" i="21"/>
  <c r="AN140" i="28"/>
  <c r="V12" i="5"/>
  <c r="V335" i="5"/>
  <c r="V338" i="5" s="1"/>
  <c r="V216" i="5"/>
  <c r="V224" i="5"/>
  <c r="V220" i="5"/>
  <c r="Q66" i="16"/>
  <c r="Q68" i="16"/>
  <c r="T181" i="16"/>
  <c r="T84" i="16"/>
  <c r="AM152" i="28" s="1"/>
  <c r="AM162" i="28"/>
  <c r="AM154" i="28"/>
  <c r="U28" i="5"/>
  <c r="Q66" i="15" s="1"/>
  <c r="Q67" i="15" s="1"/>
  <c r="S168" i="5"/>
  <c r="S170" i="5" s="1"/>
  <c r="S161" i="5" s="1"/>
  <c r="T41" i="16"/>
  <c r="U43" i="5"/>
  <c r="U42" i="5" s="1"/>
  <c r="T34" i="16"/>
  <c r="T52" i="16"/>
  <c r="T33" i="16"/>
  <c r="T185" i="16"/>
  <c r="T309" i="5"/>
  <c r="T29" i="5"/>
  <c r="AL24" i="28"/>
  <c r="Q18" i="21"/>
  <c r="Q33" i="21" s="1"/>
  <c r="AL195" i="28"/>
  <c r="T30" i="5"/>
  <c r="AM144" i="28"/>
  <c r="U19" i="5"/>
  <c r="U82" i="1" s="1"/>
  <c r="U83" i="1" s="1"/>
  <c r="U84" i="1" s="1"/>
  <c r="P6" i="21"/>
  <c r="P15" i="21"/>
  <c r="S228" i="5"/>
  <c r="S113" i="5" s="1"/>
  <c r="R269" i="5"/>
  <c r="AJ23" i="28"/>
  <c r="R44" i="5"/>
  <c r="R134" i="5"/>
  <c r="R135" i="5"/>
  <c r="T163" i="5"/>
  <c r="T159" i="5" s="1"/>
  <c r="R145" i="5"/>
  <c r="R77" i="5"/>
  <c r="AJ37" i="28" s="1"/>
  <c r="S160" i="5"/>
  <c r="S45" i="5"/>
  <c r="T137" i="5"/>
  <c r="R170" i="5"/>
  <c r="S133" i="5"/>
  <c r="S147" i="5"/>
  <c r="S268" i="5"/>
  <c r="S142" i="5"/>
  <c r="O69" i="16"/>
  <c r="P70" i="16"/>
  <c r="P69" i="16"/>
  <c r="N17" i="21"/>
  <c r="AI168" i="28" s="1"/>
  <c r="N80" i="21"/>
  <c r="AH168" i="28"/>
  <c r="M19" i="21"/>
  <c r="M20" i="21" s="1"/>
  <c r="L34" i="21"/>
  <c r="L35" i="21" s="1"/>
  <c r="AW250" i="35"/>
  <c r="AT185" i="35"/>
  <c r="M30" i="21"/>
  <c r="M10" i="21"/>
  <c r="M22" i="21"/>
  <c r="M23" i="21" s="1"/>
  <c r="M31" i="21" s="1"/>
  <c r="P191" i="39"/>
  <c r="AP191" i="39" s="1"/>
  <c r="L112" i="5"/>
  <c r="K175" i="39"/>
  <c r="AK175" i="39" s="1"/>
  <c r="I11" i="21"/>
  <c r="I12" i="21" s="1"/>
  <c r="I75" i="21" s="1"/>
  <c r="L57" i="5"/>
  <c r="AJ169" i="39"/>
  <c r="K270" i="5"/>
  <c r="K274" i="5" s="1"/>
  <c r="M54" i="5"/>
  <c r="M56" i="5" s="1"/>
  <c r="N297" i="5" s="1"/>
  <c r="N294" i="5" s="1"/>
  <c r="M272" i="5"/>
  <c r="M239" i="5"/>
  <c r="K84" i="5"/>
  <c r="K104" i="5"/>
  <c r="K136" i="34"/>
  <c r="AI113" i="28"/>
  <c r="AI26" i="28"/>
  <c r="P164" i="39"/>
  <c r="AP164" i="39" s="1"/>
  <c r="N29" i="21"/>
  <c r="N32" i="21" s="1"/>
  <c r="AI22" i="28"/>
  <c r="N8" i="21"/>
  <c r="Q47" i="5"/>
  <c r="N237" i="5"/>
  <c r="O234" i="5"/>
  <c r="O233" i="5" s="1"/>
  <c r="N173" i="39"/>
  <c r="AN173" i="39" s="1"/>
  <c r="P52" i="5"/>
  <c r="P325" i="5"/>
  <c r="P326" i="5" s="1"/>
  <c r="O167" i="39"/>
  <c r="AO167" i="39" s="1"/>
  <c r="U185" i="16" l="1"/>
  <c r="U34" i="16"/>
  <c r="U33" i="16"/>
  <c r="U41" i="16"/>
  <c r="U43" i="16" s="1"/>
  <c r="U52" i="16"/>
  <c r="M259" i="5"/>
  <c r="J64" i="21"/>
  <c r="U167" i="5"/>
  <c r="V167" i="5" s="1"/>
  <c r="U141" i="5"/>
  <c r="V141" i="5" s="1"/>
  <c r="N295" i="5"/>
  <c r="N296" i="5"/>
  <c r="N63" i="5"/>
  <c r="L183" i="39"/>
  <c r="AE15" i="28"/>
  <c r="N117" i="5"/>
  <c r="N259" i="5" s="1"/>
  <c r="S65" i="16"/>
  <c r="S64" i="16" s="1"/>
  <c r="S66" i="16" s="1"/>
  <c r="L198" i="39"/>
  <c r="AE208" i="28"/>
  <c r="AE120" i="28"/>
  <c r="R66" i="16"/>
  <c r="R32" i="15"/>
  <c r="AN242" i="28"/>
  <c r="Q33" i="15"/>
  <c r="AM252" i="28"/>
  <c r="R68" i="15"/>
  <c r="R70" i="15"/>
  <c r="Q70" i="15"/>
  <c r="Q68" i="15"/>
  <c r="R118" i="16"/>
  <c r="R117" i="16"/>
  <c r="Q70" i="16"/>
  <c r="Q69" i="16"/>
  <c r="U226" i="5"/>
  <c r="U86" i="5"/>
  <c r="U89" i="5" s="1"/>
  <c r="U93" i="5" s="1"/>
  <c r="S310" i="5"/>
  <c r="S319" i="5" s="1"/>
  <c r="AK116" i="28"/>
  <c r="AK193" i="28"/>
  <c r="T43" i="16"/>
  <c r="T42" i="16"/>
  <c r="T228" i="5"/>
  <c r="T113" i="5" s="1"/>
  <c r="T33" i="5"/>
  <c r="AL25" i="28"/>
  <c r="T34" i="5"/>
  <c r="T110" i="5"/>
  <c r="P17" i="21"/>
  <c r="P80" i="21"/>
  <c r="V222" i="5"/>
  <c r="V72" i="5"/>
  <c r="Q6" i="21"/>
  <c r="Q15" i="21"/>
  <c r="O20" i="21"/>
  <c r="AJ169" i="28"/>
  <c r="AJ170" i="28" s="1"/>
  <c r="AK26" i="28"/>
  <c r="AK113" i="28"/>
  <c r="V86" i="5"/>
  <c r="V89" i="5" s="1"/>
  <c r="V93" i="5" s="1"/>
  <c r="V226" i="5"/>
  <c r="R7" i="21"/>
  <c r="R15" i="21" s="1"/>
  <c r="U307" i="5"/>
  <c r="U267" i="5"/>
  <c r="U21" i="5"/>
  <c r="U32" i="5"/>
  <c r="AM192" i="28"/>
  <c r="AM148" i="28"/>
  <c r="U20" i="5"/>
  <c r="AM21" i="28"/>
  <c r="V218" i="5"/>
  <c r="V71" i="5"/>
  <c r="AN24" i="28"/>
  <c r="AN195" i="28"/>
  <c r="S18" i="21"/>
  <c r="S33" i="21" s="1"/>
  <c r="V29" i="5"/>
  <c r="V309" i="5"/>
  <c r="V30" i="5"/>
  <c r="AM24" i="28"/>
  <c r="U309" i="5"/>
  <c r="U29" i="5"/>
  <c r="AM195" i="28"/>
  <c r="R18" i="21"/>
  <c r="R33" i="21" s="1"/>
  <c r="U30" i="5"/>
  <c r="T142" i="5"/>
  <c r="T144" i="5" s="1"/>
  <c r="V339" i="5"/>
  <c r="AN148" i="28"/>
  <c r="AN192" i="28"/>
  <c r="V32" i="5"/>
  <c r="V307" i="5"/>
  <c r="V267" i="5"/>
  <c r="AN21" i="28"/>
  <c r="V21" i="5"/>
  <c r="S7" i="21"/>
  <c r="V20" i="5"/>
  <c r="U222" i="5"/>
  <c r="U72" i="5"/>
  <c r="R70" i="16"/>
  <c r="R69" i="16"/>
  <c r="U218" i="5"/>
  <c r="U71" i="5"/>
  <c r="T45" i="5"/>
  <c r="T160" i="5"/>
  <c r="T133" i="5"/>
  <c r="T268" i="5"/>
  <c r="T147" i="5"/>
  <c r="S80" i="5"/>
  <c r="S171" i="5"/>
  <c r="S269" i="5"/>
  <c r="AK23" i="28"/>
  <c r="S44" i="5"/>
  <c r="S134" i="5"/>
  <c r="O29" i="21"/>
  <c r="AJ22" i="28"/>
  <c r="O8" i="21"/>
  <c r="R47" i="5"/>
  <c r="R80" i="5"/>
  <c r="R171" i="5"/>
  <c r="R161" i="5"/>
  <c r="U137" i="5"/>
  <c r="T168" i="5"/>
  <c r="T170" i="5" s="1"/>
  <c r="S144" i="5"/>
  <c r="S135" i="5" s="1"/>
  <c r="U163" i="5"/>
  <c r="U159" i="5" s="1"/>
  <c r="AD194" i="28"/>
  <c r="AD199" i="28" s="1"/>
  <c r="AD203" i="28" s="1"/>
  <c r="AD206" i="28" s="1"/>
  <c r="AD212" i="28" s="1"/>
  <c r="K119" i="16"/>
  <c r="K128" i="16" s="1"/>
  <c r="X78" i="18" s="1"/>
  <c r="AH169" i="28"/>
  <c r="AH170" i="28" s="1"/>
  <c r="N28" i="21"/>
  <c r="N30" i="21" s="1"/>
  <c r="N19" i="21"/>
  <c r="AI169" i="28" s="1"/>
  <c r="AI170" i="28" s="1"/>
  <c r="M34" i="21"/>
  <c r="M35" i="21" s="1"/>
  <c r="AT186" i="35"/>
  <c r="AW251" i="35"/>
  <c r="O237" i="5"/>
  <c r="K177" i="39"/>
  <c r="AK177" i="39" s="1"/>
  <c r="L258" i="5"/>
  <c r="L257" i="5" s="1"/>
  <c r="L61" i="5"/>
  <c r="AD31" i="28"/>
  <c r="N54" i="5"/>
  <c r="N56" i="5" s="1"/>
  <c r="O297" i="5" s="1"/>
  <c r="O294" i="5" s="1"/>
  <c r="N272" i="5"/>
  <c r="N239" i="5"/>
  <c r="M112" i="5"/>
  <c r="L175" i="39"/>
  <c r="AL175" i="39" s="1"/>
  <c r="J11" i="21"/>
  <c r="J12" i="21" s="1"/>
  <c r="J75" i="21" s="1"/>
  <c r="M57" i="5"/>
  <c r="K193" i="39"/>
  <c r="AK193" i="39" s="1"/>
  <c r="AD115" i="28"/>
  <c r="L314" i="5"/>
  <c r="L315" i="5" s="1"/>
  <c r="L120" i="5"/>
  <c r="H61" i="21"/>
  <c r="AC9" i="28"/>
  <c r="AC27" i="28" s="1"/>
  <c r="K105" i="5"/>
  <c r="K303" i="5"/>
  <c r="Q52" i="5"/>
  <c r="Q325" i="5"/>
  <c r="Q326" i="5" s="1"/>
  <c r="P167" i="39"/>
  <c r="AP167" i="39" s="1"/>
  <c r="K327" i="5"/>
  <c r="K328" i="5" s="1"/>
  <c r="K102" i="5"/>
  <c r="P234" i="5"/>
  <c r="P233" i="5" s="1"/>
  <c r="O173" i="39"/>
  <c r="AO173" i="39" s="1"/>
  <c r="N10" i="21"/>
  <c r="N22" i="21"/>
  <c r="N23" i="21" s="1"/>
  <c r="N31" i="21" s="1"/>
  <c r="AC32" i="28"/>
  <c r="K275" i="5"/>
  <c r="X104" i="17" l="1"/>
  <c r="X64" i="1"/>
  <c r="U42" i="16"/>
  <c r="S68" i="16"/>
  <c r="S70" i="16" s="1"/>
  <c r="K64" i="21"/>
  <c r="AE13" i="28"/>
  <c r="M300" i="5"/>
  <c r="M301" i="5"/>
  <c r="M183" i="39"/>
  <c r="AF15" i="28"/>
  <c r="O295" i="5"/>
  <c r="O296" i="5"/>
  <c r="O63" i="5"/>
  <c r="AE213" i="28"/>
  <c r="AE215" i="28" s="1"/>
  <c r="T65" i="16"/>
  <c r="T64" i="16" s="1"/>
  <c r="T68" i="16" s="1"/>
  <c r="AF120" i="28"/>
  <c r="M198" i="39"/>
  <c r="AF208" i="28"/>
  <c r="O117" i="5"/>
  <c r="O259" i="5" s="1"/>
  <c r="R33" i="15"/>
  <c r="AN252" i="28"/>
  <c r="V228" i="5"/>
  <c r="V113" i="5" s="1"/>
  <c r="S118" i="16"/>
  <c r="S117" i="16"/>
  <c r="R6" i="21"/>
  <c r="S15" i="21"/>
  <c r="S6" i="21"/>
  <c r="U228" i="5"/>
  <c r="U113" i="5" s="1"/>
  <c r="Q80" i="21"/>
  <c r="Q17" i="21"/>
  <c r="AL26" i="28"/>
  <c r="AL113" i="28"/>
  <c r="R17" i="21"/>
  <c r="R80" i="21"/>
  <c r="T310" i="5"/>
  <c r="T319" i="5" s="1"/>
  <c r="AL193" i="28"/>
  <c r="AL116" i="28"/>
  <c r="AN25" i="28"/>
  <c r="V34" i="5"/>
  <c r="V33" i="5"/>
  <c r="V110" i="5"/>
  <c r="AM25" i="28"/>
  <c r="U110" i="5"/>
  <c r="U34" i="5"/>
  <c r="U33" i="5"/>
  <c r="AK168" i="28"/>
  <c r="P28" i="21"/>
  <c r="P19" i="21"/>
  <c r="V137" i="5"/>
  <c r="O22" i="21"/>
  <c r="O23" i="21" s="1"/>
  <c r="O31" i="21" s="1"/>
  <c r="O10" i="21"/>
  <c r="U133" i="5"/>
  <c r="U147" i="5"/>
  <c r="U268" i="5"/>
  <c r="O32" i="21"/>
  <c r="O30" i="21"/>
  <c r="V163" i="5"/>
  <c r="V159" i="5" s="1"/>
  <c r="U45" i="5"/>
  <c r="U160" i="5"/>
  <c r="T44" i="5"/>
  <c r="T134" i="5"/>
  <c r="T135" i="5"/>
  <c r="T171" i="5"/>
  <c r="T80" i="5"/>
  <c r="S47" i="5"/>
  <c r="AK22" i="28"/>
  <c r="P8" i="21"/>
  <c r="P29" i="21"/>
  <c r="T145" i="5"/>
  <c r="T77" i="5"/>
  <c r="AL37" i="28" s="1"/>
  <c r="S145" i="5"/>
  <c r="S77" i="5"/>
  <c r="AK37" i="28" s="1"/>
  <c r="U142" i="5"/>
  <c r="T161" i="5"/>
  <c r="U168" i="5"/>
  <c r="R52" i="5"/>
  <c r="R325" i="5"/>
  <c r="R326" i="5" s="1"/>
  <c r="T269" i="5"/>
  <c r="AL23" i="28"/>
  <c r="AJ76" i="16"/>
  <c r="AK84" i="16" s="1"/>
  <c r="AM200" i="29"/>
  <c r="AL200" i="29" s="1"/>
  <c r="L317" i="5"/>
  <c r="I76" i="21"/>
  <c r="I77" i="21" s="1"/>
  <c r="K129" i="16"/>
  <c r="I78" i="21"/>
  <c r="AD33" i="28"/>
  <c r="L64" i="5"/>
  <c r="K184" i="39" s="1"/>
  <c r="AE194" i="28"/>
  <c r="AE199" i="28" s="1"/>
  <c r="AE203" i="28" s="1"/>
  <c r="AE206" i="28" s="1"/>
  <c r="AE212" i="28" s="1"/>
  <c r="L119" i="16"/>
  <c r="L128" i="16" s="1"/>
  <c r="N301" i="5" s="1"/>
  <c r="K119" i="5"/>
  <c r="N20" i="21"/>
  <c r="N34" i="21"/>
  <c r="AT187" i="35"/>
  <c r="AW252" i="35"/>
  <c r="Q234" i="5"/>
  <c r="Q233" i="5" s="1"/>
  <c r="P173" i="39"/>
  <c r="AP173" i="39" s="1"/>
  <c r="N112" i="5"/>
  <c r="M175" i="39"/>
  <c r="AM175" i="39" s="1"/>
  <c r="K11" i="21"/>
  <c r="K12" i="21" s="1"/>
  <c r="K75" i="21" s="1"/>
  <c r="N57" i="5"/>
  <c r="P237" i="5"/>
  <c r="K62" i="5"/>
  <c r="K276" i="5"/>
  <c r="M61" i="5"/>
  <c r="L177" i="39"/>
  <c r="AL177" i="39" s="1"/>
  <c r="AE31" i="28"/>
  <c r="M258" i="5"/>
  <c r="M257" i="5" s="1"/>
  <c r="AD16" i="28"/>
  <c r="K181" i="39"/>
  <c r="AK181" i="39" s="1"/>
  <c r="L98" i="5"/>
  <c r="L99" i="5" s="1"/>
  <c r="L101" i="5" s="1"/>
  <c r="AC167" i="28"/>
  <c r="H65" i="21"/>
  <c r="L193" i="39"/>
  <c r="AL193" i="39" s="1"/>
  <c r="AE115" i="28"/>
  <c r="M314" i="5"/>
  <c r="M315" i="5" s="1"/>
  <c r="M317" i="5" s="1"/>
  <c r="M120" i="5"/>
  <c r="K201" i="39"/>
  <c r="AK201" i="39" s="1"/>
  <c r="AD123" i="28"/>
  <c r="L321" i="5"/>
  <c r="L316" i="5"/>
  <c r="G22" i="34"/>
  <c r="G47" i="34" s="1"/>
  <c r="O54" i="5"/>
  <c r="O56" i="5" s="1"/>
  <c r="P297" i="5" s="1"/>
  <c r="P294" i="5" s="1"/>
  <c r="O239" i="5"/>
  <c r="O272" i="5"/>
  <c r="S69" i="16" l="1"/>
  <c r="T70" i="16"/>
  <c r="U65" i="16"/>
  <c r="U64" i="16" s="1"/>
  <c r="U66" i="16" s="1"/>
  <c r="L64" i="21"/>
  <c r="AF13" i="28"/>
  <c r="P295" i="5"/>
  <c r="P63" i="5"/>
  <c r="P296" i="5"/>
  <c r="AG15" i="28"/>
  <c r="N183" i="39"/>
  <c r="T69" i="16"/>
  <c r="AF213" i="28"/>
  <c r="AF215" i="28" s="1"/>
  <c r="J78" i="21"/>
  <c r="N300" i="5"/>
  <c r="T66" i="16"/>
  <c r="AG208" i="28"/>
  <c r="N198" i="39"/>
  <c r="AG120" i="28"/>
  <c r="P117" i="5"/>
  <c r="P259" i="5" s="1"/>
  <c r="AL201" i="29"/>
  <c r="AL202" i="29"/>
  <c r="U118" i="16"/>
  <c r="U117" i="16"/>
  <c r="AN193" i="28"/>
  <c r="V310" i="5"/>
  <c r="V319" i="5" s="1"/>
  <c r="T118" i="16"/>
  <c r="T117" i="16"/>
  <c r="AN116" i="28"/>
  <c r="V142" i="5"/>
  <c r="V144" i="5" s="1"/>
  <c r="AM26" i="28"/>
  <c r="AM113" i="28"/>
  <c r="AM168" i="28"/>
  <c r="R28" i="21"/>
  <c r="R19" i="21"/>
  <c r="U310" i="5"/>
  <c r="U319" i="5" s="1"/>
  <c r="AM116" i="28"/>
  <c r="AM193" i="28"/>
  <c r="P20" i="21"/>
  <c r="AK169" i="28"/>
  <c r="AK170" i="28" s="1"/>
  <c r="AN26" i="28"/>
  <c r="AN113" i="28"/>
  <c r="AL168" i="28"/>
  <c r="Q19" i="21"/>
  <c r="Q28" i="21"/>
  <c r="V168" i="5"/>
  <c r="V170" i="5" s="1"/>
  <c r="V161" i="5" s="1"/>
  <c r="S80" i="21"/>
  <c r="S17" i="21"/>
  <c r="P22" i="21"/>
  <c r="P23" i="21" s="1"/>
  <c r="P31" i="21" s="1"/>
  <c r="P10" i="21"/>
  <c r="S325" i="5"/>
  <c r="S326" i="5" s="1"/>
  <c r="S52" i="5"/>
  <c r="U269" i="5"/>
  <c r="AM23" i="28"/>
  <c r="U134" i="5"/>
  <c r="U44" i="5"/>
  <c r="U170" i="5"/>
  <c r="V160" i="5"/>
  <c r="V45" i="5"/>
  <c r="U144" i="5"/>
  <c r="O34" i="21"/>
  <c r="O35" i="21" s="1"/>
  <c r="V147" i="5"/>
  <c r="V268" i="5"/>
  <c r="V133" i="5"/>
  <c r="R234" i="5"/>
  <c r="P32" i="21"/>
  <c r="P30" i="21"/>
  <c r="AL22" i="28"/>
  <c r="Q8" i="21"/>
  <c r="Q29" i="21"/>
  <c r="T47" i="5"/>
  <c r="M64" i="5"/>
  <c r="L184" i="39" s="1"/>
  <c r="AE33" i="28"/>
  <c r="L129" i="16"/>
  <c r="AF194" i="28"/>
  <c r="AF199" i="28" s="1"/>
  <c r="AF203" i="28" s="1"/>
  <c r="AF206" i="28" s="1"/>
  <c r="AF212" i="28" s="1"/>
  <c r="M119" i="16"/>
  <c r="M128" i="16" s="1"/>
  <c r="O301" i="5" s="1"/>
  <c r="J200" i="39"/>
  <c r="AC122" i="28"/>
  <c r="AC118" i="28"/>
  <c r="K120" i="5"/>
  <c r="N35" i="21"/>
  <c r="AW253" i="35"/>
  <c r="AT188" i="35"/>
  <c r="M98" i="5"/>
  <c r="M99" i="5" s="1"/>
  <c r="AF31" i="28"/>
  <c r="N61" i="5"/>
  <c r="N258" i="5"/>
  <c r="N257" i="5" s="1"/>
  <c r="M177" i="39"/>
  <c r="AM177" i="39" s="1"/>
  <c r="AD29" i="28"/>
  <c r="AE123" i="28"/>
  <c r="L201" i="39"/>
  <c r="AL201" i="39" s="1"/>
  <c r="L181" i="39"/>
  <c r="AL181" i="39" s="1"/>
  <c r="AE16" i="28"/>
  <c r="H22" i="34"/>
  <c r="H47" i="34" s="1"/>
  <c r="M316" i="5"/>
  <c r="M321" i="5"/>
  <c r="J76" i="21"/>
  <c r="J77" i="21" s="1"/>
  <c r="AF115" i="28"/>
  <c r="M193" i="39"/>
  <c r="AM193" i="39" s="1"/>
  <c r="N314" i="5"/>
  <c r="N315" i="5" s="1"/>
  <c r="N317" i="5" s="1"/>
  <c r="N120" i="5"/>
  <c r="P54" i="5"/>
  <c r="P56" i="5" s="1"/>
  <c r="Q297" i="5" s="1"/>
  <c r="Q294" i="5" s="1"/>
  <c r="P239" i="5"/>
  <c r="P272" i="5"/>
  <c r="O112" i="5"/>
  <c r="N175" i="39"/>
  <c r="AN175" i="39" s="1"/>
  <c r="L11" i="21"/>
  <c r="L12" i="21" s="1"/>
  <c r="L75" i="21" s="1"/>
  <c r="O57" i="5"/>
  <c r="AC166" i="28"/>
  <c r="H74" i="21"/>
  <c r="H70" i="21"/>
  <c r="H73" i="21"/>
  <c r="H67" i="21"/>
  <c r="J182" i="39"/>
  <c r="AJ182" i="39" s="1"/>
  <c r="AC17" i="28"/>
  <c r="Q237" i="5"/>
  <c r="U68" i="16" l="1"/>
  <c r="U69" i="16" s="1"/>
  <c r="M64" i="21"/>
  <c r="AG13" i="28"/>
  <c r="Q295" i="5"/>
  <c r="Q63" i="5"/>
  <c r="Q296" i="5"/>
  <c r="O183" i="39"/>
  <c r="AH15" i="28"/>
  <c r="AG213" i="28"/>
  <c r="AG215" i="28" s="1"/>
  <c r="AH120" i="28"/>
  <c r="AH208" i="28"/>
  <c r="O198" i="39"/>
  <c r="Q117" i="5"/>
  <c r="Q259" i="5" s="1"/>
  <c r="K78" i="21"/>
  <c r="O300" i="5"/>
  <c r="Q20" i="21"/>
  <c r="AL169" i="28"/>
  <c r="AL170" i="28" s="1"/>
  <c r="AM169" i="28"/>
  <c r="AM170" i="28" s="1"/>
  <c r="R20" i="21"/>
  <c r="AN168" i="28"/>
  <c r="S28" i="21"/>
  <c r="S19" i="21"/>
  <c r="U77" i="5"/>
  <c r="AM37" i="28" s="1"/>
  <c r="U145" i="5"/>
  <c r="U47" i="5"/>
  <c r="R29" i="21"/>
  <c r="R8" i="21"/>
  <c r="AM22" i="28"/>
  <c r="V77" i="5"/>
  <c r="AN37" i="28" s="1"/>
  <c r="V145" i="5"/>
  <c r="V269" i="5"/>
  <c r="AN23" i="28"/>
  <c r="T52" i="5"/>
  <c r="T325" i="5"/>
  <c r="T326" i="5" s="1"/>
  <c r="R237" i="5"/>
  <c r="R233" i="5"/>
  <c r="Q32" i="21"/>
  <c r="Q30" i="21"/>
  <c r="V44" i="5"/>
  <c r="V135" i="5"/>
  <c r="V134" i="5"/>
  <c r="V171" i="5"/>
  <c r="V80" i="5"/>
  <c r="S234" i="5"/>
  <c r="Q22" i="21"/>
  <c r="Q23" i="21" s="1"/>
  <c r="Q31" i="21" s="1"/>
  <c r="Q10" i="21"/>
  <c r="U80" i="5"/>
  <c r="U171" i="5"/>
  <c r="U161" i="5"/>
  <c r="P34" i="21"/>
  <c r="U135" i="5"/>
  <c r="N64" i="5"/>
  <c r="M184" i="39" s="1"/>
  <c r="AF33" i="28"/>
  <c r="M129" i="16"/>
  <c r="AG194" i="28"/>
  <c r="AG199" i="28" s="1"/>
  <c r="AG203" i="28" s="1"/>
  <c r="AG206" i="28" s="1"/>
  <c r="AG212" i="28" s="1"/>
  <c r="N119" i="16"/>
  <c r="N128" i="16" s="1"/>
  <c r="P301" i="5" s="1"/>
  <c r="AC123" i="28"/>
  <c r="J201" i="39"/>
  <c r="AJ201" i="39" s="1"/>
  <c r="K122" i="5"/>
  <c r="J203" i="39" s="1"/>
  <c r="AW254" i="35"/>
  <c r="AT189" i="35"/>
  <c r="N98" i="5"/>
  <c r="N99" i="5" s="1"/>
  <c r="P112" i="5"/>
  <c r="M11" i="21"/>
  <c r="M12" i="21" s="1"/>
  <c r="M75" i="21" s="1"/>
  <c r="O175" i="39"/>
  <c r="AO175" i="39" s="1"/>
  <c r="P57" i="5"/>
  <c r="M201" i="39"/>
  <c r="AM201" i="39" s="1"/>
  <c r="AF123" i="28"/>
  <c r="I22" i="34"/>
  <c r="I47" i="34" s="1"/>
  <c r="N321" i="5"/>
  <c r="N316" i="5"/>
  <c r="K76" i="21"/>
  <c r="K77" i="21" s="1"/>
  <c r="Q54" i="5"/>
  <c r="Q56" i="5" s="1"/>
  <c r="R297" i="5" s="1"/>
  <c r="R294" i="5" s="1"/>
  <c r="Q239" i="5"/>
  <c r="Q272" i="5"/>
  <c r="O258" i="5"/>
  <c r="O257" i="5" s="1"/>
  <c r="AG31" i="28"/>
  <c r="O61" i="5"/>
  <c r="N177" i="39"/>
  <c r="AN177" i="39" s="1"/>
  <c r="M181" i="39"/>
  <c r="AM181" i="39" s="1"/>
  <c r="AF16" i="28"/>
  <c r="H69" i="21"/>
  <c r="B77" i="37" s="1"/>
  <c r="C77" i="37"/>
  <c r="N193" i="39"/>
  <c r="AN193" i="39" s="1"/>
  <c r="O314" i="5"/>
  <c r="O315" i="5" s="1"/>
  <c r="O317" i="5" s="1"/>
  <c r="AG115" i="28"/>
  <c r="O120" i="5"/>
  <c r="AE29" i="28"/>
  <c r="M101" i="5"/>
  <c r="U70" i="16" l="1"/>
  <c r="N64" i="21"/>
  <c r="AH13" i="28"/>
  <c r="R295" i="5"/>
  <c r="R63" i="5"/>
  <c r="AJ15" i="28" s="1"/>
  <c r="R296" i="5"/>
  <c r="AI15" i="28"/>
  <c r="P183" i="39"/>
  <c r="AH213" i="28"/>
  <c r="AH215" i="28" s="1"/>
  <c r="P198" i="39"/>
  <c r="AI120" i="28"/>
  <c r="AI208" i="28"/>
  <c r="R117" i="5"/>
  <c r="R259" i="5" s="1"/>
  <c r="L78" i="21"/>
  <c r="P300" i="5"/>
  <c r="P35" i="21"/>
  <c r="S20" i="21"/>
  <c r="AN169" i="28"/>
  <c r="AN170" i="28" s="1"/>
  <c r="Q34" i="21"/>
  <c r="Q35" i="21" s="1"/>
  <c r="S233" i="5"/>
  <c r="S237" i="5"/>
  <c r="R272" i="5"/>
  <c r="R274" i="5" s="1"/>
  <c r="R239" i="5"/>
  <c r="R54" i="5"/>
  <c r="R22" i="21"/>
  <c r="R23" i="21" s="1"/>
  <c r="R31" i="21" s="1"/>
  <c r="R10" i="21"/>
  <c r="R32" i="21"/>
  <c r="R30" i="21"/>
  <c r="T234" i="5"/>
  <c r="U325" i="5"/>
  <c r="U326" i="5" s="1"/>
  <c r="U52" i="5"/>
  <c r="V47" i="5"/>
  <c r="S8" i="21"/>
  <c r="AN22" i="28"/>
  <c r="S29" i="21"/>
  <c r="O64" i="5"/>
  <c r="N184" i="39" s="1"/>
  <c r="N129" i="16"/>
  <c r="AG33" i="28"/>
  <c r="AH194" i="28"/>
  <c r="AH199" i="28" s="1"/>
  <c r="AH203" i="28" s="1"/>
  <c r="AH206" i="28" s="1"/>
  <c r="AH212" i="28" s="1"/>
  <c r="O119" i="16"/>
  <c r="O128" i="16" s="1"/>
  <c r="Q301" i="5" s="1"/>
  <c r="AW255" i="35"/>
  <c r="AT190" i="35"/>
  <c r="O98" i="5"/>
  <c r="O99" i="5" s="1"/>
  <c r="P258" i="5"/>
  <c r="P257" i="5" s="1"/>
  <c r="AH31" i="28"/>
  <c r="O177" i="39"/>
  <c r="AO177" i="39" s="1"/>
  <c r="P61" i="5"/>
  <c r="AG123" i="28"/>
  <c r="N201" i="39"/>
  <c r="AN201" i="39" s="1"/>
  <c r="O193" i="39"/>
  <c r="AO193" i="39" s="1"/>
  <c r="P314" i="5"/>
  <c r="P315" i="5" s="1"/>
  <c r="P317" i="5" s="1"/>
  <c r="AH115" i="28"/>
  <c r="P120" i="5"/>
  <c r="Q112" i="5"/>
  <c r="P175" i="39"/>
  <c r="AP175" i="39" s="1"/>
  <c r="N11" i="21"/>
  <c r="N12" i="21" s="1"/>
  <c r="N75" i="21" s="1"/>
  <c r="Q57" i="5"/>
  <c r="O321" i="5"/>
  <c r="O316" i="5"/>
  <c r="J22" i="34"/>
  <c r="J47" i="34" s="1"/>
  <c r="L76" i="21"/>
  <c r="L77" i="21" s="1"/>
  <c r="N101" i="5"/>
  <c r="AF29" i="28"/>
  <c r="N181" i="39"/>
  <c r="AN181" i="39" s="1"/>
  <c r="AG16" i="28"/>
  <c r="O64" i="21" l="1"/>
  <c r="AI13" i="28"/>
  <c r="AI213" i="28"/>
  <c r="AI215" i="28" s="1"/>
  <c r="M78" i="21"/>
  <c r="Q300" i="5"/>
  <c r="AJ208" i="28"/>
  <c r="AJ120" i="28"/>
  <c r="O11" i="21"/>
  <c r="O12" i="21" s="1"/>
  <c r="O75" i="21" s="1"/>
  <c r="R112" i="5"/>
  <c r="Q119" i="16" s="1"/>
  <c r="Q128" i="16" s="1"/>
  <c r="R57" i="5"/>
  <c r="R56" i="5"/>
  <c r="S297" i="5" s="1"/>
  <c r="S294" i="5" s="1"/>
  <c r="U234" i="5"/>
  <c r="S32" i="21"/>
  <c r="S30" i="21"/>
  <c r="AJ32" i="28"/>
  <c r="R275" i="5"/>
  <c r="R62" i="5" s="1"/>
  <c r="AJ17" i="28" s="1"/>
  <c r="T233" i="5"/>
  <c r="T237" i="5"/>
  <c r="S22" i="21"/>
  <c r="S23" i="21" s="1"/>
  <c r="S31" i="21" s="1"/>
  <c r="S10" i="21"/>
  <c r="R34" i="21"/>
  <c r="S239" i="5"/>
  <c r="S54" i="5"/>
  <c r="S272" i="5"/>
  <c r="S274" i="5" s="1"/>
  <c r="V325" i="5"/>
  <c r="V326" i="5" s="1"/>
  <c r="V52" i="5"/>
  <c r="P64" i="5"/>
  <c r="O184" i="39" s="1"/>
  <c r="AH33" i="28"/>
  <c r="AI194" i="28"/>
  <c r="AI199" i="28" s="1"/>
  <c r="AI203" i="28" s="1"/>
  <c r="AI206" i="28" s="1"/>
  <c r="AI212" i="28" s="1"/>
  <c r="P119" i="16"/>
  <c r="P128" i="16" s="1"/>
  <c r="O129" i="16"/>
  <c r="AW256" i="35"/>
  <c r="AT191" i="35"/>
  <c r="P98" i="5"/>
  <c r="P99" i="5" s="1"/>
  <c r="P193" i="39"/>
  <c r="AP193" i="39" s="1"/>
  <c r="Q314" i="5"/>
  <c r="Q315" i="5" s="1"/>
  <c r="AI115" i="28"/>
  <c r="Q120" i="5"/>
  <c r="AH16" i="28"/>
  <c r="O181" i="39"/>
  <c r="AO181" i="39" s="1"/>
  <c r="AI31" i="28"/>
  <c r="P177" i="39"/>
  <c r="AP177" i="39" s="1"/>
  <c r="Q258" i="5"/>
  <c r="Q257" i="5" s="1"/>
  <c r="Q61" i="5"/>
  <c r="O201" i="39"/>
  <c r="AO201" i="39" s="1"/>
  <c r="AH123" i="28"/>
  <c r="AG29" i="28"/>
  <c r="O101" i="5"/>
  <c r="K22" i="34"/>
  <c r="K47" i="34" s="1"/>
  <c r="P316" i="5"/>
  <c r="P321" i="5"/>
  <c r="M76" i="21"/>
  <c r="M77" i="21" s="1"/>
  <c r="AJ13" i="28" l="1"/>
  <c r="O78" i="21"/>
  <c r="S301" i="5"/>
  <c r="R300" i="5"/>
  <c r="R301" i="5"/>
  <c r="S295" i="5"/>
  <c r="S296" i="5"/>
  <c r="S63" i="5"/>
  <c r="AK15" i="28" s="1"/>
  <c r="AJ213" i="28"/>
  <c r="AJ215" i="28" s="1"/>
  <c r="S117" i="5"/>
  <c r="S259" i="5" s="1"/>
  <c r="S300" i="5"/>
  <c r="R35" i="21"/>
  <c r="Q129" i="16"/>
  <c r="V234" i="5"/>
  <c r="U237" i="5"/>
  <c r="U233" i="5"/>
  <c r="T54" i="5"/>
  <c r="T272" i="5"/>
  <c r="T274" i="5" s="1"/>
  <c r="T239" i="5"/>
  <c r="AJ31" i="28"/>
  <c r="R258" i="5"/>
  <c r="R257" i="5" s="1"/>
  <c r="R61" i="5"/>
  <c r="AJ16" i="28" s="1"/>
  <c r="P11" i="21"/>
  <c r="P12" i="21" s="1"/>
  <c r="P75" i="21" s="1"/>
  <c r="S112" i="5"/>
  <c r="R119" i="16" s="1"/>
  <c r="R128" i="16" s="1"/>
  <c r="T301" i="5" s="1"/>
  <c r="S57" i="5"/>
  <c r="S56" i="5"/>
  <c r="T297" i="5" s="1"/>
  <c r="T294" i="5" s="1"/>
  <c r="AJ115" i="28"/>
  <c r="AJ194" i="28"/>
  <c r="AJ199" i="28" s="1"/>
  <c r="AJ203" i="28" s="1"/>
  <c r="AJ206" i="28" s="1"/>
  <c r="R314" i="5"/>
  <c r="R315" i="5" s="1"/>
  <c r="R317" i="5" s="1"/>
  <c r="R120" i="5"/>
  <c r="AJ123" i="28" s="1"/>
  <c r="S34" i="21"/>
  <c r="C41" i="21" s="1"/>
  <c r="AK32" i="28"/>
  <c r="S275" i="5"/>
  <c r="Q317" i="5"/>
  <c r="Q98" i="5"/>
  <c r="Q99" i="5" s="1"/>
  <c r="Q101" i="5" s="1"/>
  <c r="N78" i="21"/>
  <c r="Q64" i="5"/>
  <c r="P184" i="39" s="1"/>
  <c r="AI33" i="28"/>
  <c r="P129" i="16"/>
  <c r="AW257" i="35"/>
  <c r="AT192" i="35"/>
  <c r="AI123" i="28"/>
  <c r="P201" i="39"/>
  <c r="AP201" i="39" s="1"/>
  <c r="AI16" i="28"/>
  <c r="P181" i="39"/>
  <c r="AP181" i="39" s="1"/>
  <c r="L22" i="34"/>
  <c r="L47" i="34" s="1"/>
  <c r="Q321" i="5"/>
  <c r="Q316" i="5"/>
  <c r="N76" i="21"/>
  <c r="N77" i="21" s="1"/>
  <c r="P101" i="5"/>
  <c r="AH29" i="28"/>
  <c r="P64" i="21" l="1"/>
  <c r="T295" i="5"/>
  <c r="T296" i="5"/>
  <c r="T63" i="5"/>
  <c r="AL15" i="28" s="1"/>
  <c r="T117" i="5"/>
  <c r="T259" i="5" s="1"/>
  <c r="T300" i="5"/>
  <c r="AK120" i="28"/>
  <c r="AK208" i="28"/>
  <c r="S35" i="21"/>
  <c r="C42" i="21"/>
  <c r="C43" i="21" s="1"/>
  <c r="C44" i="21" s="1"/>
  <c r="R129" i="16"/>
  <c r="P78" i="21"/>
  <c r="AI29" i="28"/>
  <c r="AL32" i="28"/>
  <c r="T275" i="5"/>
  <c r="S62" i="5"/>
  <c r="AK17" i="28" s="1"/>
  <c r="S276" i="5"/>
  <c r="AK31" i="28"/>
  <c r="S258" i="5"/>
  <c r="S257" i="5" s="1"/>
  <c r="S61" i="5"/>
  <c r="AK16" i="28" s="1"/>
  <c r="Q11" i="21"/>
  <c r="Q12" i="21" s="1"/>
  <c r="Q75" i="21" s="1"/>
  <c r="T112" i="5"/>
  <c r="S119" i="16" s="1"/>
  <c r="S128" i="16" s="1"/>
  <c r="U301" i="5" s="1"/>
  <c r="T57" i="5"/>
  <c r="T56" i="5"/>
  <c r="U297" i="5" s="1"/>
  <c r="U294" i="5" s="1"/>
  <c r="AK115" i="28"/>
  <c r="AK194" i="28"/>
  <c r="AK199" i="28" s="1"/>
  <c r="AK203" i="28" s="1"/>
  <c r="AK206" i="28" s="1"/>
  <c r="S314" i="5"/>
  <c r="S315" i="5" s="1"/>
  <c r="S317" i="5" s="1"/>
  <c r="S120" i="5"/>
  <c r="AK123" i="28" s="1"/>
  <c r="U272" i="5"/>
  <c r="U274" i="5" s="1"/>
  <c r="U54" i="5"/>
  <c r="U239" i="5"/>
  <c r="O76" i="21"/>
  <c r="O77" i="21" s="1"/>
  <c r="R321" i="5"/>
  <c r="R64" i="5"/>
  <c r="AJ33" i="28"/>
  <c r="AJ212" i="28"/>
  <c r="V233" i="5"/>
  <c r="V237" i="5"/>
  <c r="R316" i="5"/>
  <c r="R98" i="5"/>
  <c r="R99" i="5" s="1"/>
  <c r="AW258" i="35"/>
  <c r="AT193" i="35"/>
  <c r="Q64" i="21" l="1"/>
  <c r="AK13" i="28"/>
  <c r="U295" i="5"/>
  <c r="U296" i="5"/>
  <c r="U63" i="5"/>
  <c r="AM15" i="28" s="1"/>
  <c r="AK213" i="28"/>
  <c r="AK215" i="28" s="1"/>
  <c r="U300" i="5"/>
  <c r="U117" i="5"/>
  <c r="U259" i="5" s="1"/>
  <c r="AL208" i="28"/>
  <c r="AL120" i="28"/>
  <c r="S129" i="16"/>
  <c r="Q78" i="21"/>
  <c r="AM32" i="28"/>
  <c r="U275" i="5"/>
  <c r="P76" i="21"/>
  <c r="P77" i="21" s="1"/>
  <c r="S316" i="5"/>
  <c r="S321" i="5"/>
  <c r="R101" i="5"/>
  <c r="AJ29" i="28"/>
  <c r="S64" i="5"/>
  <c r="AK212" i="28"/>
  <c r="AK33" i="28"/>
  <c r="V239" i="5"/>
  <c r="V54" i="5"/>
  <c r="V272" i="5"/>
  <c r="V274" i="5" s="1"/>
  <c r="AL31" i="28"/>
  <c r="T258" i="5"/>
  <c r="T257" i="5" s="1"/>
  <c r="T61" i="5"/>
  <c r="AL16" i="28" s="1"/>
  <c r="T276" i="5"/>
  <c r="T62" i="5"/>
  <c r="AL17" i="28" s="1"/>
  <c r="R11" i="21"/>
  <c r="R12" i="21" s="1"/>
  <c r="R75" i="21" s="1"/>
  <c r="U112" i="5"/>
  <c r="T119" i="16" s="1"/>
  <c r="T128" i="16" s="1"/>
  <c r="V301" i="5" s="1"/>
  <c r="U56" i="5"/>
  <c r="V297" i="5" s="1"/>
  <c r="V294" i="5" s="1"/>
  <c r="U57" i="5"/>
  <c r="AL115" i="28"/>
  <c r="AL194" i="28"/>
  <c r="AL199" i="28" s="1"/>
  <c r="AL203" i="28" s="1"/>
  <c r="AL206" i="28" s="1"/>
  <c r="T314" i="5"/>
  <c r="T315" i="5" s="1"/>
  <c r="T317" i="5" s="1"/>
  <c r="T120" i="5"/>
  <c r="AL123" i="28" s="1"/>
  <c r="S98" i="5"/>
  <c r="S99" i="5" s="1"/>
  <c r="AW259" i="35"/>
  <c r="AT194" i="35"/>
  <c r="R64" i="21" l="1"/>
  <c r="AL13" i="28"/>
  <c r="V295" i="5"/>
  <c r="V296" i="5"/>
  <c r="V63" i="5"/>
  <c r="AN15" i="28" s="1"/>
  <c r="AL213" i="28"/>
  <c r="AL215" i="28" s="1"/>
  <c r="AM120" i="28"/>
  <c r="AM208" i="28"/>
  <c r="V300" i="5"/>
  <c r="V117" i="5"/>
  <c r="V259" i="5" s="1"/>
  <c r="T129" i="16"/>
  <c r="R78" i="21"/>
  <c r="AM31" i="28"/>
  <c r="U258" i="5"/>
  <c r="U257" i="5" s="1"/>
  <c r="U61" i="5"/>
  <c r="AM16" i="28" s="1"/>
  <c r="AN32" i="28"/>
  <c r="V275" i="5"/>
  <c r="AM194" i="28"/>
  <c r="AM199" i="28" s="1"/>
  <c r="AM203" i="28" s="1"/>
  <c r="AM206" i="28" s="1"/>
  <c r="AM115" i="28"/>
  <c r="U314" i="5"/>
  <c r="U315" i="5" s="1"/>
  <c r="U120" i="5"/>
  <c r="AM123" i="28" s="1"/>
  <c r="S11" i="21"/>
  <c r="S12" i="21" s="1"/>
  <c r="S75" i="21" s="1"/>
  <c r="V112" i="5"/>
  <c r="U119" i="16" s="1"/>
  <c r="U128" i="16" s="1"/>
  <c r="V56" i="5"/>
  <c r="V57" i="5"/>
  <c r="S101" i="5"/>
  <c r="AK29" i="28"/>
  <c r="Q76" i="21"/>
  <c r="Q77" i="21" s="1"/>
  <c r="T321" i="5"/>
  <c r="T316" i="5"/>
  <c r="T64" i="5"/>
  <c r="AL33" i="28"/>
  <c r="AL212" i="28"/>
  <c r="U62" i="5"/>
  <c r="AM17" i="28" s="1"/>
  <c r="U276" i="5"/>
  <c r="T98" i="5"/>
  <c r="T99" i="5" s="1"/>
  <c r="AW260" i="35"/>
  <c r="AT195" i="35"/>
  <c r="S64" i="21" l="1"/>
  <c r="AN13" i="28" s="1"/>
  <c r="AM13" i="28"/>
  <c r="AM213" i="28"/>
  <c r="AM215" i="28" s="1"/>
  <c r="U316" i="5"/>
  <c r="U317" i="5"/>
  <c r="AN208" i="28"/>
  <c r="AN120" i="28"/>
  <c r="U129" i="16"/>
  <c r="S78" i="21"/>
  <c r="U64" i="5"/>
  <c r="AM212" i="28"/>
  <c r="AM33" i="28"/>
  <c r="AN31" i="28"/>
  <c r="V258" i="5"/>
  <c r="V257" i="5" s="1"/>
  <c r="V98" i="5" s="1"/>
  <c r="V99" i="5" s="1"/>
  <c r="V61" i="5"/>
  <c r="AN16" i="28" s="1"/>
  <c r="V62" i="5"/>
  <c r="AN17" i="28" s="1"/>
  <c r="V276" i="5"/>
  <c r="R76" i="21"/>
  <c r="R77" i="21" s="1"/>
  <c r="U321" i="5"/>
  <c r="T101" i="5"/>
  <c r="AL29" i="28"/>
  <c r="AN115" i="28"/>
  <c r="AN194" i="28"/>
  <c r="AN199" i="28" s="1"/>
  <c r="AN203" i="28" s="1"/>
  <c r="AN206" i="28" s="1"/>
  <c r="V314" i="5"/>
  <c r="V315" i="5" s="1"/>
  <c r="V317" i="5" s="1"/>
  <c r="V120" i="5"/>
  <c r="AN123" i="28" s="1"/>
  <c r="U98" i="5"/>
  <c r="U99" i="5" s="1"/>
  <c r="AW261" i="35"/>
  <c r="AT196" i="35"/>
  <c r="AN213" i="28" l="1"/>
  <c r="AN215" i="28" s="1"/>
  <c r="V101" i="5"/>
  <c r="AN29" i="28"/>
  <c r="V64" i="5"/>
  <c r="AN212" i="28"/>
  <c r="AN33" i="28"/>
  <c r="U101" i="5"/>
  <c r="AM29" i="28"/>
  <c r="S76" i="21"/>
  <c r="S77" i="21" s="1"/>
  <c r="V316" i="5"/>
  <c r="V321" i="5"/>
  <c r="AW262" i="35"/>
  <c r="AT197" i="35"/>
  <c r="AT198" i="35" l="1"/>
  <c r="AW263" i="35"/>
  <c r="AW264" i="35" l="1"/>
  <c r="AT199" i="35"/>
  <c r="AW265" i="35" l="1"/>
  <c r="AT200" i="35"/>
  <c r="AW266" i="35" l="1"/>
  <c r="AT201" i="35"/>
  <c r="AT202" i="35" l="1"/>
  <c r="AW267" i="35"/>
  <c r="AW268" i="35" l="1"/>
  <c r="AT203" i="35"/>
  <c r="AW269" i="35" l="1"/>
  <c r="AT204" i="35"/>
  <c r="AW270" i="35" l="1"/>
  <c r="AT205" i="35"/>
  <c r="AT206" i="35" l="1"/>
  <c r="AW271" i="35"/>
  <c r="AT207" i="35" l="1"/>
  <c r="AW272" i="35"/>
  <c r="AT208" i="35" l="1"/>
  <c r="AW273" i="35"/>
  <c r="AW274" i="35" l="1"/>
  <c r="AT209" i="35"/>
  <c r="AT210" i="35" l="1"/>
  <c r="AW275" i="35"/>
  <c r="AT211" i="35" l="1"/>
  <c r="AW276" i="35"/>
  <c r="AT212" i="35" l="1"/>
  <c r="AW277" i="35"/>
  <c r="AT213" i="35" l="1"/>
  <c r="AW278" i="35"/>
  <c r="AT214" i="35" l="1"/>
  <c r="AW279" i="35"/>
  <c r="AW280" i="35" l="1"/>
  <c r="AT215" i="35"/>
  <c r="AT216" i="35" l="1"/>
  <c r="AW281" i="35"/>
  <c r="AT217" i="35" l="1"/>
  <c r="AW282" i="35"/>
  <c r="AW283" i="35" l="1"/>
  <c r="AT218" i="35"/>
  <c r="AT219" i="35" l="1"/>
  <c r="AW284" i="35"/>
  <c r="AT220" i="35" l="1"/>
  <c r="AW285" i="35"/>
  <c r="AT221" i="35" l="1"/>
  <c r="AW286" i="35"/>
  <c r="AT222" i="35" l="1"/>
  <c r="AW287" i="35"/>
  <c r="AT223" i="35" l="1"/>
  <c r="AW288" i="35"/>
  <c r="AT224" i="35" l="1"/>
  <c r="AW289" i="35"/>
  <c r="AT225" i="35" l="1"/>
  <c r="AW290" i="35"/>
  <c r="AT226" i="35" l="1"/>
  <c r="AW291" i="35"/>
  <c r="AW292" i="35" l="1"/>
  <c r="AT227" i="35"/>
  <c r="AT228" i="35" l="1"/>
  <c r="AW293" i="35"/>
  <c r="AT229" i="35" l="1"/>
  <c r="AW294" i="35"/>
  <c r="AT230" i="35" l="1"/>
  <c r="AW295" i="35"/>
  <c r="AW296" i="35" l="1"/>
  <c r="AT231" i="35"/>
  <c r="AW297" i="35" l="1"/>
  <c r="AT232" i="35"/>
  <c r="AT233" i="35" l="1"/>
  <c r="AW298" i="35"/>
  <c r="AW299" i="35" l="1"/>
  <c r="AT234" i="35"/>
  <c r="AW300" i="35" l="1"/>
  <c r="AT235" i="35"/>
  <c r="AT236" i="35" l="1"/>
  <c r="AW301" i="35"/>
  <c r="AW302" i="35" l="1"/>
  <c r="AT237" i="35"/>
  <c r="AT238" i="35" l="1"/>
  <c r="AW303" i="35"/>
  <c r="AT239" i="35" l="1"/>
  <c r="AW304" i="35"/>
  <c r="AT240" i="35" l="1"/>
  <c r="AW305" i="35"/>
  <c r="AT241" i="35" l="1"/>
  <c r="AW306" i="35"/>
  <c r="AW307" i="35" l="1"/>
  <c r="AT242" i="35"/>
  <c r="AW308" i="35" l="1"/>
  <c r="AT243" i="35"/>
  <c r="AT244" i="35" l="1"/>
  <c r="AW309" i="35"/>
  <c r="AT245" i="35" l="1"/>
  <c r="AW310" i="35"/>
  <c r="AW311" i="35" l="1"/>
  <c r="AT246" i="35"/>
  <c r="AT247" i="35" l="1"/>
  <c r="AW312" i="35"/>
  <c r="AW313" i="35" l="1"/>
  <c r="AT248" i="35"/>
  <c r="AT249" i="35" l="1"/>
  <c r="AW314" i="35"/>
  <c r="AW315" i="35" l="1"/>
  <c r="AT250" i="35"/>
  <c r="AT251" i="35" l="1"/>
  <c r="AW316" i="35"/>
  <c r="AW317" i="35" l="1"/>
  <c r="AT252" i="35"/>
  <c r="AT253" i="35" l="1"/>
  <c r="AW318" i="35"/>
  <c r="AW319" i="35" l="1"/>
  <c r="AT254" i="35"/>
  <c r="AT255" i="35" l="1"/>
  <c r="AW320" i="35"/>
  <c r="AW321" i="35" l="1"/>
  <c r="AT256" i="35"/>
  <c r="AT257" i="35" l="1"/>
  <c r="AW322" i="35"/>
  <c r="AT258" i="35" l="1"/>
  <c r="AW323" i="35"/>
  <c r="AW324" i="35" l="1"/>
  <c r="AT259" i="35"/>
  <c r="AT260" i="35" l="1"/>
  <c r="AW325" i="35"/>
  <c r="AT261" i="35" l="1"/>
  <c r="AW326" i="35"/>
  <c r="AT262" i="35" l="1"/>
  <c r="AW327" i="35"/>
  <c r="AT263" i="35" l="1"/>
  <c r="AW328" i="35"/>
  <c r="AW329" i="35" l="1"/>
  <c r="AT264" i="35"/>
  <c r="AT265" i="35" l="1"/>
  <c r="AW330" i="35"/>
  <c r="AT266" i="35" l="1"/>
  <c r="AW331" i="35"/>
  <c r="AW332" i="35" l="1"/>
  <c r="AT267" i="35"/>
  <c r="AT268" i="35" l="1"/>
  <c r="AW333" i="35"/>
  <c r="AW334" i="35" l="1"/>
  <c r="AT269" i="35"/>
  <c r="AW335" i="35" l="1"/>
  <c r="AT270" i="35"/>
  <c r="AW336" i="35" l="1"/>
  <c r="AT271" i="35"/>
  <c r="AW337" i="35" l="1"/>
  <c r="AT272" i="35"/>
  <c r="AW338" i="35" l="1"/>
  <c r="AT273" i="35"/>
  <c r="AW339" i="35" l="1"/>
  <c r="AT274" i="35"/>
  <c r="AW340" i="35" l="1"/>
  <c r="AT275" i="35"/>
  <c r="AT276" i="35" l="1"/>
  <c r="AW341" i="35"/>
  <c r="AW342" i="35" l="1"/>
  <c r="AT277" i="35"/>
  <c r="AW343" i="35" l="1"/>
  <c r="AT278" i="35"/>
  <c r="AW344" i="35" l="1"/>
  <c r="AT279" i="35"/>
  <c r="AT280" i="35" l="1"/>
  <c r="AW345" i="35"/>
  <c r="AW346" i="35" l="1"/>
  <c r="AT281" i="35"/>
  <c r="AT282" i="35" l="1"/>
  <c r="AW347" i="35"/>
  <c r="AT283" i="35" l="1"/>
  <c r="AW348" i="35"/>
  <c r="AW349" i="35" l="1"/>
  <c r="AT284" i="35"/>
  <c r="AW350" i="35" l="1"/>
  <c r="AT285" i="35"/>
  <c r="AT286" i="35" l="1"/>
  <c r="AW351" i="35"/>
  <c r="AW352" i="35" l="1"/>
  <c r="AT287" i="35"/>
  <c r="AW353" i="35" l="1"/>
  <c r="AT288" i="35"/>
  <c r="AW354" i="35" l="1"/>
  <c r="AT289" i="35"/>
  <c r="AT290" i="35" l="1"/>
  <c r="AW355" i="35"/>
  <c r="AW356" i="35" l="1"/>
  <c r="AT291" i="35"/>
  <c r="AW357" i="35" l="1"/>
  <c r="AT292" i="35"/>
  <c r="AW358" i="35" l="1"/>
  <c r="AT293" i="35"/>
  <c r="AW359" i="35" l="1"/>
  <c r="AT294" i="35"/>
  <c r="AT295" i="35" l="1"/>
  <c r="AW360" i="35"/>
  <c r="AW361" i="35" l="1"/>
  <c r="AT296" i="35"/>
  <c r="AT297" i="35" l="1"/>
  <c r="AW362" i="35"/>
  <c r="AT298" i="35" l="1"/>
  <c r="AW363" i="35"/>
  <c r="AW364" i="35" l="1"/>
  <c r="AT299" i="35"/>
  <c r="AT300" i="35" l="1"/>
  <c r="AW366" i="35" s="1"/>
  <c r="AW365" i="35"/>
  <c r="BA2" i="35" l="1"/>
  <c r="BA5" i="35" s="1"/>
  <c r="BA14" i="35" l="1"/>
  <c r="BA15" i="35" s="1"/>
  <c r="BB16" i="35" s="1"/>
  <c r="BA6" i="35"/>
  <c r="BI117" i="35"/>
  <c r="BH117" i="35" s="1"/>
  <c r="BE125" i="35" s="1"/>
  <c r="BJ5" i="35" s="1"/>
  <c r="BH17" i="35" l="1"/>
  <c r="BK17" i="35" s="1"/>
  <c r="BH16" i="35"/>
  <c r="BK16" i="35" s="1"/>
  <c r="BH15" i="35"/>
  <c r="BK15" i="35" s="1"/>
  <c r="BH7" i="35"/>
  <c r="BH5" i="35"/>
  <c r="BK5" i="35" s="1"/>
  <c r="BH6" i="35"/>
  <c r="BJ7" i="35"/>
  <c r="BJ6" i="35"/>
  <c r="BK6" i="35" l="1"/>
  <c r="BL6" i="35" s="1"/>
  <c r="BK7" i="35"/>
  <c r="K15" i="1"/>
  <c r="K17" i="1" s="1"/>
  <c r="K18" i="1" s="1"/>
  <c r="F89" i="15"/>
  <c r="G74" i="15" l="1"/>
  <c r="K28" i="1"/>
  <c r="K27" i="1"/>
  <c r="L15" i="1"/>
  <c r="F88" i="15" l="1"/>
  <c r="AB74" i="15"/>
  <c r="AB83" i="15" s="1"/>
  <c r="L27" i="1"/>
  <c r="L17" i="1"/>
  <c r="L18" i="1" s="1"/>
  <c r="M15" i="1"/>
  <c r="G88" i="15"/>
  <c r="L28" i="1"/>
  <c r="H74" i="15"/>
  <c r="AC74" i="15" s="1"/>
  <c r="AC83" i="15" s="1"/>
  <c r="M28" i="1" l="1"/>
  <c r="M27" i="1"/>
  <c r="M17" i="1"/>
  <c r="M18" i="1" s="1"/>
  <c r="N15" i="1"/>
  <c r="H88" i="15"/>
  <c r="N28" i="1" l="1"/>
  <c r="N27" i="1"/>
  <c r="N17" i="1"/>
  <c r="N18" i="1" s="1"/>
  <c r="O15" i="1"/>
  <c r="I88" i="15"/>
  <c r="O28" i="1" l="1"/>
  <c r="O27" i="1"/>
  <c r="P15" i="1"/>
  <c r="K88" i="15" s="1"/>
  <c r="O17" i="1"/>
  <c r="O18" i="1" s="1"/>
  <c r="J88" i="15"/>
  <c r="Q15" i="1" l="1"/>
  <c r="W88" i="15"/>
  <c r="P28" i="1"/>
  <c r="P27" i="1"/>
  <c r="P17" i="1"/>
  <c r="P18" i="1" s="1"/>
  <c r="R15" i="1" l="1"/>
  <c r="M88" i="15" s="1"/>
  <c r="L88" i="15"/>
  <c r="X88" i="15"/>
  <c r="Q28" i="1"/>
  <c r="Q27" i="1"/>
  <c r="Q17" i="1"/>
  <c r="Q18" i="1" s="1"/>
  <c r="K207" i="5"/>
  <c r="L270" i="5"/>
  <c r="L274" i="5" s="1"/>
  <c r="L275" i="5" s="1"/>
  <c r="M270" i="5"/>
  <c r="M274" i="5" s="1"/>
  <c r="N270" i="5"/>
  <c r="N274" i="5" s="1"/>
  <c r="AF32" i="28" s="1"/>
  <c r="O270" i="5"/>
  <c r="O274" i="5" s="1"/>
  <c r="P270" i="5"/>
  <c r="P274" i="5" s="1"/>
  <c r="AH32" i="28" s="1"/>
  <c r="Q270" i="5"/>
  <c r="Q274" i="5" s="1"/>
  <c r="AI32" i="28" s="1"/>
  <c r="AK169" i="39"/>
  <c r="AL169" i="39"/>
  <c r="AM169" i="39"/>
  <c r="AN169" i="39"/>
  <c r="AO169" i="39"/>
  <c r="AP169" i="39"/>
  <c r="R27" i="1" l="1"/>
  <c r="S15" i="1"/>
  <c r="N88" i="15" s="1"/>
  <c r="R17" i="1"/>
  <c r="R18" i="1" s="1"/>
  <c r="R28" i="1"/>
  <c r="AD32" i="28"/>
  <c r="P275" i="5"/>
  <c r="P62" i="5" s="1"/>
  <c r="O182" i="39" s="1"/>
  <c r="AO182" i="39" s="1"/>
  <c r="Q275" i="5"/>
  <c r="AE32" i="28"/>
  <c r="M275" i="5"/>
  <c r="L276" i="5"/>
  <c r="L62" i="5"/>
  <c r="AG32" i="28"/>
  <c r="O275" i="5"/>
  <c r="N275" i="5"/>
  <c r="S17" i="1" l="1"/>
  <c r="S18" i="1" s="1"/>
  <c r="T15" i="1"/>
  <c r="O88" i="15" s="1"/>
  <c r="S28" i="1"/>
  <c r="S27" i="1"/>
  <c r="Q62" i="5"/>
  <c r="P182" i="39" s="1"/>
  <c r="AP182" i="39" s="1"/>
  <c r="R276" i="5"/>
  <c r="Q276" i="5"/>
  <c r="AH17" i="28"/>
  <c r="O62" i="5"/>
  <c r="O276" i="5"/>
  <c r="M276" i="5"/>
  <c r="M62" i="5"/>
  <c r="K182" i="39"/>
  <c r="AK182" i="39" s="1"/>
  <c r="AD17" i="28"/>
  <c r="N62" i="5"/>
  <c r="N276" i="5"/>
  <c r="P276" i="5"/>
  <c r="T27" i="1" l="1"/>
  <c r="T17" i="1"/>
  <c r="T18" i="1" s="1"/>
  <c r="U15" i="1"/>
  <c r="P88" i="15" s="1"/>
  <c r="T28" i="1"/>
  <c r="AI17" i="28"/>
  <c r="L182" i="39"/>
  <c r="AL182" i="39" s="1"/>
  <c r="AE17" i="28"/>
  <c r="AF17" i="28"/>
  <c r="M182" i="39"/>
  <c r="AM182" i="39" s="1"/>
  <c r="AG17" i="28"/>
  <c r="N182" i="39"/>
  <c r="AN182" i="39" s="1"/>
  <c r="K202" i="5"/>
  <c r="K200" i="5" s="1"/>
  <c r="K201" i="5" s="1"/>
  <c r="K127" i="5"/>
  <c r="K128" i="5" s="1"/>
  <c r="B73" i="37"/>
  <c r="U17" i="1" l="1"/>
  <c r="U18" i="1" s="1"/>
  <c r="U27" i="1"/>
  <c r="U28" i="1"/>
  <c r="V15" i="1"/>
  <c r="Q88" i="15" s="1"/>
  <c r="CX206" i="29"/>
  <c r="L121" i="5"/>
  <c r="K124" i="5"/>
  <c r="AK11" i="16" s="1"/>
  <c r="E102" i="34"/>
  <c r="E88" i="34" s="1"/>
  <c r="E95" i="34" s="1"/>
  <c r="AC124" i="28"/>
  <c r="C73" i="37"/>
  <c r="J202" i="39"/>
  <c r="AJ202" i="39" s="1"/>
  <c r="V27" i="1" l="1"/>
  <c r="V28" i="1"/>
  <c r="V17" i="1"/>
  <c r="V18" i="1" s="1"/>
  <c r="AM206" i="29"/>
  <c r="AL206" i="29" s="1"/>
  <c r="L206" i="5"/>
  <c r="L202" i="5" s="1"/>
  <c r="L200" i="5" s="1"/>
  <c r="L201" i="5" s="1"/>
  <c r="AD124" i="28"/>
  <c r="K202" i="39"/>
  <c r="AK202" i="39" s="1"/>
  <c r="L124" i="5"/>
  <c r="AJ78" i="16" s="1"/>
  <c r="AK86" i="16" s="1"/>
  <c r="E89" i="34"/>
  <c r="E143" i="34" s="1"/>
  <c r="F102" i="34"/>
  <c r="F105" i="34" s="1"/>
  <c r="J205" i="39"/>
  <c r="AJ205" i="39" s="1"/>
  <c r="L127" i="5"/>
  <c r="L128" i="5" s="1"/>
  <c r="J98" i="22"/>
  <c r="E105" i="34"/>
  <c r="E135" i="34" s="1"/>
  <c r="AP25" i="16"/>
  <c r="C46" i="21"/>
  <c r="M121" i="5"/>
  <c r="N121" i="5" s="1"/>
  <c r="N127" i="5" s="1"/>
  <c r="N128" i="5" s="1"/>
  <c r="E96" i="34"/>
  <c r="E97" i="34"/>
  <c r="AL207" i="29" l="1"/>
  <c r="AL208" i="29"/>
  <c r="E110" i="34"/>
  <c r="F88" i="34"/>
  <c r="F97" i="34" s="1"/>
  <c r="K98" i="22"/>
  <c r="K205" i="39"/>
  <c r="AK205" i="39" s="1"/>
  <c r="AK41" i="16"/>
  <c r="L205" i="5"/>
  <c r="L212" i="5" s="1"/>
  <c r="L182" i="5" s="1"/>
  <c r="N206" i="5"/>
  <c r="N205" i="5" s="1"/>
  <c r="E111" i="34"/>
  <c r="E117" i="34" s="1"/>
  <c r="E120" i="34" s="1"/>
  <c r="E124" i="34" s="1"/>
  <c r="E127" i="34" s="1"/>
  <c r="E137" i="34"/>
  <c r="N124" i="5"/>
  <c r="M205" i="39" s="1"/>
  <c r="AM205" i="39" s="1"/>
  <c r="AF124" i="28"/>
  <c r="O121" i="5"/>
  <c r="I102" i="34" s="1"/>
  <c r="H102" i="34"/>
  <c r="H105" i="34" s="1"/>
  <c r="M202" i="39"/>
  <c r="AM202" i="39" s="1"/>
  <c r="G102" i="34"/>
  <c r="G105" i="34" s="1"/>
  <c r="G111" i="34" s="1"/>
  <c r="AE124" i="28"/>
  <c r="M124" i="5"/>
  <c r="L98" i="22" s="1"/>
  <c r="M206" i="5"/>
  <c r="M127" i="5"/>
  <c r="M128" i="5" s="1"/>
  <c r="L202" i="39"/>
  <c r="AL202" i="39" s="1"/>
  <c r="F135" i="34"/>
  <c r="F137" i="34"/>
  <c r="F111" i="34"/>
  <c r="F96" i="34" l="1"/>
  <c r="F89" i="34"/>
  <c r="F110" i="34" s="1"/>
  <c r="F113" i="34" s="1"/>
  <c r="F95" i="34"/>
  <c r="E113" i="34"/>
  <c r="E118" i="34"/>
  <c r="E144" i="34"/>
  <c r="E145" i="34" s="1"/>
  <c r="E116" i="34"/>
  <c r="L207" i="5"/>
  <c r="O124" i="5"/>
  <c r="N205" i="39" s="1"/>
  <c r="AN205" i="39" s="1"/>
  <c r="N202" i="5"/>
  <c r="N200" i="5" s="1"/>
  <c r="P121" i="5"/>
  <c r="P124" i="5" s="1"/>
  <c r="O205" i="39" s="1"/>
  <c r="AO205" i="39" s="1"/>
  <c r="O206" i="5"/>
  <c r="O205" i="5" s="1"/>
  <c r="O127" i="5"/>
  <c r="O128" i="5" s="1"/>
  <c r="H88" i="34"/>
  <c r="H96" i="34" s="1"/>
  <c r="N202" i="39"/>
  <c r="AN202" i="39" s="1"/>
  <c r="AG124" i="28"/>
  <c r="G135" i="34"/>
  <c r="G88" i="34"/>
  <c r="G97" i="34" s="1"/>
  <c r="G137" i="34"/>
  <c r="L205" i="39"/>
  <c r="AL205" i="39" s="1"/>
  <c r="M205" i="5"/>
  <c r="M202" i="5"/>
  <c r="M200" i="5" s="1"/>
  <c r="H111" i="34"/>
  <c r="H135" i="34"/>
  <c r="H137" i="34"/>
  <c r="F118" i="34"/>
  <c r="F116" i="34"/>
  <c r="F144" i="34"/>
  <c r="F117" i="34"/>
  <c r="F120" i="34" s="1"/>
  <c r="F124" i="34" s="1"/>
  <c r="F127" i="34" s="1"/>
  <c r="G118" i="34"/>
  <c r="G116" i="34"/>
  <c r="G117" i="34"/>
  <c r="G120" i="34" s="1"/>
  <c r="G124" i="34" s="1"/>
  <c r="G127" i="34" s="1"/>
  <c r="G144" i="34"/>
  <c r="I105" i="34"/>
  <c r="I88" i="34"/>
  <c r="N207" i="5"/>
  <c r="N212" i="5"/>
  <c r="L70" i="5"/>
  <c r="F143" i="34" l="1"/>
  <c r="F145" i="34" s="1"/>
  <c r="O202" i="5"/>
  <c r="O200" i="5" s="1"/>
  <c r="O201" i="5" s="1"/>
  <c r="P206" i="5"/>
  <c r="P202" i="5" s="1"/>
  <c r="P200" i="5" s="1"/>
  <c r="P127" i="5"/>
  <c r="P128" i="5" s="1"/>
  <c r="O202" i="39"/>
  <c r="AO202" i="39" s="1"/>
  <c r="J102" i="34"/>
  <c r="J105" i="34" s="1"/>
  <c r="Q121" i="5"/>
  <c r="R121" i="5" s="1"/>
  <c r="AJ124" i="28" s="1"/>
  <c r="AH124" i="28"/>
  <c r="G89" i="34"/>
  <c r="G110" i="34" s="1"/>
  <c r="G113" i="34" s="1"/>
  <c r="H89" i="34"/>
  <c r="H110" i="34" s="1"/>
  <c r="H113" i="34" s="1"/>
  <c r="H95" i="34"/>
  <c r="H97" i="34"/>
  <c r="G95" i="34"/>
  <c r="G96" i="34"/>
  <c r="M201" i="5"/>
  <c r="N201" i="5"/>
  <c r="M212" i="5"/>
  <c r="N182" i="5" s="1"/>
  <c r="M207" i="5"/>
  <c r="I111" i="34"/>
  <c r="I135" i="34"/>
  <c r="I137" i="34"/>
  <c r="L75" i="5"/>
  <c r="L84" i="5" s="1"/>
  <c r="L104" i="5"/>
  <c r="H117" i="34"/>
  <c r="H120" i="34" s="1"/>
  <c r="H124" i="34" s="1"/>
  <c r="H127" i="34" s="1"/>
  <c r="H116" i="34"/>
  <c r="H144" i="34"/>
  <c r="H118" i="34"/>
  <c r="I95" i="34"/>
  <c r="I96" i="34"/>
  <c r="I97" i="34"/>
  <c r="I89" i="34"/>
  <c r="N70" i="5"/>
  <c r="O207" i="5"/>
  <c r="O212" i="5"/>
  <c r="O182" i="5" s="1"/>
  <c r="P201" i="5" l="1"/>
  <c r="P205" i="5"/>
  <c r="P207" i="5" s="1"/>
  <c r="R206" i="5"/>
  <c r="R205" i="5" s="1"/>
  <c r="P202" i="39"/>
  <c r="AP202" i="39" s="1"/>
  <c r="Q124" i="5"/>
  <c r="P205" i="39" s="1"/>
  <c r="AP205" i="39" s="1"/>
  <c r="R127" i="5"/>
  <c r="R128" i="5" s="1"/>
  <c r="S121" i="5"/>
  <c r="AK124" i="28" s="1"/>
  <c r="K102" i="34"/>
  <c r="K105" i="34" s="1"/>
  <c r="Q206" i="5"/>
  <c r="Q205" i="5" s="1"/>
  <c r="Q207" i="5" s="1"/>
  <c r="AI124" i="28"/>
  <c r="R124" i="5"/>
  <c r="J88" i="34"/>
  <c r="J89" i="34" s="1"/>
  <c r="Q127" i="5"/>
  <c r="Q128" i="5" s="1"/>
  <c r="G143" i="34"/>
  <c r="G145" i="34" s="1"/>
  <c r="H143" i="34"/>
  <c r="H145" i="34" s="1"/>
  <c r="M182" i="5"/>
  <c r="M70" i="5"/>
  <c r="I110" i="34"/>
  <c r="I113" i="34" s="1"/>
  <c r="I143" i="34"/>
  <c r="L102" i="5"/>
  <c r="L327" i="5"/>
  <c r="L328" i="5" s="1"/>
  <c r="N104" i="5"/>
  <c r="N75" i="5"/>
  <c r="N84" i="5" s="1"/>
  <c r="I61" i="21"/>
  <c r="AD9" i="28"/>
  <c r="AD27" i="28" s="1"/>
  <c r="L105" i="5"/>
  <c r="L122" i="5" s="1"/>
  <c r="K203" i="39" s="1"/>
  <c r="L303" i="5"/>
  <c r="J137" i="34"/>
  <c r="J135" i="34"/>
  <c r="J111" i="34"/>
  <c r="O70" i="5"/>
  <c r="I117" i="34"/>
  <c r="I120" i="34" s="1"/>
  <c r="I124" i="34" s="1"/>
  <c r="I127" i="34" s="1"/>
  <c r="I144" i="34"/>
  <c r="I116" i="34"/>
  <c r="I118" i="34"/>
  <c r="P212" i="5" l="1"/>
  <c r="P182" i="5" s="1"/>
  <c r="K88" i="34"/>
  <c r="K89" i="34" s="1"/>
  <c r="S124" i="5"/>
  <c r="T121" i="5"/>
  <c r="AL124" i="28" s="1"/>
  <c r="S127" i="5"/>
  <c r="S128" i="5" s="1"/>
  <c r="S206" i="5"/>
  <c r="S205" i="5" s="1"/>
  <c r="J95" i="34"/>
  <c r="R202" i="5"/>
  <c r="R200" i="5" s="1"/>
  <c r="Q202" i="5"/>
  <c r="Q200" i="5" s="1"/>
  <c r="Q201" i="5" s="1"/>
  <c r="J96" i="34"/>
  <c r="J97" i="34"/>
  <c r="Q212" i="5"/>
  <c r="Q70" i="5" s="1"/>
  <c r="R212" i="5"/>
  <c r="R207" i="5"/>
  <c r="I145" i="34"/>
  <c r="M75" i="5"/>
  <c r="M84" i="5" s="1"/>
  <c r="M104" i="5"/>
  <c r="N105" i="5" s="1"/>
  <c r="N122" i="5" s="1"/>
  <c r="M203" i="39" s="1"/>
  <c r="O104" i="5"/>
  <c r="O75" i="5"/>
  <c r="O84" i="5" s="1"/>
  <c r="AD167" i="28"/>
  <c r="I65" i="21"/>
  <c r="K61" i="21"/>
  <c r="N303" i="5"/>
  <c r="AF9" i="28"/>
  <c r="AF27" i="28" s="1"/>
  <c r="J144" i="34"/>
  <c r="J118" i="34"/>
  <c r="J116" i="34"/>
  <c r="J117" i="34"/>
  <c r="J120" i="34" s="1"/>
  <c r="J124" i="34" s="1"/>
  <c r="J127" i="34" s="1"/>
  <c r="K135" i="34"/>
  <c r="K111" i="34"/>
  <c r="K137" i="34"/>
  <c r="N102" i="5"/>
  <c r="N327" i="5"/>
  <c r="N328" i="5" s="1"/>
  <c r="J143" i="34"/>
  <c r="J110" i="34"/>
  <c r="J113" i="34" s="1"/>
  <c r="K97" i="34" l="1"/>
  <c r="K96" i="34"/>
  <c r="P70" i="5"/>
  <c r="P104" i="5" s="1"/>
  <c r="K95" i="34"/>
  <c r="S202" i="5"/>
  <c r="S200" i="5" s="1"/>
  <c r="S201" i="5" s="1"/>
  <c r="T206" i="5"/>
  <c r="T205" i="5" s="1"/>
  <c r="U121" i="5"/>
  <c r="AM124" i="28" s="1"/>
  <c r="T124" i="5"/>
  <c r="T127" i="5"/>
  <c r="T128" i="5" s="1"/>
  <c r="R201" i="5"/>
  <c r="Q182" i="5"/>
  <c r="Q104" i="5"/>
  <c r="AI9" i="28" s="1"/>
  <c r="AI27" i="28" s="1"/>
  <c r="Q75" i="5"/>
  <c r="Q84" i="5" s="1"/>
  <c r="Q102" i="5" s="1"/>
  <c r="R182" i="5"/>
  <c r="R70" i="5"/>
  <c r="S207" i="5"/>
  <c r="S212" i="5"/>
  <c r="S182" i="5" s="1"/>
  <c r="M327" i="5"/>
  <c r="M328" i="5" s="1"/>
  <c r="M102" i="5"/>
  <c r="M105" i="5"/>
  <c r="M122" i="5" s="1"/>
  <c r="L203" i="39" s="1"/>
  <c r="M303" i="5"/>
  <c r="J61" i="21"/>
  <c r="AE9" i="28"/>
  <c r="AE27" i="28" s="1"/>
  <c r="K144" i="34"/>
  <c r="K118" i="34"/>
  <c r="K116" i="34"/>
  <c r="K117" i="34"/>
  <c r="K120" i="34" s="1"/>
  <c r="K124" i="34" s="1"/>
  <c r="K127" i="34" s="1"/>
  <c r="J145" i="34"/>
  <c r="K143" i="34"/>
  <c r="K110" i="34"/>
  <c r="K113" i="34" s="1"/>
  <c r="AD166" i="28"/>
  <c r="I70" i="21"/>
  <c r="AU33" i="29" s="1"/>
  <c r="AV33" i="29" s="1"/>
  <c r="I74" i="21"/>
  <c r="I67" i="21"/>
  <c r="I73" i="21"/>
  <c r="O327" i="5"/>
  <c r="O328" i="5" s="1"/>
  <c r="O102" i="5"/>
  <c r="K65" i="21"/>
  <c r="AF167" i="28"/>
  <c r="O303" i="5"/>
  <c r="L61" i="21"/>
  <c r="O105" i="5"/>
  <c r="O122" i="5" s="1"/>
  <c r="N203" i="39" s="1"/>
  <c r="AG9" i="28"/>
  <c r="AG27" i="28" s="1"/>
  <c r="T202" i="5" l="1"/>
  <c r="T200" i="5" s="1"/>
  <c r="T201" i="5" s="1"/>
  <c r="P75" i="5"/>
  <c r="P84" i="5" s="1"/>
  <c r="P102" i="5" s="1"/>
  <c r="U127" i="5"/>
  <c r="U128" i="5" s="1"/>
  <c r="V121" i="5"/>
  <c r="AN124" i="28" s="1"/>
  <c r="U206" i="5"/>
  <c r="U202" i="5" s="1"/>
  <c r="U200" i="5" s="1"/>
  <c r="N61" i="21"/>
  <c r="N65" i="21" s="1"/>
  <c r="U124" i="5"/>
  <c r="Q327" i="5"/>
  <c r="Q328" i="5" s="1"/>
  <c r="Q303" i="5"/>
  <c r="R75" i="5"/>
  <c r="R84" i="5" s="1"/>
  <c r="R104" i="5"/>
  <c r="S70" i="5"/>
  <c r="T207" i="5"/>
  <c r="T212" i="5"/>
  <c r="T182" i="5" s="1"/>
  <c r="J65" i="21"/>
  <c r="AE167" i="28"/>
  <c r="AG167" i="28"/>
  <c r="L65" i="21"/>
  <c r="I81" i="21"/>
  <c r="I82" i="21" s="1"/>
  <c r="I69" i="21"/>
  <c r="M61" i="21"/>
  <c r="AH9" i="28"/>
  <c r="AH27" i="28" s="1"/>
  <c r="P105" i="5"/>
  <c r="P122" i="5" s="1"/>
  <c r="O203" i="39" s="1"/>
  <c r="P303" i="5"/>
  <c r="K73" i="21"/>
  <c r="AF166" i="28"/>
  <c r="K67" i="21"/>
  <c r="K74" i="21"/>
  <c r="K70" i="21"/>
  <c r="Q105" i="5"/>
  <c r="Q122" i="5" s="1"/>
  <c r="P203" i="39" s="1"/>
  <c r="K145" i="34"/>
  <c r="U201" i="5" l="1"/>
  <c r="P327" i="5"/>
  <c r="P328" i="5" s="1"/>
  <c r="V124" i="5"/>
  <c r="V206" i="5"/>
  <c r="V205" i="5" s="1"/>
  <c r="V212" i="5" s="1"/>
  <c r="V70" i="5" s="1"/>
  <c r="V127" i="5"/>
  <c r="V128" i="5" s="1"/>
  <c r="AU38" i="29"/>
  <c r="AV38" i="29" s="1"/>
  <c r="C47" i="21"/>
  <c r="C48" i="21" s="1"/>
  <c r="AI167" i="28"/>
  <c r="U205" i="5"/>
  <c r="U212" i="5" s="1"/>
  <c r="U182" i="5" s="1"/>
  <c r="O61" i="21"/>
  <c r="AJ9" i="28"/>
  <c r="AJ27" i="28" s="1"/>
  <c r="S75" i="5"/>
  <c r="S84" i="5" s="1"/>
  <c r="S104" i="5"/>
  <c r="T70" i="5"/>
  <c r="R105" i="5"/>
  <c r="R122" i="5" s="1"/>
  <c r="R303" i="5"/>
  <c r="R327" i="5"/>
  <c r="R328" i="5" s="1"/>
  <c r="R102" i="5"/>
  <c r="AE166" i="28"/>
  <c r="J67" i="21"/>
  <c r="J74" i="21"/>
  <c r="J73" i="21"/>
  <c r="J70" i="21"/>
  <c r="N67" i="21"/>
  <c r="N74" i="21"/>
  <c r="N73" i="21"/>
  <c r="N70" i="21"/>
  <c r="AI166" i="28"/>
  <c r="K81" i="21"/>
  <c r="K82" i="21" s="1"/>
  <c r="K69" i="21"/>
  <c r="L73" i="21"/>
  <c r="L67" i="21"/>
  <c r="L74" i="21"/>
  <c r="AG166" i="28"/>
  <c r="L70" i="21"/>
  <c r="AH167" i="28"/>
  <c r="M65" i="21"/>
  <c r="C51" i="21" l="1"/>
  <c r="E30" i="25" s="1"/>
  <c r="V207" i="5"/>
  <c r="V202" i="5"/>
  <c r="V200" i="5" s="1"/>
  <c r="V201" i="5" s="1"/>
  <c r="U207" i="5"/>
  <c r="AJ167" i="28"/>
  <c r="O65" i="21"/>
  <c r="AK9" i="28"/>
  <c r="AK27" i="28" s="1"/>
  <c r="P61" i="21"/>
  <c r="V75" i="5"/>
  <c r="V84" i="5" s="1"/>
  <c r="V104" i="5"/>
  <c r="U70" i="5"/>
  <c r="V182" i="5"/>
  <c r="T75" i="5"/>
  <c r="T84" i="5" s="1"/>
  <c r="T104" i="5"/>
  <c r="S303" i="5"/>
  <c r="S105" i="5"/>
  <c r="S122" i="5" s="1"/>
  <c r="S327" i="5"/>
  <c r="S328" i="5" s="1"/>
  <c r="S102" i="5"/>
  <c r="J69" i="21"/>
  <c r="J81" i="21"/>
  <c r="J82" i="21" s="1"/>
  <c r="AH166" i="28"/>
  <c r="M73" i="21"/>
  <c r="M70" i="21"/>
  <c r="M67" i="21"/>
  <c r="M74" i="21"/>
  <c r="L81" i="21"/>
  <c r="L82" i="21" s="1"/>
  <c r="L69" i="21"/>
  <c r="N69" i="21"/>
  <c r="N81" i="21"/>
  <c r="N82" i="21" s="1"/>
  <c r="W1" i="1" l="1"/>
  <c r="W1" i="20"/>
  <c r="V1" i="16"/>
  <c r="C54" i="21"/>
  <c r="W1" i="5"/>
  <c r="W1" i="17"/>
  <c r="W1" i="18"/>
  <c r="S61" i="21"/>
  <c r="AN9" i="28"/>
  <c r="AN27" i="28" s="1"/>
  <c r="AK167" i="28"/>
  <c r="P65" i="21"/>
  <c r="Q61" i="21"/>
  <c r="AL9" i="28"/>
  <c r="AL27" i="28" s="1"/>
  <c r="AJ166" i="28"/>
  <c r="O74" i="21"/>
  <c r="O70" i="21"/>
  <c r="O73" i="21"/>
  <c r="O67" i="21"/>
  <c r="U104" i="5"/>
  <c r="V105" i="5" s="1"/>
  <c r="V122" i="5" s="1"/>
  <c r="U75" i="5"/>
  <c r="U84" i="5" s="1"/>
  <c r="T327" i="5"/>
  <c r="T328" i="5" s="1"/>
  <c r="T102" i="5"/>
  <c r="V303" i="5"/>
  <c r="T303" i="5"/>
  <c r="T105" i="5"/>
  <c r="T122" i="5" s="1"/>
  <c r="V327" i="5"/>
  <c r="V328" i="5" s="1"/>
  <c r="V102" i="5"/>
  <c r="M81" i="21"/>
  <c r="M82" i="21" s="1"/>
  <c r="M69" i="21"/>
  <c r="AK166" i="28" l="1"/>
  <c r="P74" i="21"/>
  <c r="P70" i="21"/>
  <c r="P73" i="21"/>
  <c r="P67" i="21"/>
  <c r="AL167" i="28"/>
  <c r="Q65" i="21"/>
  <c r="O81" i="21"/>
  <c r="O82" i="21" s="1"/>
  <c r="O69" i="21"/>
  <c r="R61" i="21"/>
  <c r="AM9" i="28"/>
  <c r="AM27" i="28" s="1"/>
  <c r="AN167" i="28"/>
  <c r="S65" i="21"/>
  <c r="U327" i="5"/>
  <c r="U328" i="5" s="1"/>
  <c r="U102" i="5"/>
  <c r="U105" i="5"/>
  <c r="U122" i="5" s="1"/>
  <c r="U303" i="5"/>
  <c r="AN166" i="28" l="1"/>
  <c r="S73" i="21"/>
  <c r="S70" i="21"/>
  <c r="S67" i="21"/>
  <c r="S74" i="21"/>
  <c r="AL166" i="28"/>
  <c r="Q73" i="21"/>
  <c r="Q70" i="21"/>
  <c r="Q67" i="21"/>
  <c r="Q74" i="21"/>
  <c r="P69" i="21"/>
  <c r="P81" i="21"/>
  <c r="P82" i="21" s="1"/>
  <c r="AM167" i="28"/>
  <c r="R65" i="21"/>
  <c r="AM166" i="28" l="1"/>
  <c r="R67" i="21"/>
  <c r="R70" i="21"/>
  <c r="R73" i="21"/>
  <c r="R74" i="21"/>
  <c r="S81" i="21"/>
  <c r="S82" i="21" s="1"/>
  <c r="S69" i="21"/>
  <c r="Q81" i="21"/>
  <c r="Q82" i="21" s="1"/>
  <c r="Q69" i="21"/>
  <c r="R81" i="21" l="1"/>
  <c r="R82" i="21" s="1"/>
  <c r="R69"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C47" authorId="0" shapeId="0" xr:uid="{993BD208-AD2B-4AB4-9B3F-FFAF174B30B1}">
      <text>
        <r>
          <rPr>
            <b/>
            <sz val="9"/>
            <color indexed="81"/>
            <rFont val="Tahoma"/>
            <family val="2"/>
          </rPr>
          <t>David:</t>
        </r>
        <r>
          <rPr>
            <sz val="9"/>
            <color indexed="81"/>
            <rFont val="Tahoma"/>
            <family val="2"/>
          </rPr>
          <t xml:space="preserve">
SA towers
I-Systems (assumed 50% margins)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Alastair Jones</author>
  </authors>
  <commentList>
    <comment ref="C100" authorId="0" shapeId="0" xr:uid="{4C14B349-2011-4EF0-A6CA-B9A3D9B84C51}">
      <text>
        <r>
          <rPr>
            <b/>
            <sz val="9"/>
            <color indexed="81"/>
            <rFont val="Tahoma"/>
            <family val="2"/>
          </rPr>
          <t>Alastair Jones:</t>
        </r>
        <r>
          <rPr>
            <sz val="9"/>
            <color indexed="81"/>
            <rFont val="Tahoma"/>
            <family val="2"/>
          </rPr>
          <t xml:space="preserve">
From AMT model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Alastair Jones</author>
    <author>David</author>
  </authors>
  <commentList>
    <comment ref="E46" authorId="0" shapeId="0" xr:uid="{84265907-7BB4-427B-A281-CDC5E36D0CFA}">
      <text>
        <r>
          <rPr>
            <b/>
            <sz val="9"/>
            <color indexed="81"/>
            <rFont val="Tahoma"/>
            <family val="2"/>
          </rPr>
          <t>Alastair Jones:</t>
        </r>
        <r>
          <rPr>
            <sz val="9"/>
            <color indexed="81"/>
            <rFont val="Tahoma"/>
            <family val="2"/>
          </rPr>
          <t xml:space="preserve">
exceptional project costs (Strategic  options) incl IPO potential; litigation costs associated with termination equity transaction; and loss on disposal of assets</t>
        </r>
      </text>
    </comment>
    <comment ref="H116" authorId="1" shapeId="0" xr:uid="{E4C58492-A76E-4D88-8993-62E7ABB256DD}">
      <text>
        <r>
          <rPr>
            <b/>
            <sz val="9"/>
            <color indexed="81"/>
            <rFont val="Tahoma"/>
            <family val="2"/>
          </rPr>
          <t>David:</t>
        </r>
        <r>
          <rPr>
            <sz val="9"/>
            <color indexed="81"/>
            <rFont val="Tahoma"/>
            <family val="2"/>
          </rPr>
          <t xml:space="preserve">
Skysites Brazil
Centennial Towers Columbia
FibreCo Brazil
IHS Kuwait
IHS Brazil</t>
        </r>
      </text>
    </comment>
    <comment ref="L116" authorId="1" shapeId="0" xr:uid="{0E966BD2-566B-4169-B126-28868F91ADB3}">
      <text>
        <r>
          <rPr>
            <b/>
            <sz val="9"/>
            <color indexed="81"/>
            <rFont val="Tahoma"/>
            <family val="2"/>
          </rPr>
          <t>David:</t>
        </r>
        <r>
          <rPr>
            <sz val="9"/>
            <color indexed="81"/>
            <rFont val="Tahoma"/>
            <family val="2"/>
          </rPr>
          <t xml:space="preserve">
Sale of Rwanda
$70m deferred
$24.5m payable in 2-3 years.
Potential earn out of up to $5m</t>
        </r>
      </text>
    </comment>
    <comment ref="B124" authorId="0" shapeId="0" xr:uid="{FCAA6893-DBD3-4E80-8C37-A030A273AFDF}">
      <text>
        <r>
          <rPr>
            <b/>
            <sz val="9"/>
            <color indexed="81"/>
            <rFont val="Tahoma"/>
            <family val="2"/>
          </rPr>
          <t>Alastair Jones:</t>
        </r>
        <r>
          <rPr>
            <sz val="9"/>
            <color indexed="81"/>
            <rFont val="Tahoma"/>
            <family val="2"/>
          </rPr>
          <t xml:space="preserve">
Guidance: maintain 2.5x-3x</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H12" authorId="0" shapeId="0" xr:uid="{4A9EC2DC-F860-4952-A778-436B2FB43EE9}">
      <text>
        <r>
          <rPr>
            <b/>
            <sz val="9"/>
            <color indexed="81"/>
            <rFont val="Tahoma"/>
            <family val="2"/>
          </rPr>
          <t>David:</t>
        </r>
        <r>
          <rPr>
            <sz val="9"/>
            <color indexed="81"/>
            <rFont val="Tahoma"/>
            <family val="2"/>
          </rPr>
          <t xml:space="preserve">
NSR 18.4%</t>
        </r>
      </text>
    </comment>
    <comment ref="H181" authorId="0" shapeId="0" xr:uid="{2D32D312-2324-49EF-9FE5-DB31E674AEE8}">
      <text>
        <r>
          <rPr>
            <b/>
            <sz val="9"/>
            <color indexed="81"/>
            <rFont val="Tahoma"/>
            <family val="2"/>
          </rPr>
          <t>David:</t>
        </r>
        <r>
          <rPr>
            <sz val="9"/>
            <color indexed="81"/>
            <rFont val="Tahoma"/>
            <family val="2"/>
          </rPr>
          <t xml:space="preserve">
Organic capex lowered by $10m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author>
    <author>Alastair Jones</author>
  </authors>
  <commentList>
    <comment ref="J21" authorId="0" shapeId="0" xr:uid="{B3C8A2FC-DBFD-4242-8493-628BADBFC51B}">
      <text>
        <r>
          <rPr>
            <b/>
            <sz val="9"/>
            <color indexed="81"/>
            <rFont val="Tahoma"/>
            <family val="2"/>
          </rPr>
          <t>David:</t>
        </r>
        <r>
          <rPr>
            <sz val="9"/>
            <color indexed="81"/>
            <rFont val="Tahoma"/>
            <family val="2"/>
          </rPr>
          <t xml:space="preserve">
Rationalisation of 727 towers in 2023</t>
        </r>
      </text>
    </comment>
    <comment ref="E27" authorId="1" shapeId="0" xr:uid="{B2EBE6B1-D816-4ADB-A6CF-7D0F61C9F90E}">
      <text>
        <r>
          <rPr>
            <b/>
            <sz val="9"/>
            <color indexed="81"/>
            <rFont val="Tahoma"/>
            <family val="2"/>
          </rPr>
          <t>Alastair Jones:
Prospectus page 9 - states market share of 65%, but this excludes MNO towers</t>
        </r>
      </text>
    </comment>
    <comment ref="F27" authorId="1" shapeId="0" xr:uid="{E0999BEA-2D7A-41ED-A9C3-FA4DCC59808E}">
      <text>
        <r>
          <rPr>
            <b/>
            <sz val="9"/>
            <color indexed="81"/>
            <rFont val="Tahoma"/>
            <family val="2"/>
          </rPr>
          <t>Alastair Jones:
Prospectus page 9 - states market share of 65%, but this excludes MNO towers</t>
        </r>
      </text>
    </comment>
    <comment ref="G27" authorId="1" shapeId="0" xr:uid="{E33A6FD5-3561-4E3C-B7A6-D27E77CC5DFE}">
      <text>
        <r>
          <rPr>
            <b/>
            <sz val="9"/>
            <color indexed="81"/>
            <rFont val="Tahoma"/>
            <family val="2"/>
          </rPr>
          <t>Alastair Jones:
Prospectus page 9 - states market share of 65%, but this excludes MNO towers</t>
        </r>
      </text>
    </comment>
    <comment ref="K39" authorId="0" shapeId="0" xr:uid="{64B687C2-98C0-44E2-BC91-E0F5D7C4118B}">
      <text>
        <r>
          <rPr>
            <b/>
            <sz val="9"/>
            <color indexed="81"/>
            <rFont val="Tahoma"/>
            <family val="2"/>
          </rPr>
          <t>David:</t>
        </r>
        <r>
          <rPr>
            <sz val="9"/>
            <color indexed="81"/>
            <rFont val="Tahoma"/>
            <family val="2"/>
          </rPr>
          <t xml:space="preserve">
Loss of 2,500 MTN contracts (2,000 in 2024 and 500 in 2025), but gained back 1,400 (400 renewed / 1000 new sites to roll over time).
Gain 3,950 AAF new tenancies, over next 5Y: 2,500 new tenancies (split 2024/2025), 1,450 5G amendements and BTS (BTS and 5G amendements split not disclosed). 
</t>
        </r>
      </text>
    </comment>
    <comment ref="H54" authorId="0" shapeId="0" xr:uid="{6609078F-7CBB-4BF3-A810-4C98DA5AC690}">
      <text>
        <r>
          <rPr>
            <b/>
            <sz val="9"/>
            <color indexed="81"/>
            <rFont val="Tahoma"/>
            <family val="2"/>
          </rPr>
          <t>David:</t>
        </r>
        <r>
          <rPr>
            <sz val="9"/>
            <color indexed="81"/>
            <rFont val="Tahoma"/>
            <family val="2"/>
          </rPr>
          <t xml:space="preserve">
$24.2m of non-recurring revenue</t>
        </r>
      </text>
    </comment>
    <comment ref="I54" authorId="0" shapeId="0" xr:uid="{C131AA26-1161-4170-BC32-476B3A2DFCAF}">
      <text>
        <r>
          <rPr>
            <b/>
            <sz val="9"/>
            <color indexed="81"/>
            <rFont val="Tahoma"/>
            <family val="2"/>
          </rPr>
          <t>David:</t>
        </r>
        <r>
          <rPr>
            <sz val="9"/>
            <color indexed="81"/>
            <rFont val="Tahoma"/>
            <family val="2"/>
          </rPr>
          <t xml:space="preserve">
$18m of non-recurring revenue</t>
        </r>
      </text>
    </comment>
    <comment ref="J54" authorId="0" shapeId="0" xr:uid="{2DED784A-6C45-44CE-992D-801F7F38BE01}">
      <text>
        <r>
          <rPr>
            <b/>
            <sz val="9"/>
            <color indexed="81"/>
            <rFont val="Tahoma"/>
            <family val="2"/>
          </rPr>
          <t>David:</t>
        </r>
        <r>
          <rPr>
            <sz val="9"/>
            <color indexed="81"/>
            <rFont val="Tahoma"/>
            <family val="2"/>
          </rPr>
          <t xml:space="preserve">
$48.1m of non-recurring revenue</t>
        </r>
      </text>
    </comment>
    <comment ref="H56" authorId="1" shapeId="0" xr:uid="{34C1B734-42DB-4747-ABD0-0A728EE81BA9}">
      <text>
        <r>
          <rPr>
            <b/>
            <sz val="9"/>
            <color indexed="81"/>
            <rFont val="Tahoma"/>
            <family val="2"/>
          </rPr>
          <t>Alastair Jones:</t>
        </r>
        <r>
          <rPr>
            <sz val="9"/>
            <color indexed="81"/>
            <rFont val="Tahoma"/>
            <family val="2"/>
          </rPr>
          <t xml:space="preserve">
p.111 of prospectus: 24.2mn one off revenues. Underlying gorwth around 8.8%</t>
        </r>
      </text>
    </comment>
    <comment ref="H71" authorId="1" shapeId="0" xr:uid="{6F687B66-4D53-4336-9469-C3AD7E6B4E0F}">
      <text>
        <r>
          <rPr>
            <b/>
            <sz val="9"/>
            <color indexed="81"/>
            <rFont val="Tahoma"/>
            <family val="2"/>
          </rPr>
          <t>Alastair Jones:</t>
        </r>
        <r>
          <rPr>
            <sz val="9"/>
            <color indexed="81"/>
            <rFont val="Tahoma"/>
            <family val="2"/>
          </rPr>
          <t xml:space="preserve">
p112 of prospectus: 38mn one off ccredit release: 
adjusting for revenue and one off costs suggests 62mn of one off beneift in H121.</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David</author>
    <author>Alastair Jones</author>
  </authors>
  <commentList>
    <comment ref="A15" authorId="0" shapeId="0" xr:uid="{9F2F87DD-A3AD-468D-A118-7F336A9CB096}">
      <text>
        <r>
          <rPr>
            <b/>
            <sz val="9"/>
            <color indexed="81"/>
            <rFont val="Tahoma"/>
            <family val="2"/>
          </rPr>
          <t>David:</t>
        </r>
        <r>
          <rPr>
            <sz val="9"/>
            <color indexed="81"/>
            <rFont val="Tahoma"/>
            <family val="2"/>
          </rPr>
          <t xml:space="preserve">
https://www.imf.org/en/Countries/CIV</t>
        </r>
      </text>
    </comment>
    <comment ref="L43" authorId="0" shapeId="0" xr:uid="{E9621D8A-1F53-4AC8-B644-F30062F0B2CB}">
      <text>
        <r>
          <rPr>
            <b/>
            <sz val="9"/>
            <color indexed="81"/>
            <rFont val="Tahoma"/>
            <family val="2"/>
          </rPr>
          <t>David:</t>
        </r>
        <r>
          <rPr>
            <sz val="9"/>
            <color indexed="81"/>
            <rFont val="Tahoma"/>
            <family val="2"/>
          </rPr>
          <t xml:space="preserve">
Sale to Paradigm in H2 25</t>
        </r>
      </text>
    </comment>
    <comment ref="G65" authorId="1" shapeId="0" xr:uid="{3279F597-BB60-467C-B548-B53E58E2597C}">
      <text>
        <r>
          <rPr>
            <b/>
            <sz val="9"/>
            <color indexed="81"/>
            <rFont val="Tahoma"/>
            <family val="2"/>
          </rPr>
          <t>Alastair Jones:</t>
        </r>
        <r>
          <rPr>
            <sz val="9"/>
            <color indexed="81"/>
            <rFont val="Tahoma"/>
            <family val="2"/>
          </rPr>
          <t xml:space="preserve">
Note - these are reported as at June 2021 (no disclosure for year-end)</t>
        </r>
      </text>
    </comment>
    <comment ref="G66" authorId="1" shapeId="0" xr:uid="{C0A501E9-FDDB-4346-80FF-4C22BF5458D7}">
      <text>
        <r>
          <rPr>
            <b/>
            <sz val="9"/>
            <color indexed="81"/>
            <rFont val="Tahoma"/>
            <family val="2"/>
          </rPr>
          <t>Alastair Jones:</t>
        </r>
        <r>
          <rPr>
            <sz val="9"/>
            <color indexed="81"/>
            <rFont val="Tahoma"/>
            <family val="2"/>
          </rPr>
          <t xml:space="preserve">
Note - these are reported as at June 2021 (no disclosure for year-end)</t>
        </r>
      </text>
    </comment>
    <comment ref="G67" authorId="1" shapeId="0" xr:uid="{19918220-5430-4D5F-8CDB-6B23ED4C1996}">
      <text>
        <r>
          <rPr>
            <b/>
            <sz val="9"/>
            <color indexed="81"/>
            <rFont val="Tahoma"/>
            <family val="2"/>
          </rPr>
          <t>Alastair Jones:</t>
        </r>
        <r>
          <rPr>
            <sz val="9"/>
            <color indexed="81"/>
            <rFont val="Tahoma"/>
            <family val="2"/>
          </rPr>
          <t xml:space="preserve">
Note - these are reported as at June 2021 (no disclosure for year-end)</t>
        </r>
      </text>
    </comment>
    <comment ref="G68" authorId="1" shapeId="0" xr:uid="{34EFDBA1-302F-46CB-BDBF-6C6DA27623CB}">
      <text>
        <r>
          <rPr>
            <b/>
            <sz val="9"/>
            <color indexed="81"/>
            <rFont val="Tahoma"/>
            <family val="2"/>
          </rPr>
          <t>Alastair Jones:</t>
        </r>
        <r>
          <rPr>
            <sz val="9"/>
            <color indexed="81"/>
            <rFont val="Tahoma"/>
            <family val="2"/>
          </rPr>
          <t xml:space="preserve">
Note - these are reported as at June 2021 (no disclosure for year-end)</t>
        </r>
      </text>
    </comment>
    <comment ref="I103" authorId="0" shapeId="0" xr:uid="{490108C3-9C47-49E1-B776-2FCBE5B5370F}">
      <text>
        <r>
          <rPr>
            <b/>
            <sz val="9"/>
            <color indexed="81"/>
            <rFont val="Tahoma"/>
            <family val="2"/>
          </rPr>
          <t>David:</t>
        </r>
        <r>
          <rPr>
            <sz val="9"/>
            <color indexed="81"/>
            <rFont val="Tahoma"/>
            <family val="2"/>
          </rPr>
          <t xml:space="preserve">
MTN SA acquisition in Q2</t>
        </r>
      </text>
    </comment>
    <comment ref="J103" authorId="0" shapeId="0" xr:uid="{8DEB88C1-F2FB-4B35-B867-CAFBBB4AEB7B}">
      <text>
        <r>
          <rPr>
            <b/>
            <sz val="9"/>
            <color indexed="81"/>
            <rFont val="Tahoma"/>
            <family val="2"/>
          </rPr>
          <t>David:</t>
        </r>
        <r>
          <rPr>
            <sz val="9"/>
            <color indexed="81"/>
            <rFont val="Tahoma"/>
            <family val="2"/>
          </rPr>
          <t xml:space="preserve">
MTN SA acquisition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David</author>
    <author>Alastair Jones</author>
  </authors>
  <commentList>
    <comment ref="A21" authorId="0" shapeId="0" xr:uid="{9129940F-E5A7-4EDE-A874-E2747BEEA46D}">
      <text>
        <r>
          <rPr>
            <b/>
            <sz val="9"/>
            <color indexed="81"/>
            <rFont val="Tahoma"/>
            <family val="2"/>
          </rPr>
          <t>David:</t>
        </r>
        <r>
          <rPr>
            <sz val="9"/>
            <color indexed="81"/>
            <rFont val="Tahoma"/>
            <family val="2"/>
          </rPr>
          <t xml:space="preserve">
https://www.bcb.gov.br/en/publications/inflationreport</t>
        </r>
      </text>
    </comment>
    <comment ref="I39" authorId="0" shapeId="0" xr:uid="{A91E272F-5B42-4445-A04E-2C259DF2FBA1}">
      <text>
        <r>
          <rPr>
            <b/>
            <sz val="9"/>
            <color indexed="81"/>
            <rFont val="Tahoma"/>
            <family val="2"/>
          </rPr>
          <t>David:</t>
        </r>
        <r>
          <rPr>
            <sz val="9"/>
            <color indexed="81"/>
            <rFont val="Tahoma"/>
            <family val="2"/>
          </rPr>
          <t xml:space="preserve">
GTS acquisition 
2,115 towers</t>
        </r>
      </text>
    </comment>
    <comment ref="K39" authorId="0" shapeId="0" xr:uid="{9B16ACFA-8758-4C8C-8C47-3BEB8C1AE0D8}">
      <text>
        <r>
          <rPr>
            <b/>
            <sz val="9"/>
            <color indexed="81"/>
            <rFont val="Tahoma"/>
            <family val="2"/>
          </rPr>
          <t>David:</t>
        </r>
        <r>
          <rPr>
            <sz val="9"/>
            <color indexed="81"/>
            <rFont val="Tahoma"/>
            <family val="2"/>
          </rPr>
          <t xml:space="preserve">
Includes 600 BTS</t>
        </r>
      </text>
    </comment>
    <comment ref="K40" authorId="0" shapeId="0" xr:uid="{B9372C17-BD7E-4199-878C-88A048E805AE}">
      <text>
        <r>
          <rPr>
            <b/>
            <sz val="9"/>
            <color indexed="81"/>
            <rFont val="Tahoma"/>
            <family val="2"/>
          </rPr>
          <t>David:</t>
        </r>
        <r>
          <rPr>
            <sz val="9"/>
            <color indexed="81"/>
            <rFont val="Tahoma"/>
            <family val="2"/>
          </rPr>
          <t xml:space="preserve">
Sale to SBAC</t>
        </r>
      </text>
    </comment>
    <comment ref="G64" authorId="1" shapeId="0" xr:uid="{A2A8375E-6B60-4CC5-BA2D-E3D140091BDB}">
      <text>
        <r>
          <rPr>
            <b/>
            <sz val="9"/>
            <color indexed="81"/>
            <rFont val="Tahoma"/>
            <family val="2"/>
          </rPr>
          <t>Alastair Jones:</t>
        </r>
        <r>
          <rPr>
            <sz val="9"/>
            <color indexed="81"/>
            <rFont val="Tahoma"/>
            <family val="2"/>
          </rPr>
          <t xml:space="preserve">
estimate</t>
        </r>
      </text>
    </comment>
    <comment ref="G66" authorId="1" shapeId="0" xr:uid="{4AE0F745-AC69-4A1F-B187-AB01C80D322F}">
      <text>
        <r>
          <rPr>
            <b/>
            <sz val="9"/>
            <color indexed="81"/>
            <rFont val="Tahoma"/>
            <family val="2"/>
          </rPr>
          <t>Alastair Jones:</t>
        </r>
        <r>
          <rPr>
            <sz val="9"/>
            <color indexed="81"/>
            <rFont val="Tahoma"/>
            <family val="2"/>
          </rPr>
          <t xml:space="preserve">
x2 to reflect consolidation from June
</t>
        </r>
      </text>
    </comment>
    <comment ref="K73" authorId="0" shapeId="0" xr:uid="{3931B635-6B67-4AFD-B9AD-19D8C3BED6F5}">
      <text>
        <r>
          <rPr>
            <b/>
            <sz val="9"/>
            <color indexed="81"/>
            <rFont val="Tahoma"/>
            <family val="2"/>
          </rPr>
          <t>David:</t>
        </r>
        <r>
          <rPr>
            <sz val="9"/>
            <color indexed="81"/>
            <rFont val="Tahoma"/>
            <family val="2"/>
          </rPr>
          <t xml:space="preserve">
R
eduction in revvs from Oi of $22.3m as a result of their judicial recovery proceedings</t>
        </r>
      </text>
    </comment>
    <comment ref="I80" authorId="0" shapeId="0" xr:uid="{1AFBA6F6-977F-4A01-8C72-B33CF1FECDC9}">
      <text>
        <r>
          <rPr>
            <b/>
            <sz val="9"/>
            <color indexed="81"/>
            <rFont val="Tahoma"/>
            <family val="2"/>
          </rPr>
          <t>David:</t>
        </r>
        <r>
          <rPr>
            <sz val="9"/>
            <color indexed="81"/>
            <rFont val="Tahoma"/>
            <family val="2"/>
          </rPr>
          <t xml:space="preserve">
https://www.ihstowers.com/support-and-info/media/press-releases/2021/ihs_towers_completes_transaction_with_tim_forming_i_systems</t>
        </r>
      </text>
    </comment>
    <comment ref="I83" authorId="0" shapeId="0" xr:uid="{5EA1543C-C6DC-4F12-AFA3-6E1704C46427}">
      <text>
        <r>
          <rPr>
            <b/>
            <sz val="9"/>
            <color indexed="81"/>
            <rFont val="Tahoma"/>
            <family val="2"/>
          </rPr>
          <t>David:</t>
        </r>
        <r>
          <rPr>
            <sz val="9"/>
            <color indexed="81"/>
            <rFont val="Tahoma"/>
            <family val="2"/>
          </rPr>
          <t xml:space="preserve">
I-systems and GTS SP5 acquisitions</t>
        </r>
      </text>
    </comment>
    <comment ref="J83" authorId="0" shapeId="0" xr:uid="{D074F575-D06A-4905-8AAB-31D0EC6C7B9C}">
      <text>
        <r>
          <rPr>
            <b/>
            <sz val="9"/>
            <color indexed="81"/>
            <rFont val="Tahoma"/>
            <family val="2"/>
          </rPr>
          <t>David:</t>
        </r>
        <r>
          <rPr>
            <sz val="9"/>
            <color indexed="81"/>
            <rFont val="Tahoma"/>
            <family val="2"/>
          </rPr>
          <t xml:space="preserve">
GTS SP5 acquisition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David</author>
    <author>Alastair Jones</author>
  </authors>
  <commentList>
    <comment ref="A12" authorId="0" shapeId="0" xr:uid="{99500597-E350-4D6A-9481-FDDCE5F730E4}">
      <text>
        <r>
          <rPr>
            <b/>
            <sz val="9"/>
            <color indexed="81"/>
            <rFont val="Tahoma"/>
            <family val="2"/>
          </rPr>
          <t>David:</t>
        </r>
        <r>
          <rPr>
            <sz val="9"/>
            <color indexed="81"/>
            <rFont val="Tahoma"/>
            <family val="2"/>
          </rPr>
          <t xml:space="preserve">
https://www.focus-economics.com/country-indicator/kuwait/inflation/#:~:text=Consumer%20price%20inflation%20in%20Kuwait,Kuwait%20in%202022%20was%204.0%25.</t>
        </r>
      </text>
    </comment>
    <comment ref="K18" authorId="0" shapeId="0" xr:uid="{FB862BA2-9628-454D-BE4D-52DEBDAB9F1C}">
      <text>
        <r>
          <rPr>
            <b/>
            <sz val="9"/>
            <color indexed="81"/>
            <rFont val="Tahoma"/>
            <family val="2"/>
          </rPr>
          <t>David:</t>
        </r>
        <r>
          <rPr>
            <sz val="9"/>
            <color indexed="81"/>
            <rFont val="Tahoma"/>
            <family val="2"/>
          </rPr>
          <t xml:space="preserve">
Q3</t>
        </r>
      </text>
    </comment>
    <comment ref="G26" authorId="1" shapeId="0" xr:uid="{4F553FE6-F505-4EA4-A974-4A2DE4F9098D}">
      <text>
        <r>
          <rPr>
            <b/>
            <sz val="9"/>
            <color indexed="81"/>
            <rFont val="Tahoma"/>
            <family val="2"/>
          </rPr>
          <t>Alastair Jones:</t>
        </r>
        <r>
          <rPr>
            <sz val="9"/>
            <color indexed="81"/>
            <rFont val="Tahoma"/>
            <family val="2"/>
          </rPr>
          <t xml:space="preserve">
As at June 2021: 1296</t>
        </r>
      </text>
    </comment>
    <comment ref="K26" authorId="0" shapeId="0" xr:uid="{B83A0D12-DCA3-4CA1-AB7D-5C66BA333388}">
      <text>
        <r>
          <rPr>
            <b/>
            <sz val="9"/>
            <color indexed="81"/>
            <rFont val="Tahoma"/>
            <family val="2"/>
          </rPr>
          <t>David:</t>
        </r>
        <r>
          <rPr>
            <sz val="9"/>
            <color indexed="81"/>
            <rFont val="Tahoma"/>
            <family val="2"/>
          </rPr>
          <t xml:space="preserve">
Q3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AL9" authorId="0" shapeId="0" xr:uid="{005B318F-A419-4970-A0FD-53D9FFA2EC80}">
      <text>
        <r>
          <rPr>
            <b/>
            <sz val="9"/>
            <color indexed="81"/>
            <rFont val="Tahoma"/>
            <family val="2"/>
          </rPr>
          <t>David:</t>
        </r>
        <r>
          <rPr>
            <sz val="9"/>
            <color indexed="81"/>
            <rFont val="Tahoma"/>
            <family val="2"/>
          </rPr>
          <t xml:space="preserve">
Sale of Rwanda</t>
        </r>
      </text>
    </comment>
    <comment ref="AH13" authorId="0" shapeId="0" xr:uid="{9C445FA3-080B-4A32-A57B-3D8D4A1C6EAB}">
      <text>
        <r>
          <rPr>
            <b/>
            <sz val="9"/>
            <color indexed="81"/>
            <rFont val="Tahoma"/>
            <family val="2"/>
          </rPr>
          <t>David:</t>
        </r>
        <r>
          <rPr>
            <sz val="9"/>
            <color indexed="81"/>
            <rFont val="Tahoma"/>
            <family val="2"/>
          </rPr>
          <t xml:space="preserve">
-1678 from Kuwait</t>
        </r>
      </text>
    </comment>
    <comment ref="AH14" authorId="0" shapeId="0" xr:uid="{2B60C0C1-9795-4E05-9875-90FF4769D910}">
      <text>
        <r>
          <rPr>
            <b/>
            <sz val="9"/>
            <color indexed="81"/>
            <rFont val="Tahoma"/>
            <family val="2"/>
          </rPr>
          <t>David:</t>
        </r>
        <r>
          <rPr>
            <sz val="9"/>
            <color indexed="81"/>
            <rFont val="Tahoma"/>
            <family val="2"/>
          </rPr>
          <t xml:space="preserve">
-1700 from Kuwait</t>
        </r>
      </text>
    </comment>
    <comment ref="W16" authorId="0" shapeId="0" xr:uid="{E58228DE-5223-40BB-82B9-ABBA4E4996C0}">
      <text>
        <r>
          <rPr>
            <b/>
            <sz val="9"/>
            <color indexed="81"/>
            <rFont val="Tahoma"/>
            <family val="2"/>
          </rPr>
          <t>David:</t>
        </r>
        <r>
          <rPr>
            <sz val="9"/>
            <color indexed="81"/>
            <rFont val="Tahoma"/>
            <family val="2"/>
          </rPr>
          <t xml:space="preserve">
GTS Brazil</t>
        </r>
      </text>
    </comment>
    <comment ref="X16" authorId="0" shapeId="0" xr:uid="{F07A939C-7E56-4F45-8BB0-67A79D878CD9}">
      <text>
        <r>
          <rPr>
            <b/>
            <sz val="9"/>
            <color indexed="81"/>
            <rFont val="Tahoma"/>
            <family val="2"/>
          </rPr>
          <t>David:</t>
        </r>
        <r>
          <rPr>
            <sz val="9"/>
            <color indexed="81"/>
            <rFont val="Tahoma"/>
            <family val="2"/>
          </rPr>
          <t xml:space="preserve">
SA</t>
        </r>
      </text>
    </comment>
    <comment ref="W20" authorId="0" shapeId="0" xr:uid="{D64A2C60-245F-4EE2-895B-07FBBCEB7E77}">
      <text>
        <r>
          <rPr>
            <b/>
            <sz val="9"/>
            <color indexed="81"/>
            <rFont val="Tahoma"/>
            <family val="2"/>
          </rPr>
          <t>David:</t>
        </r>
        <r>
          <rPr>
            <sz val="9"/>
            <color indexed="81"/>
            <rFont val="Tahoma"/>
            <family val="2"/>
          </rPr>
          <t xml:space="preserve">
GTS Brazil</t>
        </r>
      </text>
    </comment>
    <comment ref="X20" authorId="0" shapeId="0" xr:uid="{6A9C1DC6-FB90-487C-8A0C-67E732C90464}">
      <text>
        <r>
          <rPr>
            <b/>
            <sz val="9"/>
            <color indexed="81"/>
            <rFont val="Tahoma"/>
            <family val="2"/>
          </rPr>
          <t>David:</t>
        </r>
        <r>
          <rPr>
            <sz val="9"/>
            <color indexed="81"/>
            <rFont val="Tahoma"/>
            <family val="2"/>
          </rPr>
          <t xml:space="preserve">
SA</t>
        </r>
      </text>
    </comment>
    <comment ref="Y32" authorId="0" shapeId="0" xr:uid="{277D68BA-F741-48FF-A881-37B68939DB2B}">
      <text>
        <r>
          <rPr>
            <b/>
            <sz val="9"/>
            <color indexed="81"/>
            <rFont val="Tahoma"/>
            <family val="2"/>
          </rPr>
          <t>David:</t>
        </r>
        <r>
          <rPr>
            <sz val="9"/>
            <color indexed="81"/>
            <rFont val="Tahoma"/>
            <family val="2"/>
          </rPr>
          <t xml:space="preserve">
3Q22 reflects the reduction of 1,444 Lease Amendments in Nigeria that are billed variably based on power consumption rather than a recurring use fee</t>
        </r>
      </text>
    </comment>
    <comment ref="AG39" authorId="0" shapeId="0" xr:uid="{C30D4C2A-84BF-47BD-A08E-00B47DFE8C96}">
      <text>
        <r>
          <rPr>
            <b/>
            <sz val="9"/>
            <color indexed="81"/>
            <rFont val="Tahoma"/>
            <family val="2"/>
          </rPr>
          <t>David:</t>
        </r>
        <r>
          <rPr>
            <sz val="9"/>
            <color indexed="81"/>
            <rFont val="Tahoma"/>
            <family val="2"/>
          </rPr>
          <t xml:space="preserve">
3Q24 includes 210 reintegrated towers and (529) churned tenants from our smallest key customer in Nigeria on which we were not recognizing revenue</t>
        </r>
      </text>
    </comment>
    <comment ref="AA42" authorId="0" shapeId="0" xr:uid="{7A57ADCC-C85B-4E76-9A56-646B569BA641}">
      <text>
        <r>
          <rPr>
            <b/>
            <sz val="9"/>
            <color indexed="81"/>
            <rFont val="Tahoma"/>
            <family val="2"/>
          </rPr>
          <t>David:</t>
        </r>
        <r>
          <rPr>
            <sz val="9"/>
            <color indexed="81"/>
            <rFont val="Tahoma"/>
            <family val="2"/>
          </rPr>
          <t xml:space="preserve">
727 towers rationalised</t>
        </r>
      </text>
    </comment>
    <comment ref="AL55" authorId="0" shapeId="0" xr:uid="{36ED13BB-2B39-4D98-8EEE-F40CF7FD176D}">
      <text>
        <r>
          <rPr>
            <b/>
            <sz val="9"/>
            <color indexed="81"/>
            <rFont val="Tahoma"/>
            <family val="2"/>
          </rPr>
          <t>David:</t>
        </r>
        <r>
          <rPr>
            <sz val="9"/>
            <color indexed="81"/>
            <rFont val="Tahoma"/>
            <family val="2"/>
          </rPr>
          <t xml:space="preserve">
Rwanda was 2.05</t>
        </r>
      </text>
    </comment>
    <comment ref="AL57" authorId="0" shapeId="0" xr:uid="{17FD5ACB-AB2A-4E26-BE96-3E14EF216AD8}">
      <text>
        <r>
          <rPr>
            <b/>
            <sz val="9"/>
            <color indexed="81"/>
            <rFont val="Tahoma"/>
            <family val="2"/>
          </rPr>
          <t>David:</t>
        </r>
        <r>
          <rPr>
            <sz val="9"/>
            <color indexed="81"/>
            <rFont val="Tahoma"/>
            <family val="2"/>
          </rPr>
          <t xml:space="preserve">
Sale of Rwanda</t>
        </r>
      </text>
    </comment>
    <comment ref="Y101" authorId="0" shapeId="0" xr:uid="{098796AB-B1ED-425D-9BE0-8D5448D2254D}">
      <text>
        <r>
          <rPr>
            <b/>
            <sz val="9"/>
            <color indexed="81"/>
            <rFont val="Tahoma"/>
            <family val="2"/>
          </rPr>
          <t>David:</t>
        </r>
        <r>
          <rPr>
            <sz val="9"/>
            <color indexed="81"/>
            <rFont val="Tahoma"/>
            <family val="2"/>
          </rPr>
          <t xml:space="preserve">
23.1% organic reported
18.6% when excluding 18m of non recurring</t>
        </r>
      </text>
    </comment>
    <comment ref="AA101" authorId="0" shapeId="0" xr:uid="{BA6468FB-0B74-4C70-9E66-1A8579AE5339}">
      <text>
        <r>
          <rPr>
            <b/>
            <sz val="9"/>
            <color indexed="81"/>
            <rFont val="Tahoma"/>
            <family val="2"/>
          </rPr>
          <t>David:</t>
        </r>
        <r>
          <rPr>
            <sz val="9"/>
            <color indexed="81"/>
            <rFont val="Tahoma"/>
            <family val="2"/>
          </rPr>
          <t xml:space="preserve">
Includes 48m from non-recurring revs.
+27.6% ex these</t>
        </r>
      </text>
    </comment>
    <comment ref="Y102" authorId="0" shapeId="0" xr:uid="{19F436C2-5CAA-47BE-875E-976D4BDF3451}">
      <text>
        <r>
          <rPr>
            <b/>
            <sz val="9"/>
            <color indexed="81"/>
            <rFont val="Tahoma"/>
            <family val="2"/>
          </rPr>
          <t>David:</t>
        </r>
        <r>
          <rPr>
            <sz val="9"/>
            <color indexed="81"/>
            <rFont val="Tahoma"/>
            <family val="2"/>
          </rPr>
          <t xml:space="preserve">
Includes 18m of non recurring</t>
        </r>
      </text>
    </comment>
    <comment ref="Y112" authorId="0" shapeId="0" xr:uid="{748F22E5-B018-4F69-8390-C19056C0B8C2}">
      <text>
        <r>
          <rPr>
            <b/>
            <sz val="9"/>
            <color indexed="81"/>
            <rFont val="Tahoma"/>
            <family val="2"/>
          </rPr>
          <t>David:</t>
        </r>
        <r>
          <rPr>
            <sz val="9"/>
            <color indexed="81"/>
            <rFont val="Tahoma"/>
            <family val="2"/>
          </rPr>
          <t xml:space="preserve">
22.5% ex 18m non recurring we estimate</t>
        </r>
      </text>
    </comment>
    <comment ref="AA112" authorId="0" shapeId="0" xr:uid="{C35ADB8E-BB77-4C09-A3F2-E66514DF786F}">
      <text>
        <r>
          <rPr>
            <b/>
            <sz val="9"/>
            <color indexed="81"/>
            <rFont val="Tahoma"/>
            <family val="2"/>
          </rPr>
          <t>David:</t>
        </r>
        <r>
          <rPr>
            <sz val="9"/>
            <color indexed="81"/>
            <rFont val="Tahoma"/>
            <family val="2"/>
          </rPr>
          <t xml:space="preserve">
Includes 48m from non-recurring revs.
31.6% ex these</t>
        </r>
      </text>
    </comment>
    <comment ref="AB112" authorId="0" shapeId="0" xr:uid="{0D8D2761-A119-4529-A118-B5ED446D808B}">
      <text>
        <r>
          <rPr>
            <b/>
            <sz val="9"/>
            <color indexed="81"/>
            <rFont val="Tahoma"/>
            <family val="2"/>
          </rPr>
          <t>David:</t>
        </r>
        <r>
          <rPr>
            <sz val="9"/>
            <color indexed="81"/>
            <rFont val="Tahoma"/>
            <family val="2"/>
          </rPr>
          <t xml:space="preserve">
Includes $12m non recurring</t>
        </r>
      </text>
    </comment>
    <comment ref="AL114" authorId="0" shapeId="0" xr:uid="{A38F4649-EF15-4B7C-9075-43D253A442DD}">
      <text>
        <r>
          <rPr>
            <b/>
            <sz val="9"/>
            <color indexed="81"/>
            <rFont val="Tahoma"/>
            <family val="2"/>
          </rPr>
          <t>David:</t>
        </r>
        <r>
          <rPr>
            <sz val="9"/>
            <color indexed="81"/>
            <rFont val="Tahoma"/>
            <family val="2"/>
          </rPr>
          <t xml:space="preserve">
Sale of Rwanda
~20m</t>
        </r>
      </text>
    </comment>
    <comment ref="AF120" authorId="0" shapeId="0" xr:uid="{12970CBC-CE3F-4A6D-8D78-0922225DF9C7}">
      <text>
        <r>
          <rPr>
            <b/>
            <sz val="9"/>
            <color indexed="81"/>
            <rFont val="Tahoma"/>
            <family val="2"/>
          </rPr>
          <t>David:</t>
        </r>
        <r>
          <rPr>
            <sz val="9"/>
            <color indexed="81"/>
            <rFont val="Tahoma"/>
            <family val="2"/>
          </rPr>
          <t xml:space="preserve">
growth despite $5.3m reduction of revenue related to Oi as a result of judicial recovery proceedings</t>
        </r>
      </text>
    </comment>
    <comment ref="Y130" authorId="0" shapeId="0" xr:uid="{8C69EAF0-DFAB-4E61-A70F-402A7E13F106}">
      <text>
        <r>
          <rPr>
            <b/>
            <sz val="9"/>
            <color indexed="81"/>
            <rFont val="Tahoma"/>
            <family val="2"/>
          </rPr>
          <t>David:</t>
        </r>
        <r>
          <rPr>
            <sz val="9"/>
            <color indexed="81"/>
            <rFont val="Tahoma"/>
            <family val="2"/>
          </rPr>
          <t xml:space="preserve">
16.8% Ex non recurring $18m revenue</t>
        </r>
      </text>
    </comment>
    <comment ref="AA130" authorId="0" shapeId="0" xr:uid="{B1E4DE85-1CB5-47C6-8483-0DF8E0D66B84}">
      <text>
        <r>
          <rPr>
            <b/>
            <sz val="9"/>
            <color indexed="81"/>
            <rFont val="Tahoma"/>
            <family val="2"/>
          </rPr>
          <t>David:</t>
        </r>
        <r>
          <rPr>
            <sz val="9"/>
            <color indexed="81"/>
            <rFont val="Tahoma"/>
            <family val="2"/>
          </rPr>
          <t xml:space="preserve">
Excluding 48m</t>
        </r>
      </text>
    </comment>
    <comment ref="Y131" authorId="0" shapeId="0" xr:uid="{0C2D98EC-1315-429D-971E-20B2D2E424B2}">
      <text>
        <r>
          <rPr>
            <b/>
            <sz val="9"/>
            <color indexed="81"/>
            <rFont val="Tahoma"/>
            <family val="2"/>
          </rPr>
          <t>David:</t>
        </r>
        <r>
          <rPr>
            <sz val="9"/>
            <color indexed="81"/>
            <rFont val="Tahoma"/>
            <family val="2"/>
          </rPr>
          <t xml:space="preserve">
16.8% Ex non recurring $18m revenue</t>
        </r>
      </text>
    </comment>
    <comment ref="Y200" authorId="0" shapeId="0" xr:uid="{90D9FF62-3BE8-49A2-924D-158DEE06683A}">
      <text>
        <r>
          <rPr>
            <b/>
            <sz val="9"/>
            <color indexed="81"/>
            <rFont val="Tahoma"/>
            <family val="2"/>
          </rPr>
          <t>David:</t>
        </r>
        <r>
          <rPr>
            <sz val="9"/>
            <color indexed="81"/>
            <rFont val="Tahoma"/>
            <family val="2"/>
          </rPr>
          <t xml:space="preserve">
18m one off</t>
        </r>
      </text>
    </comment>
    <comment ref="AA200" authorId="0" shapeId="0" xr:uid="{2BDB7A39-C8BD-4EB0-B075-A69D1E5A7E84}">
      <text>
        <r>
          <rPr>
            <b/>
            <sz val="9"/>
            <color indexed="81"/>
            <rFont val="Tahoma"/>
            <family val="2"/>
          </rPr>
          <t>David:</t>
        </r>
        <r>
          <rPr>
            <sz val="9"/>
            <color indexed="81"/>
            <rFont val="Tahoma"/>
            <family val="2"/>
          </rPr>
          <t xml:space="preserve">
43m one off</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H12" authorId="0" shapeId="0" xr:uid="{18BF0798-6834-4FA1-9A6D-B2C20C1A1DFF}">
      <text>
        <r>
          <rPr>
            <b/>
            <sz val="9"/>
            <color indexed="81"/>
            <rFont val="Tahoma"/>
            <family val="2"/>
          </rPr>
          <t>David:</t>
        </r>
        <r>
          <rPr>
            <sz val="9"/>
            <color indexed="81"/>
            <rFont val="Tahoma"/>
            <family val="2"/>
          </rPr>
          <t xml:space="preserve">
NSR 18.4%</t>
        </r>
      </text>
    </comment>
    <comment ref="J71" authorId="0" shapeId="0" xr:uid="{54321602-973F-42EA-885B-2442227A2E3A}">
      <text>
        <r>
          <rPr>
            <b/>
            <sz val="9"/>
            <color indexed="81"/>
            <rFont val="Tahoma"/>
            <family val="2"/>
          </rPr>
          <t>David:</t>
        </r>
        <r>
          <rPr>
            <sz val="9"/>
            <color indexed="81"/>
            <rFont val="Tahoma"/>
            <family val="2"/>
          </rPr>
          <t xml:space="preserve">
$10m left for PG</t>
        </r>
      </text>
    </comment>
    <comment ref="H132" authorId="0" shapeId="0" xr:uid="{394196BD-285E-4FF4-9C41-847F73817FFE}">
      <text>
        <r>
          <rPr>
            <b/>
            <sz val="9"/>
            <color indexed="81"/>
            <rFont val="Tahoma"/>
            <family val="2"/>
          </rPr>
          <t>David:</t>
        </r>
        <r>
          <rPr>
            <sz val="9"/>
            <color indexed="81"/>
            <rFont val="Tahoma"/>
            <family val="2"/>
          </rPr>
          <t xml:space="preserve">
Organic capex lowered by $10m</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<sst xmlns="http://schemas.openxmlformats.org/spreadsheetml/2006/main" count="2563" uniqueCount="1193">
  <si>
    <t>Tanzania</t>
  </si>
  <si>
    <t>Tenancy ratio</t>
  </si>
  <si>
    <t>Tenancies</t>
  </si>
  <si>
    <t>Growth</t>
  </si>
  <si>
    <t>New tenancies</t>
  </si>
  <si>
    <t xml:space="preserve">Revenues </t>
  </si>
  <si>
    <t>Revenue/tenancy/month</t>
  </si>
  <si>
    <t>Revenue/tower/month</t>
  </si>
  <si>
    <t>Other costs</t>
  </si>
  <si>
    <t>EBITDA</t>
  </si>
  <si>
    <t>Adjusted EBITDA</t>
  </si>
  <si>
    <t>Margin</t>
  </si>
  <si>
    <t>Normalised revenues</t>
  </si>
  <si>
    <t>% change</t>
  </si>
  <si>
    <t>Group EBITDA</t>
  </si>
  <si>
    <t>EBITDA margin</t>
  </si>
  <si>
    <t>% of sales</t>
  </si>
  <si>
    <t>Group OpFCF</t>
  </si>
  <si>
    <t>OpFCF margin</t>
  </si>
  <si>
    <t>Depreciation</t>
  </si>
  <si>
    <t>Amortisation</t>
  </si>
  <si>
    <t>Other</t>
  </si>
  <si>
    <t>EBIT</t>
  </si>
  <si>
    <t>PBT</t>
  </si>
  <si>
    <t>Tax</t>
  </si>
  <si>
    <t>Minority interest</t>
  </si>
  <si>
    <t>Reported EPS</t>
  </si>
  <si>
    <t>Clean EPS</t>
  </si>
  <si>
    <t>DPS</t>
  </si>
  <si>
    <t>EFCF/ share</t>
  </si>
  <si>
    <t>Balance sheet</t>
  </si>
  <si>
    <t>Cash and cash equivalents</t>
  </si>
  <si>
    <t>Inventory</t>
  </si>
  <si>
    <t xml:space="preserve">Receivables </t>
  </si>
  <si>
    <t>Prepaid expenses</t>
  </si>
  <si>
    <t>Current assets</t>
  </si>
  <si>
    <t>Net PP&amp;E</t>
  </si>
  <si>
    <t>Goodwill</t>
  </si>
  <si>
    <t>Net intangible assets</t>
  </si>
  <si>
    <t>Other non-current assets</t>
  </si>
  <si>
    <t>Total assets</t>
  </si>
  <si>
    <t>Trade and other payables</t>
  </si>
  <si>
    <t>Other current liabilities</t>
  </si>
  <si>
    <t>Short-term debt</t>
  </si>
  <si>
    <t>Current liabilites</t>
  </si>
  <si>
    <t>Long-term debt</t>
  </si>
  <si>
    <t>Total Liabilities</t>
  </si>
  <si>
    <t>Minority Interests</t>
  </si>
  <si>
    <t>Share capital and premium</t>
  </si>
  <si>
    <t>Other Reserves</t>
  </si>
  <si>
    <t>Retained Earnings</t>
  </si>
  <si>
    <t>Total Equity</t>
  </si>
  <si>
    <t>Total liabilities and book equity</t>
  </si>
  <si>
    <t>Check</t>
  </si>
  <si>
    <t>Net debt/(cash)</t>
  </si>
  <si>
    <t>Change in net debt</t>
  </si>
  <si>
    <t>Cash flow statement</t>
  </si>
  <si>
    <t>OpFCF</t>
  </si>
  <si>
    <t>Less: Interest payments</t>
  </si>
  <si>
    <t>Less: Tax paid</t>
  </si>
  <si>
    <t>Less: Change in WC</t>
  </si>
  <si>
    <t>Less: Restructuring payments</t>
  </si>
  <si>
    <t>Less: Disposals/acquis.</t>
  </si>
  <si>
    <t>Less: Dividends paid</t>
  </si>
  <si>
    <t>Net debt (cash)</t>
  </si>
  <si>
    <t>Difference</t>
  </si>
  <si>
    <t>Net Debt/EBITDA</t>
  </si>
  <si>
    <t>as % of Net PP&amp;E</t>
  </si>
  <si>
    <t>Less: extraordinary depreciation</t>
  </si>
  <si>
    <t>Clean depreciation</t>
  </si>
  <si>
    <t>Av. asset life</t>
  </si>
  <si>
    <t>Gross PP&amp;E</t>
  </si>
  <si>
    <t>Acc. Depreciation</t>
  </si>
  <si>
    <t>Acquisitions</t>
  </si>
  <si>
    <t>Capex/ depreciation</t>
  </si>
  <si>
    <t>Amortization</t>
  </si>
  <si>
    <t>as % of Intangibles</t>
  </si>
  <si>
    <t>Less: extraordinary amortisation</t>
  </si>
  <si>
    <t>Clean amortisation</t>
  </si>
  <si>
    <t>Gross intangibles</t>
  </si>
  <si>
    <t>Acc. Amortisation</t>
  </si>
  <si>
    <t>Net intangibles</t>
  </si>
  <si>
    <t>Interest/ debt</t>
  </si>
  <si>
    <t>Interest payments</t>
  </si>
  <si>
    <t>Exceptional interest charges</t>
  </si>
  <si>
    <t>Clean interest payments</t>
  </si>
  <si>
    <t>Average interest rate on cash</t>
  </si>
  <si>
    <t>Change</t>
  </si>
  <si>
    <t>Interest expense</t>
  </si>
  <si>
    <t>Average interest rate on debt</t>
  </si>
  <si>
    <t>Average interest rate</t>
  </si>
  <si>
    <t>Average debt</t>
  </si>
  <si>
    <t>Gross debt</t>
  </si>
  <si>
    <t>Net cash (incl. derivatives)</t>
  </si>
  <si>
    <t>Net debt</t>
  </si>
  <si>
    <t>Cash as % of sales</t>
  </si>
  <si>
    <t xml:space="preserve"> - of which short-term debt</t>
  </si>
  <si>
    <t xml:space="preserve"> - of which long-term debt</t>
  </si>
  <si>
    <t>Net cash</t>
  </si>
  <si>
    <t>Growth %</t>
  </si>
  <si>
    <t>Working capital analysis</t>
  </si>
  <si>
    <t>Change in inventory</t>
  </si>
  <si>
    <t>Receivables</t>
  </si>
  <si>
    <t>Change in receivables</t>
  </si>
  <si>
    <t>Other Creditors</t>
  </si>
  <si>
    <t>Change in payables</t>
  </si>
  <si>
    <t>Change in working capital</t>
  </si>
  <si>
    <t>Group Profit Before Tax</t>
  </si>
  <si>
    <t>Effective Tax rate</t>
  </si>
  <si>
    <t>Ordinary shares and share premium</t>
  </si>
  <si>
    <t>Other reserves</t>
  </si>
  <si>
    <t>Net Income</t>
  </si>
  <si>
    <t>Dividends</t>
  </si>
  <si>
    <t>Per share analysis</t>
  </si>
  <si>
    <t>Less: depreciation</t>
  </si>
  <si>
    <t>Less: amortisation</t>
  </si>
  <si>
    <t>Less: interest</t>
  </si>
  <si>
    <t>Less: associates charges</t>
  </si>
  <si>
    <t>Less: clean tax</t>
  </si>
  <si>
    <t>Less: minority interests</t>
  </si>
  <si>
    <t>Clean earnings</t>
  </si>
  <si>
    <t>Number of shares in issue</t>
  </si>
  <si>
    <t>Average Number of shares</t>
  </si>
  <si>
    <t>Weighted Average Number of diluted shares</t>
  </si>
  <si>
    <t>Diluted Shares</t>
  </si>
  <si>
    <t>Treasury shares</t>
  </si>
  <si>
    <t>Shares entitled to dividends</t>
  </si>
  <si>
    <t>Interim dividend</t>
  </si>
  <si>
    <t>Final dividend</t>
  </si>
  <si>
    <t>Dividend payments</t>
  </si>
  <si>
    <t>as % of clean EPS</t>
  </si>
  <si>
    <t>as % of reported EPS</t>
  </si>
  <si>
    <t>Gearing (Net debt / Equity)</t>
  </si>
  <si>
    <t>DECEMBER YEAR-END</t>
  </si>
  <si>
    <t>DRC</t>
  </si>
  <si>
    <t>Ghana</t>
  </si>
  <si>
    <t>Congo B</t>
  </si>
  <si>
    <t>South Africa</t>
  </si>
  <si>
    <t>Finance costs</t>
  </si>
  <si>
    <t>WACC</t>
  </si>
  <si>
    <t>EV</t>
  </si>
  <si>
    <t>Number of shares</t>
  </si>
  <si>
    <t>Market capitalisation</t>
  </si>
  <si>
    <t>P/ EFCF</t>
  </si>
  <si>
    <t>tenancies</t>
  </si>
  <si>
    <t>Tower adds</t>
  </si>
  <si>
    <t>Co-location adds</t>
  </si>
  <si>
    <t>Target</t>
  </si>
  <si>
    <t>Page 6 of intention to list document</t>
  </si>
  <si>
    <t>Average tower rates</t>
  </si>
  <si>
    <t>China Tower</t>
  </si>
  <si>
    <t>Protelindo</t>
  </si>
  <si>
    <t>Tower Bersama</t>
  </si>
  <si>
    <t>AMT</t>
  </si>
  <si>
    <t>Inwit</t>
  </si>
  <si>
    <t>Drivers, line 243</t>
  </si>
  <si>
    <t>Cellnex</t>
  </si>
  <si>
    <t>US</t>
  </si>
  <si>
    <t>EMEA</t>
  </si>
  <si>
    <t>Asia</t>
  </si>
  <si>
    <t>Latam</t>
  </si>
  <si>
    <t>Revenues</t>
  </si>
  <si>
    <t>Towers</t>
  </si>
  <si>
    <t>AMT - USA</t>
  </si>
  <si>
    <t>AMT - Asia</t>
  </si>
  <si>
    <t>AMT  -EMEA</t>
  </si>
  <si>
    <t>AMT - Latam</t>
  </si>
  <si>
    <t>Pge 29</t>
  </si>
  <si>
    <t>of 2018 annual report</t>
  </si>
  <si>
    <t>Telesites</t>
  </si>
  <si>
    <t>Revenue</t>
  </si>
  <si>
    <t>including power</t>
  </si>
  <si>
    <t>Sites</t>
  </si>
  <si>
    <t>Infratel (India)</t>
  </si>
  <si>
    <t>No. of sites</t>
  </si>
  <si>
    <t xml:space="preserve">page 33 of </t>
  </si>
  <si>
    <t>Infratel</t>
  </si>
  <si>
    <t>1. Tanzania</t>
  </si>
  <si>
    <t>2. DRC</t>
  </si>
  <si>
    <t>3. Ghana</t>
  </si>
  <si>
    <t>4. Congo B</t>
  </si>
  <si>
    <t>Total</t>
  </si>
  <si>
    <t>Revenue/tower
US$/month</t>
  </si>
  <si>
    <t>Revenue/tenancy
US$/month</t>
  </si>
  <si>
    <t>USA</t>
  </si>
  <si>
    <t>India</t>
  </si>
  <si>
    <t>From 20F</t>
  </si>
  <si>
    <t>co-location</t>
  </si>
  <si>
    <t>Revenue/tenancy</t>
  </si>
  <si>
    <t>India (Infratel)</t>
  </si>
  <si>
    <t>Average tenancy per month rates</t>
  </si>
  <si>
    <t>Spain</t>
  </si>
  <si>
    <t>Italy</t>
  </si>
  <si>
    <t>Netherlands</t>
  </si>
  <si>
    <t>France</t>
  </si>
  <si>
    <t>Uk</t>
  </si>
  <si>
    <t>Switzerland</t>
  </si>
  <si>
    <t>fewer players, so lower tenancies than other markets - how does that impact?</t>
  </si>
  <si>
    <t>Crown Castle</t>
  </si>
  <si>
    <t>Independent</t>
  </si>
  <si>
    <t>SBA</t>
  </si>
  <si>
    <t>Helios</t>
  </si>
  <si>
    <t>Zambia</t>
  </si>
  <si>
    <t>Nigeria</t>
  </si>
  <si>
    <t>Airtel</t>
  </si>
  <si>
    <t>IHS</t>
  </si>
  <si>
    <t>Rwanda</t>
  </si>
  <si>
    <t>Vodacom</t>
  </si>
  <si>
    <t>MTN</t>
  </si>
  <si>
    <t>Co-locations</t>
  </si>
  <si>
    <t>Total capex</t>
  </si>
  <si>
    <t>Less: Lease fee payments</t>
  </si>
  <si>
    <t>Revenues (20F)</t>
  </si>
  <si>
    <t>Orange</t>
  </si>
  <si>
    <t>Vodafone</t>
  </si>
  <si>
    <t>Market share</t>
  </si>
  <si>
    <t>Market sites</t>
  </si>
  <si>
    <t>Pakistan</t>
  </si>
  <si>
    <t>Bangladesh</t>
  </si>
  <si>
    <t>Mexico</t>
  </si>
  <si>
    <t>Myanmar</t>
  </si>
  <si>
    <t>Brazil</t>
  </si>
  <si>
    <t>Russia</t>
  </si>
  <si>
    <t>Argentina</t>
  </si>
  <si>
    <t>Colombia</t>
  </si>
  <si>
    <t>UK</t>
  </si>
  <si>
    <t>Philippines</t>
  </si>
  <si>
    <t>Sri Lanka</t>
  </si>
  <si>
    <t>Indonesia</t>
  </si>
  <si>
    <t>Turkey</t>
  </si>
  <si>
    <t>Vietnam</t>
  </si>
  <si>
    <t>Thailand</t>
  </si>
  <si>
    <t>Malaysia</t>
  </si>
  <si>
    <t>Singapore</t>
  </si>
  <si>
    <t>Hong Kong</t>
  </si>
  <si>
    <t>China</t>
  </si>
  <si>
    <t>South Korea</t>
  </si>
  <si>
    <t>Japan</t>
  </si>
  <si>
    <t>Peru</t>
  </si>
  <si>
    <t>Chile</t>
  </si>
  <si>
    <t>BTS/pop</t>
  </si>
  <si>
    <t>CongoB</t>
  </si>
  <si>
    <t>No.1</t>
  </si>
  <si>
    <t>No.2</t>
  </si>
  <si>
    <t>No.3</t>
  </si>
  <si>
    <t>No.4</t>
  </si>
  <si>
    <t>Millicom</t>
  </si>
  <si>
    <t>MNO's with scale</t>
  </si>
  <si>
    <t>ROIC</t>
  </si>
  <si>
    <t>EBIT (afer tax)</t>
  </si>
  <si>
    <t>Capital employed</t>
  </si>
  <si>
    <t>F-14 of 20F; 140 of 687 is power costs</t>
  </si>
  <si>
    <t>118.9 is not leasing revenues</t>
  </si>
  <si>
    <t>non lease revenues of 7%</t>
  </si>
  <si>
    <t>GNI/cap</t>
  </si>
  <si>
    <t>total</t>
  </si>
  <si>
    <t>tenancy ratio</t>
  </si>
  <si>
    <t>Corproate capex</t>
  </si>
  <si>
    <t xml:space="preserve">Growth </t>
  </si>
  <si>
    <t>Other liabilities</t>
  </si>
  <si>
    <t>Lease liabilities</t>
  </si>
  <si>
    <t>Tax payments</t>
  </si>
  <si>
    <t>Tower builds</t>
  </si>
  <si>
    <t>2022E</t>
  </si>
  <si>
    <t>2023E</t>
  </si>
  <si>
    <t>2024E</t>
  </si>
  <si>
    <t>2025E</t>
  </si>
  <si>
    <t>2026E</t>
  </si>
  <si>
    <t>2027E</t>
  </si>
  <si>
    <t>2028E</t>
  </si>
  <si>
    <t>2029E</t>
  </si>
  <si>
    <t>2030E</t>
  </si>
  <si>
    <t>Sub-Sahara Africa</t>
  </si>
  <si>
    <t>MENA</t>
  </si>
  <si>
    <t>Nigeria (US$mn)</t>
  </si>
  <si>
    <t>Total population</t>
  </si>
  <si>
    <t>Total market sites</t>
  </si>
  <si>
    <t>Sub-Saharan Africa (US$mn)</t>
  </si>
  <si>
    <t>Cote D'Ivoire</t>
  </si>
  <si>
    <t>Cameroon</t>
  </si>
  <si>
    <t>Market towers</t>
  </si>
  <si>
    <t>IHS Towers</t>
  </si>
  <si>
    <t>Costs</t>
  </si>
  <si>
    <t>Costs/tower/month</t>
  </si>
  <si>
    <t>MENA (US$mn)</t>
  </si>
  <si>
    <t>Kuwait</t>
  </si>
  <si>
    <t>IHS towers</t>
  </si>
  <si>
    <t>As % of revenues</t>
  </si>
  <si>
    <t>Segment Adjusted EBITDA</t>
  </si>
  <si>
    <t>Net gain/loss on disposal of PPE</t>
  </si>
  <si>
    <t>Insurance claims</t>
  </si>
  <si>
    <t>Impairment of WHT receivables</t>
  </si>
  <si>
    <t>Business combination costs</t>
  </si>
  <si>
    <t>Impairment of PP&amp;E</t>
  </si>
  <si>
    <t>Listing costs</t>
  </si>
  <si>
    <t>Share based comp</t>
  </si>
  <si>
    <t>Interest costs associated with leases</t>
  </si>
  <si>
    <t>Depreciation of right of use assets</t>
  </si>
  <si>
    <t>EBITDA al</t>
  </si>
  <si>
    <t>Implied interest rate</t>
  </si>
  <si>
    <t>Growth in lease liabilities</t>
  </si>
  <si>
    <t>Growth in depreciation</t>
  </si>
  <si>
    <t>One-offs</t>
  </si>
  <si>
    <t>Other one-off costs (FX losses etc.)</t>
  </si>
  <si>
    <t>Minority interests</t>
  </si>
  <si>
    <t>Income statement</t>
  </si>
  <si>
    <t>Derivative financial instruments</t>
  </si>
  <si>
    <t>Trade and other receivables</t>
  </si>
  <si>
    <t>Valuation and multiples</t>
  </si>
  <si>
    <t>Year to December</t>
  </si>
  <si>
    <t>Opex</t>
  </si>
  <si>
    <t>D&amp;A</t>
  </si>
  <si>
    <t>Financial expense</t>
  </si>
  <si>
    <t>Taxes</t>
  </si>
  <si>
    <t>Net profit/ (loss)</t>
  </si>
  <si>
    <t>EBITDA AL</t>
  </si>
  <si>
    <t>Capex</t>
  </si>
  <si>
    <t>OpFCF AL</t>
  </si>
  <si>
    <t>FCF AL</t>
  </si>
  <si>
    <t>D&amp;A (ex. RoU)</t>
  </si>
  <si>
    <t>Tax payment</t>
  </si>
  <si>
    <t>Add back: D&amp;A</t>
  </si>
  <si>
    <t>FCF</t>
  </si>
  <si>
    <t>TGR</t>
  </si>
  <si>
    <t>Terminal multiple</t>
  </si>
  <si>
    <t>EV AL</t>
  </si>
  <si>
    <t>Net financial debt</t>
  </si>
  <si>
    <t>Equity value</t>
  </si>
  <si>
    <t>Upside/downside</t>
  </si>
  <si>
    <t>Add: Net financial debt</t>
  </si>
  <si>
    <t>Less: Associates</t>
  </si>
  <si>
    <t>Add: Minorities</t>
  </si>
  <si>
    <t>Less: Cumulative dividends</t>
  </si>
  <si>
    <t>Add: Lease liability</t>
  </si>
  <si>
    <t>EV/ EBITDA (IFRS16)</t>
  </si>
  <si>
    <t>EV/ EBITDA AL (IAS17)</t>
  </si>
  <si>
    <t>EV/ OpFCF AL</t>
  </si>
  <si>
    <t>EV/ FCF AL</t>
  </si>
  <si>
    <t>P/ E</t>
  </si>
  <si>
    <t>RFCF yield %</t>
  </si>
  <si>
    <t>Target share price ($)</t>
  </si>
  <si>
    <t>Current share price ($)</t>
  </si>
  <si>
    <t>Cash flows</t>
  </si>
  <si>
    <t>Working capital</t>
  </si>
  <si>
    <t>EFCF</t>
  </si>
  <si>
    <t>% Change</t>
  </si>
  <si>
    <t>Operating summary, $m</t>
  </si>
  <si>
    <t>Interest on lease fees</t>
  </si>
  <si>
    <t>Repayment of lease liabilities</t>
  </si>
  <si>
    <t>Working capital adjustment</t>
  </si>
  <si>
    <t>Other adjustments</t>
  </si>
  <si>
    <t>AFFO per management</t>
  </si>
  <si>
    <t>Revenue witholding tax</t>
  </si>
  <si>
    <t>As % of EBITDA</t>
  </si>
  <si>
    <t>NSR vs expectation</t>
  </si>
  <si>
    <t>Population</t>
  </si>
  <si>
    <t>Cumulative new towers (Africa)</t>
  </si>
  <si>
    <t>Margins</t>
  </si>
  <si>
    <t>Repairs and Maintenance</t>
  </si>
  <si>
    <t>Power</t>
  </si>
  <si>
    <t>Site rental</t>
  </si>
  <si>
    <t>Other rent</t>
  </si>
  <si>
    <t>Vehicle maintenance</t>
  </si>
  <si>
    <t>Site permits</t>
  </si>
  <si>
    <t>Security</t>
  </si>
  <si>
    <t>Insurance</t>
  </si>
  <si>
    <t>Staff</t>
  </si>
  <si>
    <t>Travel</t>
  </si>
  <si>
    <t>Professional fees</t>
  </si>
  <si>
    <t>IFRS16 lease costs</t>
  </si>
  <si>
    <t>Cost of sales</t>
  </si>
  <si>
    <t>Administrative costs</t>
  </si>
  <si>
    <t>Facilities, rental and upkeep</t>
  </si>
  <si>
    <t>Mment costs</t>
  </si>
  <si>
    <t>PV FCF</t>
  </si>
  <si>
    <t>TV</t>
  </si>
  <si>
    <t>PV TV</t>
  </si>
  <si>
    <t>Share price</t>
  </si>
  <si>
    <t>Low</t>
  </si>
  <si>
    <t>Mid</t>
  </si>
  <si>
    <t>High</t>
  </si>
  <si>
    <t>HIS</t>
  </si>
  <si>
    <t>Tenancy rate</t>
  </si>
  <si>
    <t>% of EBITDA</t>
  </si>
  <si>
    <t>% of 2020 revenues</t>
  </si>
  <si>
    <t>Group</t>
  </si>
  <si>
    <t>ATC</t>
  </si>
  <si>
    <t>PTI</t>
  </si>
  <si>
    <t>Towers built</t>
  </si>
  <si>
    <t>Vantage Towers</t>
  </si>
  <si>
    <t>American Tower</t>
  </si>
  <si>
    <t xml:space="preserve">SBA </t>
  </si>
  <si>
    <t>Indus Tower</t>
  </si>
  <si>
    <t>Sarana Menara</t>
  </si>
  <si>
    <t>IHS (bottom)</t>
  </si>
  <si>
    <t>HIS (top of range</t>
  </si>
  <si>
    <t>Eaton (2019)</t>
  </si>
  <si>
    <t>Underlying growth</t>
  </si>
  <si>
    <t>Multiples, US$mn</t>
  </si>
  <si>
    <t>DCF, US$m</t>
  </si>
  <si>
    <t>NSR valuation</t>
  </si>
  <si>
    <t>Co-location rate</t>
  </si>
  <si>
    <t>Sub-saharan Africa</t>
  </si>
  <si>
    <t>African sites</t>
  </si>
  <si>
    <t>Cost per site</t>
  </si>
  <si>
    <t>Tower build capex</t>
  </si>
  <si>
    <t>Implied maintenance capex</t>
  </si>
  <si>
    <t>As % of sales</t>
  </si>
  <si>
    <t>Annual revenues</t>
  </si>
  <si>
    <t>PTP</t>
  </si>
  <si>
    <t>Post-tax EBIT</t>
  </si>
  <si>
    <t>Invested capital</t>
  </si>
  <si>
    <t>Post-tax ROIC</t>
  </si>
  <si>
    <t>Excess return</t>
  </si>
  <si>
    <t>Tenant 1</t>
  </si>
  <si>
    <t>Tenant 2</t>
  </si>
  <si>
    <t>Tenant 3</t>
  </si>
  <si>
    <t>Incremental margin</t>
  </si>
  <si>
    <t>Note: p93 - lease amendment capex of 6-10k</t>
  </si>
  <si>
    <t>EBITDA margins in FY20</t>
  </si>
  <si>
    <t>Lease fees</t>
  </si>
  <si>
    <t>Estimated on back of allocating group lease fees to NSR</t>
  </si>
  <si>
    <t>New EBITDA</t>
  </si>
  <si>
    <t>New EBITDA margin</t>
  </si>
  <si>
    <t>But co-location rate is higher than 1, so assume 58% margin</t>
  </si>
  <si>
    <t>Estimated lease costs</t>
  </si>
  <si>
    <t>Average towers</t>
  </si>
  <si>
    <t>Maintenance capex/tower</t>
  </si>
  <si>
    <t>Average maintenance capex is $2k to $6k (p.97 of prospectus)</t>
  </si>
  <si>
    <t>US$mn</t>
  </si>
  <si>
    <t>Comment</t>
  </si>
  <si>
    <t>Adjust margins for lease payments</t>
  </si>
  <si>
    <t>As disclosed by operator (higher end of range)</t>
  </si>
  <si>
    <t>CAPM</t>
  </si>
  <si>
    <t xml:space="preserve"> Rf</t>
  </si>
  <si>
    <t>Equity Risk Premium</t>
  </si>
  <si>
    <t xml:space="preserve">Beta </t>
  </si>
  <si>
    <t>Ke</t>
  </si>
  <si>
    <t>Average Borrowing Rate</t>
  </si>
  <si>
    <t>Corporate Tax rate</t>
  </si>
  <si>
    <t>Kd</t>
  </si>
  <si>
    <t>% Equity</t>
  </si>
  <si>
    <t>Terminal Value Multiple</t>
  </si>
  <si>
    <t>Nominal Growth</t>
  </si>
  <si>
    <t>Implied FCF multiple</t>
  </si>
  <si>
    <t>No discounts for additional tenants</t>
  </si>
  <si>
    <t>Strong excess returns as tenancies increase</t>
  </si>
  <si>
    <t>Business model</t>
  </si>
  <si>
    <t>Co-location discounts / rebate</t>
  </si>
  <si>
    <t>Average EBITDA margin</t>
  </si>
  <si>
    <t>Tower + Power</t>
  </si>
  <si>
    <t>New Tower Capex (USD'000/tower)</t>
  </si>
  <si>
    <t>W Eur</t>
  </si>
  <si>
    <t>Telco-led</t>
  </si>
  <si>
    <t>800 - 1,000</t>
  </si>
  <si>
    <t>600-800</t>
  </si>
  <si>
    <t>400-600</t>
  </si>
  <si>
    <t>IHS Africa</t>
  </si>
  <si>
    <t>No discount</t>
  </si>
  <si>
    <t>5% to 20%</t>
  </si>
  <si>
    <t>30% to 45%</t>
  </si>
  <si>
    <t>82% to 86%</t>
  </si>
  <si>
    <t>55% to 70%</t>
  </si>
  <si>
    <t>40% to 50%</t>
  </si>
  <si>
    <t>55% to 60%</t>
  </si>
  <si>
    <t>Yes</t>
  </si>
  <si>
    <t xml:space="preserve">No </t>
  </si>
  <si>
    <t>35-50</t>
  </si>
  <si>
    <t>200-250</t>
  </si>
  <si>
    <t>75-90</t>
  </si>
  <si>
    <t>55% to 65%</t>
  </si>
  <si>
    <t>EU</t>
  </si>
  <si>
    <t>IHS Nigeria</t>
  </si>
  <si>
    <t>1 Tenant</t>
  </si>
  <si>
    <t>2 Tenants</t>
  </si>
  <si>
    <t>3 Tenants</t>
  </si>
  <si>
    <t>Up to 2010</t>
  </si>
  <si>
    <t>2011-2012</t>
  </si>
  <si>
    <t>2013-2014</t>
  </si>
  <si>
    <t>2016-2016</t>
  </si>
  <si>
    <t>2017-2019</t>
  </si>
  <si>
    <t>20-25E CAGR</t>
  </si>
  <si>
    <t>Adjusted EBITDA margin</t>
  </si>
  <si>
    <t>Gross profit</t>
  </si>
  <si>
    <t>Gross profit margin</t>
  </si>
  <si>
    <t>EBITDA Margin</t>
  </si>
  <si>
    <t>US$</t>
  </si>
  <si>
    <t xml:space="preserve">Calc investment income </t>
  </si>
  <si>
    <t>Rooftop</t>
  </si>
  <si>
    <t>Ground but less than 30m</t>
  </si>
  <si>
    <t>30-60m</t>
  </si>
  <si>
    <t>60-75m</t>
  </si>
  <si>
    <t>75m+</t>
  </si>
  <si>
    <t>Indus</t>
  </si>
  <si>
    <t>Price/GB</t>
  </si>
  <si>
    <t>ARPU</t>
  </si>
  <si>
    <t>Lease rate ex Power</t>
  </si>
  <si>
    <t>Price/GB (LHS)</t>
  </si>
  <si>
    <t>Lease rate ex Power (RHS)</t>
  </si>
  <si>
    <t>China Mobile</t>
  </si>
  <si>
    <t>XL Axiata</t>
  </si>
  <si>
    <t>Tower rents as % of sales</t>
  </si>
  <si>
    <t>MTN Nigeria</t>
  </si>
  <si>
    <t>90% of MTN tower revenues with IHS, MTN 75% of IHS Nigeria</t>
  </si>
  <si>
    <t>Indosat</t>
  </si>
  <si>
    <t>CM =50% of China Tower</t>
  </si>
  <si>
    <t>Bharti Airtel</t>
  </si>
  <si>
    <t>ZAR m</t>
  </si>
  <si>
    <t xml:space="preserve">MTN Nigeria </t>
  </si>
  <si>
    <t>% of MTN Nigeria revenue</t>
  </si>
  <si>
    <t>Valuation</t>
  </si>
  <si>
    <t>Number of shares, ords</t>
  </si>
  <si>
    <t>Average number of shares, ords</t>
  </si>
  <si>
    <t>Number of shares, Savs</t>
  </si>
  <si>
    <t>Average number of shares, Savs</t>
  </si>
  <si>
    <t>Consolidated Net debt</t>
  </si>
  <si>
    <t>Other financial liabilities</t>
  </si>
  <si>
    <t>Associates (for EV calc)</t>
  </si>
  <si>
    <t>Minorities (for EV calc)</t>
  </si>
  <si>
    <t>Cumulative dividends</t>
  </si>
  <si>
    <t>Tax credit</t>
  </si>
  <si>
    <t>Group forecasts</t>
  </si>
  <si>
    <t>Consolidated Revenues</t>
  </si>
  <si>
    <t>Consolidated EBITDA</t>
  </si>
  <si>
    <t>Consolidated Depreciation</t>
  </si>
  <si>
    <t>Consolidated Amortisation</t>
  </si>
  <si>
    <t>Consolidated Capex</t>
  </si>
  <si>
    <t>Consolidated OpFCF</t>
  </si>
  <si>
    <t>Consolidated FCF (OpFCF * (1-tax rate))</t>
  </si>
  <si>
    <t>Minority interests (b/s)</t>
  </si>
  <si>
    <t>Book equity</t>
  </si>
  <si>
    <t>Net interest</t>
  </si>
  <si>
    <t>Reported earnings</t>
  </si>
  <si>
    <t>Equity free cash flow</t>
  </si>
  <si>
    <t>Employees</t>
  </si>
  <si>
    <t>Net fixed assets</t>
  </si>
  <si>
    <t>Group Consolidated SACs</t>
  </si>
  <si>
    <t>Group consolidated SRCs</t>
  </si>
  <si>
    <t>Group Prop. SACs</t>
  </si>
  <si>
    <t>Group Prop. SRCs</t>
  </si>
  <si>
    <t>Prop. Revenues</t>
  </si>
  <si>
    <t>Prop. EBITDA</t>
  </si>
  <si>
    <t>Prop. Depreciation</t>
  </si>
  <si>
    <t>Prop. Amortisation</t>
  </si>
  <si>
    <t>Prop. Capex</t>
  </si>
  <si>
    <t>Prop. OpFCF</t>
  </si>
  <si>
    <t>Prop. FCF (OpFCF * (1-tax rate))</t>
  </si>
  <si>
    <t>Prop. Net debt</t>
  </si>
  <si>
    <t>Consolidated service revenue</t>
  </si>
  <si>
    <t>Prop. Service revenue</t>
  </si>
  <si>
    <t>Prop. Subscribers</t>
  </si>
  <si>
    <t>Prop. Pre-pay subs</t>
  </si>
  <si>
    <t>Prop. Contract subs</t>
  </si>
  <si>
    <t>Consolidated subscribers</t>
  </si>
  <si>
    <t>Consolidated Contract subs</t>
  </si>
  <si>
    <t>Consolidated pre-pay subs</t>
  </si>
  <si>
    <t>Prop. Pops</t>
  </si>
  <si>
    <t>Consolidated Pops</t>
  </si>
  <si>
    <t>Domestic Pops</t>
  </si>
  <si>
    <t>Domestic prepay subs</t>
  </si>
  <si>
    <t>Domestic contract subs</t>
  </si>
  <si>
    <t>Domestic mkt share</t>
  </si>
  <si>
    <t>Domestic voice ARPU</t>
  </si>
  <si>
    <t>Domestic data ARPU</t>
  </si>
  <si>
    <t>Domestic MOU</t>
  </si>
  <si>
    <t>Domestic revenue</t>
  </si>
  <si>
    <t>Domestic service revenue</t>
  </si>
  <si>
    <t>Domestic EBITDA</t>
  </si>
  <si>
    <t>Domestic capex</t>
  </si>
  <si>
    <t>Domestic FCF</t>
  </si>
  <si>
    <t>Cumulative Gp consolidated capex</t>
  </si>
  <si>
    <t>Cumulative Gp prop. capex</t>
  </si>
  <si>
    <t>Debt analysis</t>
  </si>
  <si>
    <t>Public debt EOY balance</t>
  </si>
  <si>
    <t>Public debt repayment</t>
  </si>
  <si>
    <t>Interest on public debt</t>
  </si>
  <si>
    <t>Average interest rate on public debt</t>
  </si>
  <si>
    <t>Maturing non-public debt EOY balance</t>
  </si>
  <si>
    <t>Maturing non-public debt repayment</t>
  </si>
  <si>
    <t>Interest rate on maturing non-public debt</t>
  </si>
  <si>
    <t>Bank interest on maturing non-public debt</t>
  </si>
  <si>
    <t>Other debt EOY balance</t>
  </si>
  <si>
    <t>Interest rate on other debt</t>
  </si>
  <si>
    <t>Interest on other debt</t>
  </si>
  <si>
    <t>Gross cash &amp; STI</t>
  </si>
  <si>
    <t>Interest rate on cash</t>
  </si>
  <si>
    <t>Interest income</t>
  </si>
  <si>
    <t>FFO (see note)</t>
  </si>
  <si>
    <t>Cap ex</t>
  </si>
  <si>
    <t>Debt amortisation</t>
  </si>
  <si>
    <t>Gross interest expense</t>
  </si>
  <si>
    <t>Net interest expense</t>
  </si>
  <si>
    <t>Operating leases</t>
  </si>
  <si>
    <t>Ongoing interest on pension deficit</t>
  </si>
  <si>
    <t>Additional pension contributions to civil servants</t>
  </si>
  <si>
    <t>Operating leases x 7</t>
  </si>
  <si>
    <t>Unfunded pension liabilities to civil servants</t>
  </si>
  <si>
    <t>Unfunded pension liabilities</t>
  </si>
  <si>
    <t>Debt in joint ventures</t>
  </si>
  <si>
    <t>Guarantees</t>
  </si>
  <si>
    <t>Adjusted gross debt</t>
  </si>
  <si>
    <t>Adjusted Net debt</t>
  </si>
  <si>
    <t>Maturing debt</t>
  </si>
  <si>
    <t>Cash flow</t>
  </si>
  <si>
    <t>Less: Other</t>
  </si>
  <si>
    <t>Less: Share buyback/ special dividend</t>
  </si>
  <si>
    <t>EFCF adjustments</t>
  </si>
  <si>
    <t>Adj 2</t>
  </si>
  <si>
    <t>Adj 3</t>
  </si>
  <si>
    <t>Adj 4</t>
  </si>
  <si>
    <t>Adj 5</t>
  </si>
  <si>
    <t>Adj 6</t>
  </si>
  <si>
    <t>Divisional</t>
  </si>
  <si>
    <t>Sum of the parts</t>
  </si>
  <si>
    <t>Rf</t>
  </si>
  <si>
    <t>Tax rate</t>
  </si>
  <si>
    <t>Equity premium</t>
  </si>
  <si>
    <t>Debt Premium</t>
  </si>
  <si>
    <t>Cost of Equity</t>
  </si>
  <si>
    <t>Cost of Debt</t>
  </si>
  <si>
    <t>Debt/Equity</t>
  </si>
  <si>
    <t>Terminal growth</t>
  </si>
  <si>
    <t>Maintenance capex</t>
  </si>
  <si>
    <t>KPIs</t>
  </si>
  <si>
    <t>Tenancy ratios</t>
  </si>
  <si>
    <t>3Q21</t>
  </si>
  <si>
    <t>2Q21</t>
  </si>
  <si>
    <t>2Q20</t>
  </si>
  <si>
    <t>3Q20</t>
  </si>
  <si>
    <t>4Q20</t>
  </si>
  <si>
    <t>1Q21</t>
  </si>
  <si>
    <t>1Q20</t>
  </si>
  <si>
    <t>Tenants</t>
  </si>
  <si>
    <t>YoY</t>
  </si>
  <si>
    <t>Organic</t>
  </si>
  <si>
    <t>4Q21</t>
  </si>
  <si>
    <t>Adj. EBITDA</t>
  </si>
  <si>
    <t>Consensus</t>
  </si>
  <si>
    <t>Diff.</t>
  </si>
  <si>
    <t>Reversal of provision for decommissiong costs</t>
  </si>
  <si>
    <t>EBITDAaL</t>
  </si>
  <si>
    <t>New sites</t>
  </si>
  <si>
    <t>Total Adj. EBITDA</t>
  </si>
  <si>
    <t>Discretionary</t>
  </si>
  <si>
    <t>Non-discretionary</t>
  </si>
  <si>
    <t>Capex % sales</t>
  </si>
  <si>
    <t>Consolidated capex</t>
  </si>
  <si>
    <t>EBITDAaL margin</t>
  </si>
  <si>
    <t>Guidance</t>
  </si>
  <si>
    <t>GTS towers</t>
  </si>
  <si>
    <t>GTS</t>
  </si>
  <si>
    <t>Revenues ($)</t>
  </si>
  <si>
    <t>EBITDA ($)</t>
  </si>
  <si>
    <t>LatAm ex GTS towers</t>
  </si>
  <si>
    <t>LatAm ex GTS tenancies</t>
  </si>
  <si>
    <t>GTS tenancies</t>
  </si>
  <si>
    <t>Revenue/tenant/month</t>
  </si>
  <si>
    <t>Latam (US$mn)</t>
  </si>
  <si>
    <t>LatAm ex GTS EBITDA</t>
  </si>
  <si>
    <t>LatAm ex GTS revenues</t>
  </si>
  <si>
    <t>GTS revenues</t>
  </si>
  <si>
    <t>PF 2021</t>
  </si>
  <si>
    <t>GTS EBITDA</t>
  </si>
  <si>
    <t>PF margins</t>
  </si>
  <si>
    <t>% sales</t>
  </si>
  <si>
    <t>Others</t>
  </si>
  <si>
    <t>Other income</t>
  </si>
  <si>
    <t>Right of use assets</t>
  </si>
  <si>
    <t>RoU assets</t>
  </si>
  <si>
    <t>Group capex</t>
  </si>
  <si>
    <t>US$m</t>
  </si>
  <si>
    <t>Summary</t>
  </si>
  <si>
    <t>Drivers</t>
  </si>
  <si>
    <t>Financials</t>
  </si>
  <si>
    <t>EFCF and others</t>
  </si>
  <si>
    <t>Less: Interest payments (net)</t>
  </si>
  <si>
    <t>SHOUT</t>
  </si>
  <si>
    <t>Old</t>
  </si>
  <si>
    <t>Ticker (BBG):</t>
  </si>
  <si>
    <t>Chris Hoare</t>
  </si>
  <si>
    <t>email</t>
  </si>
  <si>
    <t>chris@newstreetresearch.com</t>
  </si>
  <si>
    <t>Phone</t>
  </si>
  <si>
    <t>+44 207375 9130</t>
  </si>
  <si>
    <t>Analyst</t>
  </si>
  <si>
    <t>David Lopes</t>
  </si>
  <si>
    <t>david@newstreetresearch.com</t>
  </si>
  <si>
    <t>+44 207375 9147</t>
  </si>
  <si>
    <t>IHS Holdings</t>
  </si>
  <si>
    <t>IHS US Equity</t>
  </si>
  <si>
    <t>DISCLAIMER</t>
  </si>
  <si>
    <t xml:space="preserve">This document has been communicated to its clients by New Street Research LLP in accordance with its terms and conditions. This document is confidential and should not be communicated to persons other than the clients of New Street Research LLP. </t>
  </si>
  <si>
    <t xml:space="preserve">New Street Research LLP is authorised and regulated in the conduct of its designated investment business in the United Kingdom by the Financial Conduct Authority. </t>
  </si>
  <si>
    <t>The contents of this Spreadsheet are subject to updating, completion, revision, further verification and amendment.</t>
  </si>
  <si>
    <t>The value of shares and other investments and the income derived from them may go down as well as up, and you may not get back the full amount you originally invested.</t>
  </si>
  <si>
    <t>12 month historical recommendation changes are available on request</t>
  </si>
  <si>
    <t>New Street Research LLP is authorised and regulated in the UK by the Financial Conduct Authority and is registered in the United States with the Securities and Exchange Commission as an investment adviser.  It may be distributed in the United States by New Street Research LLC which is a partner of New Street Research LLP.</t>
  </si>
  <si>
    <t>Regulatory Disclosures: This research is directed only at persons classified as Professional Clients under the rules of the Financial Conduct Authority (‘FCA’), and must not be re-distributed to Retail Clients as defined in the rules of the FCA.</t>
  </si>
  <si>
    <t>This research is for our clients only. It is based on current public information which we consider reliable, but we do not represent that it is accurate or complete, and it should not be relied on as such. We seek to update our research as appropriate, but various regulations may prevent us from doing so. Most of our reports are published at irregular intervals as appropriate in the analyst's judgment.</t>
  </si>
  <si>
    <t>This research is not an offer to sell or the solicitation of an offer to buy any security in any jurisdiction where such an offer or solicitation would be illegal. It does not constitute a personal recommendation or take into account the particular investment objectives, financial situations, or needs of individual clients. </t>
  </si>
  <si>
    <t>All our research reports are disseminated and available to all clients simultaneously through electronic publication to our website. </t>
  </si>
  <si>
    <t>No part of this material may be copied, photocopied or duplicated in any form by any means or redistributed without the prior written consent of New Street Research LLP.</t>
  </si>
  <si>
    <t>US $ revenue growth</t>
  </si>
  <si>
    <t>Towers adds</t>
  </si>
  <si>
    <t>Tenants adds</t>
  </si>
  <si>
    <t>4Q19</t>
  </si>
  <si>
    <t>4Q18</t>
  </si>
  <si>
    <t>4Q17</t>
  </si>
  <si>
    <t>4Q16</t>
  </si>
  <si>
    <t>SSA</t>
  </si>
  <si>
    <t>LatAm</t>
  </si>
  <si>
    <t>MENA:</t>
  </si>
  <si>
    <t>LatAm:</t>
  </si>
  <si>
    <t>SSA:</t>
  </si>
  <si>
    <t>Nigeria:</t>
  </si>
  <si>
    <t>Other / Holding</t>
  </si>
  <si>
    <t>Total revenue</t>
  </si>
  <si>
    <t>Service revenue</t>
  </si>
  <si>
    <t>Colocations</t>
  </si>
  <si>
    <t>CAPEX</t>
  </si>
  <si>
    <t>Pricing</t>
  </si>
  <si>
    <t>ARPT (monthly)</t>
  </si>
  <si>
    <t>ARP Tower</t>
  </si>
  <si>
    <t>Net debt/LQA EBITDA</t>
  </si>
  <si>
    <t>Consolidated:</t>
  </si>
  <si>
    <t>ARPT</t>
  </si>
  <si>
    <t>ARPTower</t>
  </si>
  <si>
    <t>1Q17</t>
  </si>
  <si>
    <t>2Q17</t>
  </si>
  <si>
    <t>3Q17</t>
  </si>
  <si>
    <t>1Q18</t>
  </si>
  <si>
    <t>2Q18</t>
  </si>
  <si>
    <t>3Q18</t>
  </si>
  <si>
    <t>1Q19</t>
  </si>
  <si>
    <t>2Q19</t>
  </si>
  <si>
    <t>3Q19</t>
  </si>
  <si>
    <t>1Q16</t>
  </si>
  <si>
    <t>2Q16</t>
  </si>
  <si>
    <t>3Q16</t>
  </si>
  <si>
    <t>IHS SSA</t>
  </si>
  <si>
    <t>IHS LatAm</t>
  </si>
  <si>
    <t>IHS MENA</t>
  </si>
  <si>
    <t>1Q22</t>
  </si>
  <si>
    <t>Lease amendments</t>
  </si>
  <si>
    <t>GTS SP5 ---&gt;</t>
  </si>
  <si>
    <t>Organic towers</t>
  </si>
  <si>
    <t>Organic tenants</t>
  </si>
  <si>
    <t>2Q22</t>
  </si>
  <si>
    <t>Power indexation YoY</t>
  </si>
  <si>
    <t>Fibre YoY</t>
  </si>
  <si>
    <t>Wendel</t>
  </si>
  <si>
    <t>ECP</t>
  </si>
  <si>
    <t>Korea Investment Corp</t>
  </si>
  <si>
    <t>Warrington</t>
  </si>
  <si>
    <t>Exec Officers, directors</t>
  </si>
  <si>
    <t>Pre IPO</t>
  </si>
  <si>
    <t>Basic WA shout</t>
  </si>
  <si>
    <t>mn</t>
  </si>
  <si>
    <t>Post IPO</t>
  </si>
  <si>
    <t>Shareholders</t>
  </si>
  <si>
    <t>SA ---&gt;</t>
  </si>
  <si>
    <t>MTN SA towers</t>
  </si>
  <si>
    <t>Towers adds organic</t>
  </si>
  <si>
    <t>Tenants adds organic</t>
  </si>
  <si>
    <t>7/12</t>
  </si>
  <si>
    <t>SSA ex SA towers</t>
  </si>
  <si>
    <t>SSA ex SA tenancies</t>
  </si>
  <si>
    <t>SA towers</t>
  </si>
  <si>
    <t>SA tenancies</t>
  </si>
  <si>
    <t>Population:</t>
  </si>
  <si>
    <t>Market towers:</t>
  </si>
  <si>
    <t>IHS Towers:</t>
  </si>
  <si>
    <t>Growth:</t>
  </si>
  <si>
    <t>Kuwait population</t>
  </si>
  <si>
    <t>I-Systems ---&gt;</t>
  </si>
  <si>
    <t>GTS ---&gt;</t>
  </si>
  <si>
    <t>IHS Total sites</t>
  </si>
  <si>
    <t>IHS Market share:</t>
  </si>
  <si>
    <t>Tenancies:</t>
  </si>
  <si>
    <t>Net adds:</t>
  </si>
  <si>
    <t>Tenancy ratio:</t>
  </si>
  <si>
    <t>Minorities</t>
  </si>
  <si>
    <t>Buy</t>
  </si>
  <si>
    <t>Rating:</t>
  </si>
  <si>
    <t>Target price:</t>
  </si>
  <si>
    <t>Lead Analyst</t>
  </si>
  <si>
    <t>4 quarter rolling tenant adds</t>
  </si>
  <si>
    <t>Pre Project Green</t>
  </si>
  <si>
    <t>Post</t>
  </si>
  <si>
    <t>Low end</t>
  </si>
  <si>
    <t>High end</t>
  </si>
  <si>
    <t>FY22 capex guidance range</t>
  </si>
  <si>
    <t>%</t>
  </si>
  <si>
    <t>Reduction $10m ex PG</t>
  </si>
  <si>
    <t>RLFCF</t>
  </si>
  <si>
    <t>NSRe</t>
  </si>
  <si>
    <t>Sales</t>
  </si>
  <si>
    <t>Cons</t>
  </si>
  <si>
    <t>NSR</t>
  </si>
  <si>
    <t xml:space="preserve">Capex </t>
  </si>
  <si>
    <t>Annual RLFCF savings</t>
  </si>
  <si>
    <t>Sum</t>
  </si>
  <si>
    <t>l mn</t>
  </si>
  <si>
    <t>Current ND to EBITDA</t>
  </si>
  <si>
    <t>Net debt with PG</t>
  </si>
  <si>
    <t>Net debt (NSRe)</t>
  </si>
  <si>
    <t>PG capex</t>
  </si>
  <si>
    <t>PG additional RLFCF</t>
  </si>
  <si>
    <t>LT target leverage (3-4x)</t>
  </si>
  <si>
    <t>Adj. EBITDA (NSRe)</t>
  </si>
  <si>
    <t>Adj. EBITDA with PG (NSRe)</t>
  </si>
  <si>
    <t>Net debt (3x)</t>
  </si>
  <si>
    <t>Net debt (4x)</t>
  </si>
  <si>
    <t>Headroom (3x)</t>
  </si>
  <si>
    <t>Headroom (4x)</t>
  </si>
  <si>
    <t>Headroom (3.5x)</t>
  </si>
  <si>
    <t>Net debt/Adj. EBITDA</t>
  </si>
  <si>
    <t>Net debt/Adj. EBITDA with PG</t>
  </si>
  <si>
    <t>Potential share BB with 3.5x net leverage</t>
  </si>
  <si>
    <t>Share BB (mn)</t>
  </si>
  <si>
    <t>Year 1</t>
  </si>
  <si>
    <t>Year 2</t>
  </si>
  <si>
    <t>Year 3</t>
  </si>
  <si>
    <t>Year 4</t>
  </si>
  <si>
    <t>Year 5</t>
  </si>
  <si>
    <t>Year 6</t>
  </si>
  <si>
    <t>Year 7</t>
  </si>
  <si>
    <t>Year 8</t>
  </si>
  <si>
    <t>Year 9</t>
  </si>
  <si>
    <t>Year 10</t>
  </si>
  <si>
    <t>Year 11</t>
  </si>
  <si>
    <t>Year 12</t>
  </si>
  <si>
    <t>Cost of diesel (IHSe)</t>
  </si>
  <si>
    <t>Estimated return</t>
  </si>
  <si>
    <t>BASE</t>
  </si>
  <si>
    <t>+15%</t>
  </si>
  <si>
    <t>+30%</t>
  </si>
  <si>
    <t>Non-organic towers</t>
  </si>
  <si>
    <t>Non-organic tenants</t>
  </si>
  <si>
    <t>Organic net adds</t>
  </si>
  <si>
    <t>Organic tenancy ratio</t>
  </si>
  <si>
    <t>Organic non recurring</t>
  </si>
  <si>
    <t>3Q22</t>
  </si>
  <si>
    <t>Tower revenue</t>
  </si>
  <si>
    <t>Fibre revenue</t>
  </si>
  <si>
    <t>SSA ex SA revenues</t>
  </si>
  <si>
    <t>SA revenues</t>
  </si>
  <si>
    <t>SSA ex SA EBITDA</t>
  </si>
  <si>
    <t>SA EBITDA</t>
  </si>
  <si>
    <t>5/12</t>
  </si>
  <si>
    <t>Previous forecasts</t>
  </si>
  <si>
    <t>Project Green capex</t>
  </si>
  <si>
    <t>Old EBITDA</t>
  </si>
  <si>
    <t>PG savings (25% capex)</t>
  </si>
  <si>
    <t>PG savings (75%)</t>
  </si>
  <si>
    <t>Additional EBITDA</t>
  </si>
  <si>
    <t>New vs. old</t>
  </si>
  <si>
    <t>Old forecasts ($ mn)</t>
  </si>
  <si>
    <t>New forecasts ($ mn)</t>
  </si>
  <si>
    <t>FY2023</t>
  </si>
  <si>
    <t>4Q22</t>
  </si>
  <si>
    <t>guide</t>
  </si>
  <si>
    <t>Cash rapatriation</t>
  </si>
  <si>
    <t>1Q23</t>
  </si>
  <si>
    <t>2Q23</t>
  </si>
  <si>
    <t>3Q23</t>
  </si>
  <si>
    <t>4Q23</t>
  </si>
  <si>
    <t>P&amp;L</t>
  </si>
  <si>
    <t>RoU depreciation</t>
  </si>
  <si>
    <t>Gross RoU</t>
  </si>
  <si>
    <t>Organic margins</t>
  </si>
  <si>
    <t>Ex non-recurring items</t>
  </si>
  <si>
    <t>Q1 23</t>
  </si>
  <si>
    <t>annualised</t>
  </si>
  <si>
    <t>$m</t>
  </si>
  <si>
    <t>Impairment of Goodwill</t>
  </si>
  <si>
    <t>Date</t>
  </si>
  <si>
    <t>Close</t>
  </si>
  <si>
    <t>If stays at 770 in Q3 and 600 in Q4</t>
  </si>
  <si>
    <t>10% deval</t>
  </si>
  <si>
    <t>Adj.EBITDA</t>
  </si>
  <si>
    <t>if 01/04/2023</t>
  </si>
  <si>
    <t>Happen mid June</t>
  </si>
  <si>
    <t>in guidance</t>
  </si>
  <si>
    <t>deval</t>
  </si>
  <si>
    <t>impact</t>
  </si>
  <si>
    <t>YTD</t>
  </si>
  <si>
    <t>Reset lag</t>
  </si>
  <si>
    <t>Gp</t>
  </si>
  <si>
    <t>If stays at 770 in the remaining of the year</t>
  </si>
  <si>
    <t>10% deval (+50 NGN)</t>
  </si>
  <si>
    <t>FY</t>
  </si>
  <si>
    <t>500-550</t>
  </si>
  <si>
    <t>From 2024, deval 0% each year</t>
  </si>
  <si>
    <t>FY2023 OLD</t>
  </si>
  <si>
    <t>FY2023 NEW</t>
  </si>
  <si>
    <t>FX linked</t>
  </si>
  <si>
    <t>Consolidation (US$mn)</t>
  </si>
  <si>
    <t>Cash from operations</t>
  </si>
  <si>
    <t>Other cash costs/income</t>
  </si>
  <si>
    <t>GIC</t>
  </si>
  <si>
    <t>Sam Darwish</t>
  </si>
  <si>
    <t>Emerging Capital Partners</t>
  </si>
  <si>
    <t>Capital Wold</t>
  </si>
  <si>
    <t>William Saad</t>
  </si>
  <si>
    <t>Goldman</t>
  </si>
  <si>
    <t>Mohamed Darwish</t>
  </si>
  <si>
    <t>ALFCF</t>
  </si>
  <si>
    <t>Nigeria costs</t>
  </si>
  <si>
    <t>LQA</t>
  </si>
  <si>
    <t>LTM</t>
  </si>
  <si>
    <t>Includes fibre</t>
  </si>
  <si>
    <t>y/y</t>
  </si>
  <si>
    <t>q/q</t>
  </si>
  <si>
    <t>delta</t>
  </si>
  <si>
    <t>New colos</t>
  </si>
  <si>
    <t>BTS</t>
  </si>
  <si>
    <t>Lease amendements</t>
  </si>
  <si>
    <t xml:space="preserve">Average new lease amend </t>
  </si>
  <si>
    <t>Average extra rev</t>
  </si>
  <si>
    <t>Small Markets</t>
  </si>
  <si>
    <t>2024F</t>
  </si>
  <si>
    <t>European bond yield 2.91%</t>
  </si>
  <si>
    <t>Indoneisa 6.78%</t>
  </si>
  <si>
    <t>Sold</t>
  </si>
  <si>
    <t>Bought from MTN in 2022</t>
  </si>
  <si>
    <t>Bought in 2014 from MTN and Airtel</t>
  </si>
  <si>
    <t xml:space="preserve">Nigeria </t>
  </si>
  <si>
    <t>Assume low multiple on Towers that have contracts terminated</t>
  </si>
  <si>
    <t>Total for CDI, Cameroon, SA, Kuwait, Colombia</t>
  </si>
  <si>
    <t>Notes</t>
  </si>
  <si>
    <t>Sub Saharan Africa:</t>
  </si>
  <si>
    <t>Core - not for sale, NSR view</t>
  </si>
  <si>
    <t>Hard currency</t>
  </si>
  <si>
    <t>Local currency</t>
  </si>
  <si>
    <t>Valuation of towers with contracts expriign</t>
  </si>
  <si>
    <t>Cost to ATC to build</t>
  </si>
  <si>
    <t>Reasonable disposal proceeds</t>
  </si>
  <si>
    <t>EBITDA impact of sales</t>
  </si>
  <si>
    <t>Assume sell 50%</t>
  </si>
  <si>
    <t xml:space="preserve">Total </t>
  </si>
  <si>
    <t>EBITDA lost</t>
  </si>
  <si>
    <t>Value</t>
  </si>
  <si>
    <t>Before</t>
  </si>
  <si>
    <t>After</t>
  </si>
  <si>
    <t>% US$ debt</t>
  </si>
  <si>
    <t>EV/EBITDA</t>
  </si>
  <si>
    <t>Net debt/EBITDA</t>
  </si>
  <si>
    <t xml:space="preserve">This report was produced by New Street Research LLP. L.18, 100 Bishopsgate, London, EC2M 1GT, Tel: +44 20 7375 9111. </t>
  </si>
  <si>
    <t>Less: Share buyback</t>
  </si>
  <si>
    <t>EBIT AL</t>
  </si>
  <si>
    <t>IHS tenancies</t>
  </si>
  <si>
    <t>USD/KWD</t>
  </si>
  <si>
    <t>KWD revenue</t>
  </si>
  <si>
    <t>Inflation</t>
  </si>
  <si>
    <t>Colombia - network sharing Millicom and TEF</t>
  </si>
  <si>
    <t>Inorganic increase</t>
  </si>
  <si>
    <t>FX impact</t>
  </si>
  <si>
    <t>Organic revenue</t>
  </si>
  <si>
    <t>FX</t>
  </si>
  <si>
    <t>Inflation:</t>
  </si>
  <si>
    <t>Capex to sales per country</t>
  </si>
  <si>
    <t>USD NGN</t>
  </si>
  <si>
    <t>Pop/site</t>
  </si>
  <si>
    <t>nig</t>
  </si>
  <si>
    <t>fx assum</t>
  </si>
  <si>
    <t>link</t>
  </si>
  <si>
    <t>no link</t>
  </si>
  <si>
    <t>x</t>
  </si>
  <si>
    <t>ngn rev</t>
  </si>
  <si>
    <t>orga</t>
  </si>
  <si>
    <t>fx reset</t>
  </si>
  <si>
    <t>loss MTN</t>
  </si>
  <si>
    <t>USDNGN</t>
  </si>
  <si>
    <t>NGNUSD</t>
  </si>
  <si>
    <t>Revenue impact 10%</t>
  </si>
  <si>
    <t>Guidance mid point</t>
  </si>
  <si>
    <t>EBITDA impact 10%</t>
  </si>
  <si>
    <t>IHS 24</t>
  </si>
  <si>
    <t>NSR 24</t>
  </si>
  <si>
    <t>3x-4x</t>
  </si>
  <si>
    <t>NGN revenue</t>
  </si>
  <si>
    <t>Weight</t>
  </si>
  <si>
    <t>Contribution</t>
  </si>
  <si>
    <t>Guided with NGN at 1610</t>
  </si>
  <si>
    <t>Share repurchased (m)</t>
  </si>
  <si>
    <t>Share buyback</t>
  </si>
  <si>
    <t>Average price paid</t>
  </si>
  <si>
    <t>Net income (owners)</t>
  </si>
  <si>
    <t>Tax at domestic tax rates</t>
  </si>
  <si>
    <t>Blended tax rate</t>
  </si>
  <si>
    <t>Other tax effects</t>
  </si>
  <si>
    <t>How much tax will pay in 2024?</t>
  </si>
  <si>
    <t>Buyback (cumul)</t>
  </si>
  <si>
    <t>% MC</t>
  </si>
  <si>
    <t>Workings</t>
  </si>
  <si>
    <t>Project Green</t>
  </si>
  <si>
    <t>Devaluation</t>
  </si>
  <si>
    <t>Revenue impact</t>
  </si>
  <si>
    <t>EBITDA impact</t>
  </si>
  <si>
    <t>Organic growth</t>
  </si>
  <si>
    <t>Nigeria implied at 1610</t>
  </si>
  <si>
    <t>Orga g</t>
  </si>
  <si>
    <t>Devaluation (old)</t>
  </si>
  <si>
    <t>Back of the enveloppe Rev</t>
  </si>
  <si>
    <t>1Q24</t>
  </si>
  <si>
    <t>2Q24</t>
  </si>
  <si>
    <t>3Q24</t>
  </si>
  <si>
    <t>4Q24</t>
  </si>
  <si>
    <t>NSR Value @ 1.5x</t>
  </si>
  <si>
    <t>Estimate was generating around $55m when bought by IHS</t>
  </si>
  <si>
    <t>2023A</t>
  </si>
  <si>
    <t>Yield</t>
  </si>
  <si>
    <t>multiple</t>
  </si>
  <si>
    <t>Implied</t>
  </si>
  <si>
    <t>value</t>
  </si>
  <si>
    <t>(US$ '000)</t>
  </si>
  <si>
    <t xml:space="preserve">Previous deals: </t>
  </si>
  <si>
    <t>(US$ m)</t>
  </si>
  <si>
    <t>Price</t>
  </si>
  <si>
    <t>Price per tower</t>
  </si>
  <si>
    <t>Bond</t>
  </si>
  <si>
    <t>Local</t>
  </si>
  <si>
    <t>Exit</t>
  </si>
  <si>
    <t>Assumed</t>
  </si>
  <si>
    <t>price/tower</t>
  </si>
  <si>
    <t>i</t>
  </si>
  <si>
    <t>Net adds</t>
  </si>
  <si>
    <t>Net leverage</t>
  </si>
  <si>
    <t>2024 guidance</t>
  </si>
  <si>
    <t>Old 2024 guidance</t>
  </si>
  <si>
    <t>New 2024 guidance</t>
  </si>
  <si>
    <t>New guide</t>
  </si>
  <si>
    <t>vs. NSR</t>
  </si>
  <si>
    <t>New vs.</t>
  </si>
  <si>
    <t>old (Mid)</t>
  </si>
  <si>
    <t>vs. Cons</t>
  </si>
  <si>
    <t>Helios Towers</t>
  </si>
  <si>
    <t>Average lease rate per tenant/month ($)</t>
  </si>
  <si>
    <t>2,000-4,000</t>
  </si>
  <si>
    <t>2,000 - 4,000</t>
  </si>
  <si>
    <t>2,500 - 4,000</t>
  </si>
  <si>
    <t>1,800 - 3,000</t>
  </si>
  <si>
    <t>Pass through (no power risk)</t>
  </si>
  <si>
    <t>Pass through since contract change</t>
  </si>
  <si>
    <t>1,670 - 1,700</t>
  </si>
  <si>
    <t>900 - 920</t>
  </si>
  <si>
    <t>Pass through</t>
  </si>
  <si>
    <t>MTN loss</t>
  </si>
  <si>
    <t>MTN gain</t>
  </si>
  <si>
    <t>AAF gain</t>
  </si>
  <si>
    <t>80-150</t>
  </si>
  <si>
    <t>ND IAS 17</t>
  </si>
  <si>
    <t>OpFCFaL</t>
  </si>
  <si>
    <t>FCFaL</t>
  </si>
  <si>
    <t>Q1 20</t>
  </si>
  <si>
    <t>Q2 20</t>
  </si>
  <si>
    <t>Q3 20</t>
  </si>
  <si>
    <t>Q4 20</t>
  </si>
  <si>
    <t>Q1 21</t>
  </si>
  <si>
    <t>Q2 21</t>
  </si>
  <si>
    <t>Q3 21</t>
  </si>
  <si>
    <t>Q4 21</t>
  </si>
  <si>
    <t>Q1 22</t>
  </si>
  <si>
    <t>Q2 22</t>
  </si>
  <si>
    <t>Q3 22</t>
  </si>
  <si>
    <t>Q4 22</t>
  </si>
  <si>
    <t>Q2 23</t>
  </si>
  <si>
    <t>Q3 23</t>
  </si>
  <si>
    <t>Q4 23</t>
  </si>
  <si>
    <t>Q1 24</t>
  </si>
  <si>
    <t>Q2 24</t>
  </si>
  <si>
    <t>Cash interest</t>
  </si>
  <si>
    <t>Cash tax</t>
  </si>
  <si>
    <t>NWC</t>
  </si>
  <si>
    <t>OCF</t>
  </si>
  <si>
    <t>Net debt (ex leases)</t>
  </si>
  <si>
    <t>Lease (int and depr)</t>
  </si>
  <si>
    <t>Lease interest payments, net</t>
  </si>
  <si>
    <t>Cash Capex (excluding spectrum and licences)</t>
  </si>
  <si>
    <t>Spectrum paid</t>
  </si>
  <si>
    <t>Debt maturity profile</t>
  </si>
  <si>
    <t>&gt;2033</t>
  </si>
  <si>
    <t>Depreciation for right of use assets</t>
  </si>
  <si>
    <t>Interest and finance charges for lease liabilities</t>
  </si>
  <si>
    <t>IHS Towers ($m)</t>
  </si>
  <si>
    <t>Lease liabilites</t>
  </si>
  <si>
    <t>EBITDAaL FY24e</t>
  </si>
  <si>
    <t>EV/EBITDAaL</t>
  </si>
  <si>
    <t>Non-Kuwait segment costs</t>
  </si>
  <si>
    <t>EBITDA FY24e</t>
  </si>
  <si>
    <t>Incremental lease</t>
  </si>
  <si>
    <t>k$</t>
  </si>
  <si>
    <t>Net debt Kuwait</t>
  </si>
  <si>
    <t>E</t>
  </si>
  <si>
    <t>ND</t>
  </si>
  <si>
    <t xml:space="preserve"> </t>
  </si>
  <si>
    <t>Lease principal repayment</t>
  </si>
  <si>
    <t>License payment</t>
  </si>
  <si>
    <t>Net debt IAS17</t>
  </si>
  <si>
    <t>Net debt /EBITDAaL</t>
  </si>
  <si>
    <t>270-300</t>
  </si>
  <si>
    <t>4Q24e</t>
  </si>
  <si>
    <t>FY25</t>
  </si>
  <si>
    <t>$1680m-$1710m</t>
  </si>
  <si>
    <t>$960m-$980m</t>
  </si>
  <si>
    <t>$350m-$370m</t>
  </si>
  <si>
    <t>$260m-$290m</t>
  </si>
  <si>
    <t>Mid point</t>
  </si>
  <si>
    <t>3.5x</t>
  </si>
  <si>
    <t>Consensus ex MENA</t>
  </si>
  <si>
    <t>NSRe ex MENA</t>
  </si>
  <si>
    <t>Change in WC</t>
  </si>
  <si>
    <t>Tax paid</t>
  </si>
  <si>
    <t>Dividends from associates</t>
  </si>
  <si>
    <t>NCI</t>
  </si>
  <si>
    <t>Unlevered FCF</t>
  </si>
  <si>
    <t>Net interests</t>
  </si>
  <si>
    <t>Lease payments on principal</t>
  </si>
  <si>
    <t xml:space="preserve">EFCF before license payments </t>
  </si>
  <si>
    <t>License payments</t>
  </si>
  <si>
    <t>Reported organic growth</t>
  </si>
  <si>
    <t>1Q25</t>
  </si>
  <si>
    <t>2Q25</t>
  </si>
  <si>
    <t>3Q25</t>
  </si>
  <si>
    <t>4Q25</t>
  </si>
  <si>
    <t>260-290</t>
  </si>
  <si>
    <t>© 2025 New Street Research LLP. All rights reserved.</t>
  </si>
  <si>
    <t>© Copyright 2025 New Street Research LLP</t>
  </si>
  <si>
    <t>Includes lease interests</t>
  </si>
  <si>
    <t>Lease ppal</t>
  </si>
  <si>
    <t>Lease expenses not in opex</t>
  </si>
  <si>
    <t>Tax in 2025?</t>
  </si>
  <si>
    <t>When the Egypt license expires</t>
  </si>
  <si>
    <t>Ownership Nigeria, Rest Africa, LatAm?</t>
  </si>
  <si>
    <t>EV/OpFCF</t>
  </si>
  <si>
    <t>EV/FCF</t>
  </si>
  <si>
    <t>New sites built</t>
  </si>
  <si>
    <t>$k per site</t>
  </si>
  <si>
    <t>Corporate capex</t>
  </si>
  <si>
    <t>Income tax paid</t>
  </si>
  <si>
    <t>WO tax</t>
  </si>
  <si>
    <t>Net interest paid</t>
  </si>
  <si>
    <t>Business combination</t>
  </si>
  <si>
    <t>Adj. EBITDAaL</t>
  </si>
  <si>
    <t>Lease and rent payments</t>
  </si>
  <si>
    <t>Lease interest in CF</t>
  </si>
  <si>
    <t>Of which lease interest - P&amp;L</t>
  </si>
  <si>
    <t>Lease payments - CF</t>
  </si>
  <si>
    <t>Diff</t>
  </si>
  <si>
    <t>Net income</t>
  </si>
  <si>
    <t>Q4 24</t>
  </si>
  <si>
    <t>Q3 24</t>
  </si>
  <si>
    <t>Kuwait deal</t>
  </si>
  <si>
    <t>Inc RoU</t>
  </si>
  <si>
    <t>Inc leases</t>
  </si>
  <si>
    <t>ALFCF yield %</t>
  </si>
  <si>
    <t>OpFCF (IFRS16)</t>
  </si>
  <si>
    <t>Q1</t>
  </si>
  <si>
    <t>2031E</t>
  </si>
  <si>
    <t>2032E</t>
  </si>
  <si>
    <t>2033E</t>
  </si>
  <si>
    <t>2034E</t>
  </si>
  <si>
    <t>2035E</t>
  </si>
  <si>
    <t>Rwanda deal</t>
  </si>
  <si>
    <t>EBITDA est.</t>
  </si>
  <si>
    <t>Capex est.</t>
  </si>
  <si>
    <t>Revenue est.</t>
  </si>
  <si>
    <t>EFCF yield</t>
  </si>
  <si>
    <t>Dividend yield</t>
  </si>
  <si>
    <t>Buyback yield</t>
  </si>
  <si>
    <t>SOLD</t>
  </si>
  <si>
    <t>Margins YoY</t>
  </si>
  <si>
    <t>Margins QoQ</t>
  </si>
  <si>
    <t>as % of ALFCF post disc. Capex</t>
  </si>
  <si>
    <t>Total shareholder remuneration yield</t>
  </si>
  <si>
    <t>BB % ALFCF post disc. Capex</t>
  </si>
  <si>
    <t>New guidance</t>
  </si>
  <si>
    <t>$1700m-$1730m</t>
  </si>
  <si>
    <t>$985m-$1005m</t>
  </si>
  <si>
    <t>$390m-$410m</t>
  </si>
  <si>
    <t>$240m-$270m</t>
  </si>
  <si>
    <t>vs. previous guide</t>
  </si>
  <si>
    <t>No change</t>
  </si>
  <si>
    <t>H1</t>
  </si>
  <si>
    <t>ARPT (Tenant)</t>
  </si>
  <si>
    <t>Q2 25</t>
  </si>
  <si>
    <t>1700-1730</t>
  </si>
  <si>
    <t>985-1005</t>
  </si>
  <si>
    <t>240-270</t>
  </si>
  <si>
    <t>390-410</t>
  </si>
  <si>
    <t>Rev</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</si>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</sst>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3">
    <numFmt numFmtId="41" formatCode="_-* #,##0_-;\-* #,##0_-;_-* &quot;-&quot;_-;_-@_-"/>
    <numFmt numFmtId="43" formatCode="_-* #,##0.00_-;\-* #,##0.00_-;_-* &quot;-&quot;??_-;_-@_-"/>
    <numFmt numFmtId="164" formatCode="&quot;$&quot;#,##0;[Red]\-&quot;$&quot;#,##0"/>
    <numFmt numFmtId="165" formatCode="&quot;$&quot;#,##0.00;\-&quot;$&quot;#,##0.00"/>
    <numFmt numFmtId="166" formatCode="&quot;$&quot;#,##0.00;[Red]\-&quot;$&quot;#,##0.00"/>
    <numFmt numFmtId="167" formatCode="_-* #,##0.0_-;\-* #,##0.0_-;_-* &quot;-&quot;??_-;_-@_-"/>
    <numFmt numFmtId="168" formatCode="_-* #,##0_-;\-* #,##0_-;_-* &quot;-&quot;??_-;_-@_-"/>
    <numFmt numFmtId="169" formatCode="0.0%"/>
    <numFmt numFmtId="170" formatCode="#,##0_);\(#,##0\);0_)"/>
    <numFmt numFmtId="171" formatCode="_(* #,##0_);_(* \(#,##0\);_(* &quot;-&quot;_);_(@_)"/>
    <numFmt numFmtId="172" formatCode="#,##0;\(#,##0\)"/>
    <numFmt numFmtId="173" formatCode="_-* #,##0_-;\-* #,##0_-;_-* &quot;-&quot;?_-;_-@_-"/>
    <numFmt numFmtId="174" formatCode="_(* #,##0.00_);_(* \(#,##0.00\);_(* &quot;-&quot;_);_(@_)"/>
    <numFmt numFmtId="175" formatCode="0.0"/>
    <numFmt numFmtId="176" formatCode="#,##0.0"/>
    <numFmt numFmtId="177" formatCode="#,##0;\(#,##0\);\-"/>
    <numFmt numFmtId="178" formatCode="0000"/>
    <numFmt numFmtId="179" formatCode="0.0%;\(0.0%\);\-"/>
    <numFmt numFmtId="180" formatCode="#,##0.0;\(#,##0.0\);\-"/>
    <numFmt numFmtId="181" formatCode="0.0\×;\(0.0\×\);\-"/>
    <numFmt numFmtId="182" formatCode="\€#,##0.0;\(\€#,##0.0\);\-"/>
    <numFmt numFmtId="183" formatCode="&quot;$&quot;#,##0_);[Red]\(&quot;$&quot;#,##0\)"/>
    <numFmt numFmtId="184" formatCode="&quot;$&quot;#,##0.00_);\(&quot;$&quot;#,##0.00\)"/>
    <numFmt numFmtId="185" formatCode="&quot;$&quot;#,##0.00_);[Red]\(&quot;$&quot;#,##0.00\)"/>
    <numFmt numFmtId="186" formatCode="_(&quot;$&quot;* #,##0_);_(&quot;$&quot;* \(#,##0\);_(&quot;$&quot;* &quot;-&quot;_);_(@_)"/>
    <numFmt numFmtId="187" formatCode="_(&quot;$&quot;* #,##0.00_);_(&quot;$&quot;* \(#,##0.00\);_(&quot;$&quot;* &quot;-&quot;??_);_(@_)"/>
    <numFmt numFmtId="188" formatCode="0.00_);\(0.00\);0.00"/>
    <numFmt numFmtId="189" formatCode="0.00_);\(0.00\);0.00_)"/>
    <numFmt numFmtId="190" formatCode="0.00\%;\-0.00\%;0.00\%"/>
    <numFmt numFmtId="191" formatCode="0.00\x;\-0.00\x;0.00\x"/>
    <numFmt numFmtId="192" formatCode="#,##0_);[Red]\-#,##0_);0_);@_)"/>
    <numFmt numFmtId="193" formatCode="#,##0.00_);[Red]\-#,##0.00_);0.00_);@_)"/>
    <numFmt numFmtId="194" formatCode="#,##0%;[Red]\-#,##0%;0%;@_)"/>
    <numFmt numFmtId="195" formatCode="#,##0.00%;[Red]\-#,##0.00%;0.00%;@_)"/>
    <numFmt numFmtId="196" formatCode="* _(#,##0.00_);[Red]* \(#,##0.00\);* _(&quot;-&quot;?_);@_)"/>
    <numFmt numFmtId="197" formatCode="\€\ * _(#,##0_);[Red]\€\ * \(#,##0\);\€\ * _(&quot;-&quot;?_);@_)"/>
    <numFmt numFmtId="198" formatCode="\€\ * _(#,##0.00_);[Red]\€\ * \(#,##0.00\);\€\ * _(&quot;-&quot;?_);@_)"/>
    <numFmt numFmtId="199" formatCode="[$EUR]\ * _(#,##0_);[Red][$EUR]\ * \(#,##0\);[$EUR]\ * _(&quot;-&quot;?_);@_)"/>
    <numFmt numFmtId="200" formatCode="[$EUR]\ * _(#,##0.00_);[Red][$EUR]\ * \(#,##0.00\);[$EUR]\ * _(&quot;-&quot;?_);@_)"/>
    <numFmt numFmtId="201" formatCode="\$\ * _(#,##0_);[Red]\$\ * \(#,##0\);\$\ * _(&quot;-&quot;?_);@_)"/>
    <numFmt numFmtId="202" formatCode="\$\ * _(#,##0.00_);[Red]\$\ * \(#,##0.00\);\$\ * _(&quot;-&quot;?_);@_)"/>
    <numFmt numFmtId="203" formatCode="[$USD]\ * _(#,##0_);[Red][$USD]\ * \(#,##0\);[$USD]\ * _(&quot;-&quot;?_);@_)"/>
    <numFmt numFmtId="204" formatCode="[$USD]\ * _(#,##0.00_);[Red][$USD]\ * \(#,##0.00\);[$USD]\ * _(&quot;-&quot;?_);@_)"/>
    <numFmt numFmtId="205" formatCode="\£\ * _(#,##0_);[Red]\£\ * \(#,##0\);\£\ * _(&quot;-&quot;?_);@_)"/>
    <numFmt numFmtId="206" formatCode="\£\ * _(#,##0.00_);[Red]\£\ * \(#,##0.00\);\£\ * _(&quot;-&quot;?_);@_)"/>
    <numFmt numFmtId="207" formatCode="[$GBP]\ * _(#,##0_);[Red][$GBP]\ * \(#,##0\);[$GBP]\ * _(&quot;-&quot;?_);@_)"/>
    <numFmt numFmtId="208" formatCode="[$GBP]\ * _(#,##0.00_);[Red][$GBP]\ * \(#,##0.00\);[$GBP]\ * _(&quot;-&quot;?_);@_)"/>
    <numFmt numFmtId="209" formatCode="mmm\ yy_)"/>
    <numFmt numFmtId="210" formatCode="yyyy_)"/>
    <numFmt numFmtId="211" formatCode="0.0000"/>
    <numFmt numFmtId="212" formatCode="#,##0.0_);\(#,##0.0\)"/>
    <numFmt numFmtId="213" formatCode="&quot;$&quot;_(#,##0.00_);&quot;$&quot;\(#,##0.00\)"/>
    <numFmt numFmtId="214" formatCode="#,##0.0_)\x;\(#,##0.0\)\x"/>
    <numFmt numFmtId="215" formatCode="#,##0.0_)_x;\(#,##0.0\)_x"/>
    <numFmt numFmtId="216" formatCode="0.0_)\%;\(0.0\)\%"/>
    <numFmt numFmtId="217" formatCode="#,##0.0_)_%;\(#,##0.0\)_%"/>
    <numFmt numFmtId="218" formatCode="0.000%"/>
    <numFmt numFmtId="219" formatCode="#,##0.00\ &quot;Kč&quot;;[Red]\-#,##0.00\ &quot;Kč&quot;"/>
    <numFmt numFmtId="220" formatCode="0_);\(0\)"/>
    <numFmt numFmtId="221" formatCode="0&quot;E&quot;;\(0\)&quot;E&quot;"/>
    <numFmt numFmtId="222" formatCode="#,##0,;\-#,##0,"/>
    <numFmt numFmtId="223" formatCode="#,##0.000_);[Red]\(#,##0.000\)"/>
    <numFmt numFmtId="224" formatCode="_-\€* #,##0.00_-;\-\€* #,##0.00_-;_-\€* &quot;-&quot;??_-;_-@_-"/>
    <numFmt numFmtId="225" formatCode="_-\€* #,##0_-;\-\€* #,##0_-;_-\€* &quot;-&quot;_-;_-@_-"/>
    <numFmt numFmtId="226" formatCode="0.0%_);\(0.0%\)_)"/>
    <numFmt numFmtId="227" formatCode="&quot;$&quot;#,##0.00000000000000000000000000_);[Red]\(&quot;$&quot;#,##0.00000000000000000000000000\)"/>
    <numFmt numFmtId="228" formatCode="#,##0.000;\(#,##0.000\)"/>
    <numFmt numFmtId="229" formatCode="#,##0.00;\(#,##0.00\)"/>
    <numFmt numFmtId="230" formatCode="yyyy"/>
    <numFmt numFmtId="231" formatCode="#,##0.0000_);[Red]\(#,##0.0000\);0.0000_)"/>
    <numFmt numFmtId="232" formatCode="00000"/>
    <numFmt numFmtId="233" formatCode="&quot;$&quot;#,##0.00&quot;A&quot;;[Red]\(&quot;$&quot;#,##0.00\)&quot;A&quot;"/>
    <numFmt numFmtId="234" formatCode="&quot;$&quot;#,##0.00&quot;E&quot;;[Red]\(&quot;$&quot;#,##0.00\)&quot;E&quot;"/>
    <numFmt numFmtId="235" formatCode="_-[$€]* #,##0.00_-;\-[$€]* #,##0.00_-;_-[$€]* &quot;-&quot;??_-;_-@_-"/>
    <numFmt numFmtId="236" formatCode="#\ ##0.0"/>
    <numFmt numFmtId="237" formatCode="#,##0.0_);[Red]\(#,##0.0\)"/>
    <numFmt numFmtId="238" formatCode="0.0%_);[Red]\(0.0%\)"/>
    <numFmt numFmtId="239" formatCode="#,##0.0;\(#,##0.0\)"/>
    <numFmt numFmtId="240" formatCode="0.00%;\(0.00%\)"/>
    <numFmt numFmtId="241" formatCode="###0"/>
    <numFmt numFmtId="242" formatCode="General_)"/>
    <numFmt numFmtId="243" formatCode="0.0%_);\(0.0%\)"/>
    <numFmt numFmtId="244" formatCode="_-* #,##0_ _F_-;\-* #,##0_ _F_-;_-* &quot;-&quot;_ _F_-;_-@_-"/>
    <numFmt numFmtId="245" formatCode="#,##0.00_);[Red]\(#,##0.00\);0.00_)"/>
    <numFmt numFmtId="246" formatCode="_-* #,##0.00_ _F_-;\-* #,##0.00_ _F_-;_-* &quot;-&quot;??_ _F_-;_-@_-"/>
    <numFmt numFmtId="247" formatCode="_-* #,##0&quot; F&quot;_-;\-* #,##0&quot; F&quot;_-;_-* &quot;-&quot;&quot; F&quot;_-;_-@_-"/>
    <numFmt numFmtId="248" formatCode="#,##0.00_)&quot; F&quot;;[Red]\(#,##0.00\)&quot; F&quot;;0.00_)&quot; F&quot;"/>
    <numFmt numFmtId="249" formatCode="_-* #,##0.00&quot; F&quot;_-;\-* #,##0.00&quot; F&quot;_-;_-* &quot;-&quot;??&quot; F&quot;_-;_-@_-"/>
    <numFmt numFmtId="250" formatCode="_ * #,##0.00_ ;_ * \-#,##0.00_ ;_ * &quot;-&quot;??_ ;_ @_ "/>
    <numFmt numFmtId="251" formatCode="_-* #,##0.00\ _K_č_-;\-* #,##0.00\ _K_č_-;_-* &quot;-&quot;??\ _K_č_-;_-@_-"/>
    <numFmt numFmtId="252" formatCode="#,##0_);\(#,##0\);;"/>
    <numFmt numFmtId="253" formatCode="#,##0.0000;\(#,##0.0000\)"/>
    <numFmt numFmtId="254" formatCode="0%;[Red]\-0%"/>
    <numFmt numFmtId="255" formatCode="0.00%_);\(0.00%\)"/>
    <numFmt numFmtId="256" formatCode="#.0"/>
    <numFmt numFmtId="257" formatCode="&quot;kr&quot;\ #,##0_);[Red]\(&quot;kr&quot;\ #,##0\)"/>
    <numFmt numFmtId="258" formatCode="0\.00%;[Red]\-0\.00%"/>
    <numFmt numFmtId="259" formatCode="0.0000%"/>
    <numFmt numFmtId="260" formatCode="#,##0.00_)\ \x;\(#,##0.00\)\ \x"/>
    <numFmt numFmtId="261" formatCode="&quot;kr&quot;\ #,##0.00_);[Red]\(&quot;kr&quot;\ #,##0.00\)"/>
    <numFmt numFmtId="262" formatCode="#,##0.0\ ;\(#,##0.0\)"/>
    <numFmt numFmtId="263" formatCode="#,##0.00\ ;\(#,##0.00\)"/>
    <numFmt numFmtId="264" formatCode="#,##0.0000_);[Red]\(#,##0.0000\)"/>
    <numFmt numFmtId="265" formatCode="&quot;$&quot;#,##0.0_);[Red]\(&quot;$&quot;#,##0.0\)"/>
    <numFmt numFmtId="266" formatCode="0.000"/>
    <numFmt numFmtId="267" formatCode="0.0%;\(0.0%\)"/>
    <numFmt numFmtId="268" formatCode="mmm"/>
    <numFmt numFmtId="269" formatCode="mmm\ dd\,\ yyyy"/>
    <numFmt numFmtId="270" formatCode="#,##0\ ;\(#,##0\);\-\ "/>
    <numFmt numFmtId="271" formatCode="_([$€-2]* #,##0.00_);_([$€-2]* \(#,##0.00\);_([$€-2]* &quot;-&quot;??_)"/>
    <numFmt numFmtId="272" formatCode="0.00%_);[Red]\(0.00%\)"/>
    <numFmt numFmtId="273" formatCode="#,##0.00\ ;\ \(#,##0.00\);\ &quot;- &quot;"/>
    <numFmt numFmtId="274" formatCode="#,##0.00\x_);[Red]\(#,##0.00\x\)"/>
    <numFmt numFmtId="275" formatCode="0%;\-0%"/>
    <numFmt numFmtId="276" formatCode="#,##0.00\p;[Red]\-&quot;£&quot;#,##0.00\p"/>
    <numFmt numFmtId="277" formatCode="#,##0.00\p;[Red]\-#,##0.00\p"/>
    <numFmt numFmtId="278" formatCode="&quot;DK&quot;#,##0_);\(&quot;$&quot;#,##0\)"/>
    <numFmt numFmtId="279" formatCode="&quot;FL&quot;#,##0_);\(&quot;$&quot;#,##0\)"/>
    <numFmt numFmtId="280" formatCode="&quot;FL&quot;#,##0.0_);\(&quot;$&quot;#,##0.0\)"/>
    <numFmt numFmtId="281" formatCode="&quot;FL&quot;#,##0.00_);\(&quot;$&quot;#,##0.00\)"/>
    <numFmt numFmtId="282" formatCode="&quot;EP&quot;#,##0_);\(&quot;$&quot;#,##0\)"/>
    <numFmt numFmtId="283" formatCode="&quot;£&quot;#,##0.0;[Red]\-&quot;£&quot;#,##0.0"/>
    <numFmt numFmtId="284" formatCode="0.000000"/>
    <numFmt numFmtId="285" formatCode="#,##0.0\ \x"/>
    <numFmt numFmtId="286" formatCode="#,##0;&quot;£&quot;#,##0"/>
    <numFmt numFmtId="287" formatCode="&quot;£&quot;\ #,##0_);[Red]\(&quot;£&quot;\ #,##0\)"/>
    <numFmt numFmtId="288" formatCode="&quot;¥&quot;\ #,##0_);[Red]\(&quot;¥&quot;\ #,##0\)"/>
    <numFmt numFmtId="289" formatCode="0_)"/>
    <numFmt numFmtId="290" formatCode="0\A"/>
    <numFmt numFmtId="291" formatCode="0.00000"/>
    <numFmt numFmtId="292" formatCode="0.000_]"/>
    <numFmt numFmtId="293" formatCode="#,##0.0\ _]"/>
    <numFmt numFmtId="294" formatCode="&quot;•&quot;\ \ @"/>
    <numFmt numFmtId="295" formatCode="_-* #,###_-;\(#,###\);_-* &quot;–&quot;_-;_-@_-"/>
    <numFmt numFmtId="296" formatCode="0.00000000000"/>
    <numFmt numFmtId="297" formatCode="0.000000000000"/>
    <numFmt numFmtId="298" formatCode="0.0%;\(0.0\)%"/>
    <numFmt numFmtId="299" formatCode="dd\-mm"/>
    <numFmt numFmtId="300" formatCode="dd/m/yy"/>
    <numFmt numFmtId="301" formatCode="#,##0_%_);\(#,##0\)_%;#,##0_%_);@_%_)"/>
    <numFmt numFmtId="302" formatCode="#,##0.0\x_);\(#,##0.0\x\)"/>
    <numFmt numFmtId="303" formatCode="0.0_)"/>
    <numFmt numFmtId="304" formatCode="\ \ _•&quot;–&quot;\ \ \ \ @"/>
    <numFmt numFmtId="305" formatCode="#,##0.00;\(#,##0.00\);&quot;-&quot;"/>
    <numFmt numFmtId="306" formatCode="#,##0.0000\ ;\(#,##0.0000\)"/>
    <numFmt numFmtId="307" formatCode=";;;"/>
    <numFmt numFmtId="308" formatCode="mmyy"/>
    <numFmt numFmtId="309" formatCode="\$#,##0.0;\-\$#,##0.0"/>
    <numFmt numFmtId="310" formatCode="0.0\x;\-0.0\x;"/>
    <numFmt numFmtId="311" formatCode="[Red]0.###,,&quot; mm&quot;"/>
    <numFmt numFmtId="312" formatCode="##0.00000"/>
    <numFmt numFmtId="313" formatCode="#,##0;\(#,##0\);&quot;–&quot;;@"/>
    <numFmt numFmtId="314" formatCode="#,##0.000\ ;\(#,##0.000\)"/>
    <numFmt numFmtId="315" formatCode="0.000000000"/>
    <numFmt numFmtId="316" formatCode="0."/>
    <numFmt numFmtId="317" formatCode="&quot;£&quot;0&quot;m&quot;"/>
    <numFmt numFmtId="318" formatCode="0.0_)\%;\(0.0\)\%;0.0_)\%;@_)_%"/>
    <numFmt numFmtId="319" formatCode="#,##0.0_)_%;\(#,##0.0\)_%;0.0_)_%;@_)_%"/>
    <numFmt numFmtId="320" formatCode="#,##0.0_);\(#,##0.0\);#,##0.0_);@_)"/>
    <numFmt numFmtId="321" formatCode="&quot;£&quot;_(#,##0.00_);&quot;£&quot;\(#,##0.00\);&quot;£&quot;_(0.00_);@_)"/>
    <numFmt numFmtId="322" formatCode="#,##0.00_);\(#,##0.00\);0.00_);@_)"/>
    <numFmt numFmtId="323" formatCode="\€_(#,##0.00_);\€\(#,##0.00\);\€_(0.00_);@_)"/>
    <numFmt numFmtId="324" formatCode="#,##0_)\x;\(#,##0\)\x;0_)\x;@_)_x"/>
    <numFmt numFmtId="325" formatCode="#,##0_)_x;\(#,##0\)_x;0_)_x;@_)_x"/>
    <numFmt numFmtId="326" formatCode="0.00\e"/>
    <numFmt numFmtId="327" formatCode="_-* #,##0.00\ [$€]_-;\-* #,##0.00\ [$€]_-;_-* &quot;-&quot;??\ [$€]_-;_-@_-"/>
    <numFmt numFmtId="328" formatCode="#,#00"/>
    <numFmt numFmtId="329" formatCode="0.0_ ;[Red]\-0.0\ "/>
    <numFmt numFmtId="330" formatCode="#,##0;[Red]&quot;-&quot;#,##0"/>
    <numFmt numFmtId="331" formatCode="_ * #,##0_ ;_ * \-#,##0_ ;_ * &quot;-&quot;_ ;_ @_ "/>
    <numFmt numFmtId="332" formatCode="_ &quot;S/&quot;* #,##0_ ;_ &quot;S/&quot;* \-#,##0_ ;_ &quot;S/&quot;* &quot;-&quot;_ ;_ @_ "/>
    <numFmt numFmtId="333" formatCode="_ &quot;S/&quot;* #,##0.00_ ;_ &quot;S/&quot;* \-#,##0.00_ ;_ &quot;S/&quot;* &quot;-&quot;??_ ;_ @_ "/>
    <numFmt numFmtId="334" formatCode="d\.mmm\.yy"/>
    <numFmt numFmtId="335" formatCode="_-* #,##0\ _F_-;\-* #,##0\ _F_-;_-* &quot;-&quot;\ _F_-;_-@_-"/>
    <numFmt numFmtId="336" formatCode="d\.mmm"/>
    <numFmt numFmtId="337" formatCode="_-* #,##0.00\ &quot;F&quot;_-;\-* #,##0.00\ &quot;F&quot;_-;_-* &quot;-&quot;??\ &quot;F&quot;_-;_-@_-"/>
    <numFmt numFmtId="338" formatCode="0.00_)"/>
    <numFmt numFmtId="339" formatCode="%#,#00"/>
    <numFmt numFmtId="340" formatCode="#.##000"/>
    <numFmt numFmtId="341" formatCode="_-* #,##0.00\ _D_M_-;\-* #,##0.00\ _D_M_-;_-* &quot;-&quot;??\ _D_M_-;_-@_-"/>
    <numFmt numFmtId="342" formatCode="_(* #,##0_);_(* \(#,##0\);_(* &quot;-&quot;??_);_(@_)"/>
    <numFmt numFmtId="343" formatCode="#,"/>
    <numFmt numFmtId="344" formatCode="_(* #,##0.00_);_(* \(#,##0.00\);_(* &quot;-&quot;??_);_(@_)"/>
    <numFmt numFmtId="345" formatCode="#,##0.0_);[Red]\-#,##0.0_);0.0_);@_)"/>
    <numFmt numFmtId="346" formatCode="0%;\(0%\);\-"/>
    <numFmt numFmtId="347" formatCode="#,##0_ ;\-#,##0\ "/>
    <numFmt numFmtId="348" formatCode="#,##0.0_ ;\-#,##0.0\ "/>
    <numFmt numFmtId="349" formatCode="0.0%_);\(0.0%\);0.0%_);@_)"/>
    <numFmt numFmtId="350" formatCode="#,##0.00_ ;\-#,##0.00\ "/>
    <numFmt numFmtId="351" formatCode="#,##0.000"/>
    <numFmt numFmtId="352" formatCode="0.00000000000000%"/>
    <numFmt numFmtId="353" formatCode="_-* #,##0.000_-;\-* #,##0.000_-;_-* &quot;-&quot;??_-;_-@_-"/>
    <numFmt numFmtId="354" formatCode="0%_);\(0%\);0%_);@_)"/>
  </numFmts>
  <fonts count="330">
    <font>
      <sz val="11"/>
      <color theme="1"/>
      <name val="Calibri"/>
      <family val="2"/>
      <scheme val="minor"/>
    </font>
    <font>
      <sz val="11"/>
      <color theme="1"/>
      <name val="Calibri"/>
      <family val="2"/>
      <scheme val="minor"/>
    </font>
    <font>
      <b/>
      <sz val="11"/>
      <color theme="1"/>
      <name val="Calibri"/>
      <family val="2"/>
      <scheme val="minor"/>
    </font>
    <font>
      <sz val="10"/>
      <color theme="1"/>
      <name val="Trebuchet MS"/>
      <family val="2"/>
    </font>
    <font>
      <b/>
      <sz val="10"/>
      <color theme="1"/>
      <name val="Trebuchet MS"/>
      <family val="2"/>
    </font>
    <font>
      <sz val="10"/>
      <name val="Arial"/>
      <family val="2"/>
    </font>
    <font>
      <sz val="10"/>
      <name val="Trebuchet MS"/>
      <family val="2"/>
    </font>
    <font>
      <sz val="9"/>
      <color indexed="81"/>
      <name val="Tahoma"/>
      <family val="2"/>
    </font>
    <font>
      <b/>
      <sz val="9"/>
      <color indexed="81"/>
      <name val="Tahoma"/>
      <family val="2"/>
    </font>
    <font>
      <b/>
      <sz val="10"/>
      <name val="Trebuchet MS"/>
      <family val="2"/>
    </font>
    <font>
      <u/>
      <sz val="10"/>
      <color theme="10"/>
      <name val="Trebuchet MS"/>
      <family val="2"/>
    </font>
    <font>
      <sz val="11"/>
      <color theme="1"/>
      <name val="Trebuchet MS"/>
      <family val="2"/>
    </font>
    <font>
      <b/>
      <sz val="11"/>
      <color theme="1"/>
      <name val="Trebuchet MS"/>
      <family val="2"/>
    </font>
    <font>
      <sz val="10"/>
      <name val="Calibri"/>
      <family val="2"/>
      <scheme val="minor"/>
    </font>
    <font>
      <sz val="10"/>
      <color theme="1"/>
      <name val="Calibri"/>
      <family val="2"/>
      <scheme val="minor"/>
    </font>
    <font>
      <sz val="8"/>
      <name val="Trebuchet MS"/>
      <family val="2"/>
    </font>
    <font>
      <sz val="10"/>
      <name val="MS Sans Serif"/>
      <family val="2"/>
    </font>
    <font>
      <sz val="8"/>
      <name val="Helvetica"/>
      <family val="2"/>
    </font>
    <font>
      <sz val="10"/>
      <name val="Frutiger 45 Light"/>
      <family val="2"/>
    </font>
    <font>
      <sz val="24"/>
      <name val="MS Sans Serif"/>
      <family val="2"/>
    </font>
    <font>
      <sz val="9"/>
      <color indexed="18"/>
      <name val="Arial"/>
      <family val="2"/>
    </font>
    <font>
      <sz val="10"/>
      <name val="Times New Roman"/>
      <family val="1"/>
    </font>
    <font>
      <sz val="10"/>
      <color indexed="12"/>
      <name val="Times New Roman"/>
      <family val="1"/>
    </font>
    <font>
      <sz val="10"/>
      <color indexed="12"/>
      <name val="Arial"/>
      <family val="2"/>
    </font>
    <font>
      <b/>
      <sz val="10"/>
      <name val="MS Sans Serif"/>
      <family val="2"/>
    </font>
    <font>
      <sz val="10"/>
      <name val="Geneva"/>
    </font>
    <font>
      <sz val="10"/>
      <color indexed="23"/>
      <name val="MS Sans Serif"/>
      <family val="2"/>
    </font>
    <font>
      <b/>
      <sz val="12"/>
      <name val="MS Sans Serif"/>
      <family val="2"/>
    </font>
    <font>
      <sz val="10"/>
      <name val="Arial Narrow"/>
      <family val="2"/>
    </font>
    <font>
      <b/>
      <sz val="10"/>
      <name val="Times New Roman"/>
      <family val="1"/>
    </font>
    <font>
      <b/>
      <sz val="22"/>
      <name val="Arial"/>
      <family val="2"/>
    </font>
    <font>
      <i/>
      <sz val="9"/>
      <color indexed="16"/>
      <name val="Arial"/>
      <family val="2"/>
    </font>
    <font>
      <sz val="8"/>
      <name val="Arial"/>
      <family val="2"/>
    </font>
    <font>
      <sz val="9"/>
      <name val="Arial"/>
      <family val="2"/>
    </font>
    <font>
      <b/>
      <sz val="10"/>
      <name val="Arial"/>
      <family val="2"/>
    </font>
    <font>
      <i/>
      <sz val="9"/>
      <color indexed="55"/>
      <name val="Arial"/>
      <family val="2"/>
    </font>
    <font>
      <b/>
      <sz val="9"/>
      <name val="Arial"/>
      <family val="2"/>
    </font>
    <font>
      <b/>
      <sz val="18"/>
      <name val="Arial"/>
      <family val="2"/>
    </font>
    <font>
      <b/>
      <sz val="14"/>
      <name val="Arial"/>
      <family val="2"/>
    </font>
    <font>
      <b/>
      <sz val="12"/>
      <name val="Arial"/>
      <family val="2"/>
    </font>
    <font>
      <sz val="10"/>
      <color indexed="10"/>
      <name val="Arial"/>
      <family val="2"/>
    </font>
    <font>
      <sz val="8"/>
      <color indexed="10"/>
      <name val="Arial"/>
      <family val="2"/>
    </font>
    <font>
      <sz val="8"/>
      <color indexed="9"/>
      <name val="Arial"/>
      <family val="2"/>
    </font>
    <font>
      <sz val="10"/>
      <color indexed="8"/>
      <name val="MS Sans Serif"/>
      <family val="2"/>
    </font>
    <font>
      <sz val="12"/>
      <name val="·s²Ó©úÅé"/>
      <charset val="136"/>
    </font>
    <font>
      <sz val="10"/>
      <name val="Helv"/>
    </font>
    <font>
      <sz val="8"/>
      <color indexed="8"/>
      <name val="MS Sans Serif"/>
      <family val="2"/>
    </font>
    <font>
      <b/>
      <sz val="12"/>
      <name val="Helv"/>
    </font>
    <font>
      <sz val="8"/>
      <name val="Times New Roman"/>
      <family val="1"/>
    </font>
    <font>
      <sz val="12"/>
      <name val="Arial"/>
      <family val="2"/>
    </font>
    <font>
      <sz val="10"/>
      <color indexed="10"/>
      <name val="Times New Roman"/>
      <family val="1"/>
    </font>
    <font>
      <b/>
      <sz val="11"/>
      <color indexed="10"/>
      <name val="Times New Roman"/>
      <family val="1"/>
    </font>
    <font>
      <b/>
      <i/>
      <sz val="11"/>
      <color indexed="9"/>
      <name val="Times New Roman"/>
      <family val="1"/>
    </font>
    <font>
      <b/>
      <sz val="9"/>
      <color indexed="9"/>
      <name val="Arial"/>
      <family val="2"/>
    </font>
    <font>
      <sz val="8"/>
      <color indexed="12"/>
      <name val="Times"/>
      <family val="1"/>
    </font>
    <font>
      <u val="singleAccounting"/>
      <sz val="10"/>
      <name val="Arial"/>
      <family val="2"/>
    </font>
    <font>
      <sz val="12"/>
      <color indexed="10"/>
      <name val="Times New Roman"/>
      <family val="1"/>
    </font>
    <font>
      <b/>
      <sz val="10"/>
      <name val="Helv"/>
    </font>
    <font>
      <sz val="10"/>
      <color indexed="18"/>
      <name val="Times New Roman"/>
      <family val="1"/>
    </font>
    <font>
      <sz val="10"/>
      <color indexed="22"/>
      <name val="Arial"/>
      <family val="2"/>
    </font>
    <font>
      <sz val="12"/>
      <name val="Times New Roman"/>
      <family val="1"/>
    </font>
    <font>
      <b/>
      <sz val="8"/>
      <name val="Arial"/>
      <family val="2"/>
    </font>
    <font>
      <b/>
      <sz val="8"/>
      <name val="Times New Roman"/>
      <family val="1"/>
    </font>
    <font>
      <sz val="12"/>
      <color indexed="14"/>
      <name val="Times New Roman"/>
      <family val="1"/>
    </font>
    <font>
      <u val="doubleAccounting"/>
      <sz val="10"/>
      <name val="Arial"/>
      <family val="2"/>
    </font>
    <font>
      <b/>
      <i/>
      <sz val="8"/>
      <color indexed="12"/>
      <name val="HelveticaNeue Condensed"/>
    </font>
    <font>
      <b/>
      <u/>
      <sz val="12"/>
      <name val="Arial Narrow"/>
      <family val="2"/>
    </font>
    <font>
      <sz val="10"/>
      <color indexed="2"/>
      <name val="Tahoma"/>
      <family val="2"/>
    </font>
    <font>
      <b/>
      <sz val="7"/>
      <color indexed="12"/>
      <name val="Arial"/>
      <family val="2"/>
    </font>
    <font>
      <b/>
      <sz val="10"/>
      <color indexed="0"/>
      <name val="Tahoma"/>
      <family val="2"/>
    </font>
    <font>
      <u/>
      <sz val="10"/>
      <color indexed="36"/>
      <name val="Arial"/>
      <family val="2"/>
    </font>
    <font>
      <i/>
      <sz val="8"/>
      <color indexed="17"/>
      <name val="Times New Roman"/>
      <family val="1"/>
    </font>
    <font>
      <sz val="8"/>
      <color indexed="21"/>
      <name val="Arial"/>
      <family val="2"/>
    </font>
    <font>
      <sz val="8"/>
      <color indexed="12"/>
      <name val="Times New Roman"/>
      <family val="1"/>
    </font>
    <font>
      <b/>
      <sz val="12"/>
      <color indexed="10"/>
      <name val="Arial"/>
      <family val="2"/>
    </font>
    <font>
      <b/>
      <sz val="10"/>
      <color indexed="18"/>
      <name val="Times New Roman"/>
      <family val="1"/>
    </font>
    <font>
      <sz val="10"/>
      <name val="Tahoma"/>
      <family val="2"/>
    </font>
    <font>
      <sz val="8"/>
      <color indexed="8"/>
      <name val="Helvetica"/>
      <family val="2"/>
    </font>
    <font>
      <u/>
      <sz val="6"/>
      <color indexed="12"/>
      <name val="Arial"/>
      <family val="2"/>
    </font>
    <font>
      <sz val="12"/>
      <name val="Helv"/>
    </font>
    <font>
      <sz val="8"/>
      <color indexed="39"/>
      <name val="Arial"/>
      <family val="2"/>
    </font>
    <font>
      <sz val="8"/>
      <color indexed="10"/>
      <name val="Helv"/>
    </font>
    <font>
      <sz val="10"/>
      <color indexed="16"/>
      <name val="MS Sans Serif"/>
      <family val="2"/>
    </font>
    <font>
      <b/>
      <sz val="12"/>
      <color indexed="17"/>
      <name val="Wingdings"/>
      <charset val="2"/>
    </font>
    <font>
      <b/>
      <sz val="18"/>
      <name val="Times New Roman"/>
      <family val="1"/>
    </font>
    <font>
      <b/>
      <sz val="8"/>
      <color indexed="14"/>
      <name val="MS Sans Serif"/>
      <family val="2"/>
    </font>
    <font>
      <sz val="8"/>
      <color indexed="18"/>
      <name val="Times New Roman"/>
      <family val="1"/>
    </font>
    <font>
      <b/>
      <i/>
      <sz val="10"/>
      <color indexed="4"/>
      <name val="Tahoma"/>
      <family val="2"/>
    </font>
    <font>
      <sz val="10"/>
      <color indexed="4"/>
      <name val="Tahoma"/>
      <family val="2"/>
    </font>
    <font>
      <sz val="7"/>
      <name val="Small Fonts"/>
      <family val="2"/>
    </font>
    <font>
      <b/>
      <u/>
      <sz val="12"/>
      <name val="L Serifa Light"/>
    </font>
    <font>
      <sz val="7"/>
      <color indexed="12"/>
      <name val="Arial"/>
      <family val="2"/>
    </font>
    <font>
      <i/>
      <sz val="10"/>
      <name val="Helv"/>
    </font>
    <font>
      <i/>
      <sz val="12"/>
      <color indexed="10"/>
      <name val="Times New Roman"/>
      <family val="1"/>
    </font>
    <font>
      <sz val="8"/>
      <color indexed="8"/>
      <name val="Arial"/>
      <family val="2"/>
    </font>
    <font>
      <i/>
      <sz val="10"/>
      <name val="Helvetica"/>
      <family val="2"/>
    </font>
    <font>
      <b/>
      <sz val="8"/>
      <color indexed="18"/>
      <name val="Times New Roman"/>
      <family val="1"/>
    </font>
    <font>
      <sz val="8"/>
      <name val="Univers"/>
      <family val="2"/>
    </font>
    <font>
      <sz val="10"/>
      <name val="GillSans Light"/>
    </font>
    <font>
      <sz val="8"/>
      <name val="COUR"/>
    </font>
    <font>
      <sz val="10"/>
      <name val="COUR"/>
    </font>
    <font>
      <sz val="12"/>
      <color indexed="12"/>
      <name val="Times New Roman"/>
      <family val="1"/>
    </font>
    <font>
      <b/>
      <sz val="14"/>
      <name val="Times New Roman"/>
      <family val="1"/>
    </font>
    <font>
      <b/>
      <sz val="10"/>
      <name val="GillSans"/>
    </font>
    <font>
      <b/>
      <sz val="16"/>
      <name val="Times New Roman"/>
      <family val="1"/>
    </font>
    <font>
      <b/>
      <sz val="10"/>
      <color indexed="16"/>
      <name val="Times New Roman"/>
      <family val="1"/>
    </font>
    <font>
      <sz val="8"/>
      <name val="MS Sans Serif"/>
      <family val="2"/>
    </font>
    <font>
      <i/>
      <sz val="9"/>
      <name val="Times New Roman"/>
      <family val="1"/>
    </font>
    <font>
      <b/>
      <i/>
      <sz val="10"/>
      <name val="Arial"/>
      <family val="2"/>
    </font>
    <font>
      <sz val="14"/>
      <name val="뼻뮝"/>
      <family val="3"/>
      <charset val="129"/>
    </font>
    <font>
      <sz val="12"/>
      <name val="뼻뮝"/>
      <family val="1"/>
      <charset val="129"/>
    </font>
    <font>
      <sz val="11"/>
      <name val="돋움"/>
      <family val="3"/>
      <charset val="129"/>
    </font>
    <font>
      <sz val="11"/>
      <name val="돋움체"/>
      <family val="3"/>
      <charset val="129"/>
    </font>
    <font>
      <sz val="11"/>
      <color indexed="8"/>
      <name val="Calibri"/>
      <family val="2"/>
    </font>
    <font>
      <i/>
      <sz val="8"/>
      <name val="Arial"/>
      <family val="2"/>
    </font>
    <font>
      <b/>
      <i/>
      <sz val="8"/>
      <color indexed="12"/>
      <name val="HelveticaNeue Condensed"/>
      <family val="2"/>
    </font>
    <font>
      <i/>
      <sz val="10"/>
      <name val="Arial"/>
      <family val="2"/>
    </font>
    <font>
      <b/>
      <sz val="7"/>
      <name val="Helvetica-Narrow"/>
      <family val="2"/>
    </font>
    <font>
      <b/>
      <sz val="7"/>
      <name val="GillSans"/>
      <family val="2"/>
    </font>
    <font>
      <sz val="9"/>
      <name val="GillSans Light"/>
      <family val="2"/>
    </font>
    <font>
      <sz val="8"/>
      <color indexed="17"/>
      <name val="Times New Roman"/>
      <family val="1"/>
    </font>
    <font>
      <b/>
      <sz val="10"/>
      <color indexed="9"/>
      <name val="GillSans"/>
      <family val="2"/>
    </font>
    <font>
      <b/>
      <sz val="10"/>
      <color indexed="8"/>
      <name val="GillSans"/>
      <family val="2"/>
    </font>
    <font>
      <sz val="10"/>
      <name val="GillSans Light"/>
      <family val="2"/>
    </font>
    <font>
      <b/>
      <sz val="10"/>
      <name val="GillSans"/>
      <family val="2"/>
    </font>
    <font>
      <b/>
      <sz val="16"/>
      <color indexed="62"/>
      <name val="Arial"/>
      <family val="2"/>
    </font>
    <font>
      <b/>
      <sz val="10"/>
      <name val="Helvetica 65"/>
      <family val="2"/>
    </font>
    <font>
      <b/>
      <sz val="10"/>
      <color indexed="16"/>
      <name val="GillSans"/>
      <family val="2"/>
    </font>
    <font>
      <sz val="11"/>
      <color indexed="10"/>
      <name val="Calibri"/>
      <family val="2"/>
    </font>
    <font>
      <b/>
      <sz val="11"/>
      <color indexed="8"/>
      <name val="Calibri"/>
      <family val="2"/>
    </font>
    <font>
      <b/>
      <sz val="9.5"/>
      <color indexed="10"/>
      <name val="MS Sans Serif"/>
      <family val="2"/>
    </font>
    <font>
      <sz val="10"/>
      <color indexed="8"/>
      <name val="Times New Roman"/>
      <family val="1"/>
    </font>
    <font>
      <sz val="10"/>
      <name val="Courier"/>
      <family val="3"/>
    </font>
    <font>
      <sz val="12"/>
      <name val="‚l‚r ‚oƒSƒVƒbƒN"/>
      <family val="2"/>
      <charset val="128"/>
    </font>
    <font>
      <sz val="10"/>
      <name val="Univers 55"/>
      <family val="2"/>
    </font>
    <font>
      <sz val="12"/>
      <name val="Arial MT"/>
      <family val="2"/>
    </font>
    <font>
      <b/>
      <sz val="8"/>
      <name val="Tms Rmn"/>
      <family val="1"/>
    </font>
    <font>
      <sz val="9"/>
      <color indexed="8"/>
      <name val="Times New Roman"/>
      <family val="1"/>
    </font>
    <font>
      <b/>
      <sz val="10"/>
      <color indexed="8"/>
      <name val="Times New Roman"/>
      <family val="1"/>
    </font>
    <font>
      <sz val="7"/>
      <color indexed="14"/>
      <name val="Small Fonts"/>
      <family val="2"/>
    </font>
    <font>
      <b/>
      <sz val="6"/>
      <name val="Arial"/>
      <family val="2"/>
    </font>
    <font>
      <sz val="8"/>
      <color indexed="12"/>
      <name val="Helv"/>
      <family val="2"/>
    </font>
    <font>
      <sz val="10"/>
      <name val="Geneva"/>
      <family val="2"/>
    </font>
    <font>
      <sz val="9"/>
      <color indexed="18"/>
      <name val="Helvetica"/>
      <family val="2"/>
    </font>
    <font>
      <b/>
      <sz val="12"/>
      <name val="Times New Roman"/>
      <family val="1"/>
    </font>
    <font>
      <b/>
      <sz val="8"/>
      <name val="GillSans"/>
      <family val="2"/>
    </font>
    <font>
      <sz val="12"/>
      <name val="Helvetica"/>
      <family val="2"/>
    </font>
    <font>
      <sz val="8"/>
      <name val="Palatino"/>
      <family val="1"/>
    </font>
    <font>
      <sz val="24"/>
      <name val="Arial"/>
      <family val="2"/>
    </font>
    <font>
      <b/>
      <sz val="24"/>
      <name val="Times New Roman"/>
      <family val="1"/>
    </font>
    <font>
      <sz val="8"/>
      <color indexed="12"/>
      <name val="Tms Rmn"/>
      <family val="1"/>
    </font>
    <font>
      <sz val="10"/>
      <name val="Tms Rmn"/>
      <family val="1"/>
    </font>
    <font>
      <sz val="9"/>
      <color indexed="12"/>
      <name val="Times New Roman"/>
      <family val="1"/>
    </font>
    <font>
      <sz val="10"/>
      <color indexed="12"/>
      <name val="Helvetica"/>
      <family val="2"/>
    </font>
    <font>
      <sz val="10"/>
      <name val="Helv"/>
      <family val="2"/>
    </font>
    <font>
      <b/>
      <sz val="10"/>
      <color indexed="17"/>
      <name val="Helvetica"/>
      <family val="2"/>
    </font>
    <font>
      <b/>
      <sz val="16"/>
      <color indexed="10"/>
      <name val="FrankfurtGothicHeavy"/>
      <family val="2"/>
    </font>
    <font>
      <sz val="8"/>
      <color indexed="8"/>
      <name val="Helv"/>
      <family val="2"/>
    </font>
    <font>
      <sz val="10"/>
      <color indexed="20"/>
      <name val="Times New Roman"/>
      <family val="1"/>
    </font>
    <font>
      <sz val="9"/>
      <name val="Times New Roman"/>
      <family val="1"/>
    </font>
    <font>
      <sz val="10"/>
      <name val="Palatino"/>
      <family val="1"/>
    </font>
    <font>
      <sz val="8"/>
      <color indexed="17"/>
      <name val="Tms Rmn"/>
      <family val="1"/>
    </font>
    <font>
      <b/>
      <sz val="13.5"/>
      <name val="MS Sans Serif"/>
      <family val="2"/>
    </font>
    <font>
      <sz val="10"/>
      <color indexed="16"/>
      <name val="Helvetica-Black"/>
      <family val="2"/>
    </font>
    <font>
      <sz val="8"/>
      <color indexed="14"/>
      <name val="Tms Rmn"/>
      <family val="1"/>
    </font>
    <font>
      <sz val="8"/>
      <name val="Helv"/>
      <family val="2"/>
    </font>
    <font>
      <sz val="10"/>
      <color indexed="10"/>
      <name val="MS Sans Serif"/>
      <family val="2"/>
    </font>
    <font>
      <sz val="10"/>
      <color indexed="55"/>
      <name val="Times New Roman"/>
      <family val="1"/>
    </font>
    <font>
      <sz val="8"/>
      <color indexed="12"/>
      <name val="Helvetica"/>
      <family val="2"/>
    </font>
    <font>
      <i/>
      <sz val="10"/>
      <name val="Times New Roman"/>
      <family val="1"/>
    </font>
    <font>
      <b/>
      <sz val="8"/>
      <name val="HelveticaNeue Condensed"/>
      <family val="2"/>
    </font>
    <font>
      <sz val="8"/>
      <name val="HelveticaNeue LightCond"/>
      <family val="2"/>
    </font>
    <font>
      <sz val="7"/>
      <name val="HelveticaNeue LightCond"/>
      <family val="2"/>
    </font>
    <font>
      <b/>
      <sz val="9"/>
      <name val="Times New Roman"/>
      <family val="1"/>
    </font>
    <font>
      <i/>
      <sz val="12"/>
      <color indexed="12"/>
      <name val="Times New Roman"/>
      <family val="1"/>
    </font>
    <font>
      <b/>
      <sz val="10"/>
      <color indexed="18"/>
      <name val="Symbol"/>
      <family val="1"/>
      <charset val="2"/>
    </font>
    <font>
      <b/>
      <sz val="11"/>
      <name val="Times New Roman"/>
      <family val="1"/>
    </font>
    <font>
      <sz val="9"/>
      <color indexed="21"/>
      <name val="Helvetica-Black"/>
      <family val="2"/>
    </font>
    <font>
      <sz val="9"/>
      <name val="Helvetica-Black"/>
      <family val="2"/>
    </font>
    <font>
      <sz val="7"/>
      <name val="Palatino"/>
      <family val="1"/>
    </font>
    <font>
      <sz val="8"/>
      <name val="Helvetica-Narrow"/>
      <family val="2"/>
    </font>
    <font>
      <u/>
      <sz val="10"/>
      <name val="Helv"/>
      <family val="2"/>
    </font>
    <font>
      <sz val="8"/>
      <color indexed="10"/>
      <name val="Arial Narrow"/>
      <family val="2"/>
    </font>
    <font>
      <sz val="8"/>
      <color indexed="16"/>
      <name val="Helv"/>
      <family val="2"/>
    </font>
    <font>
      <b/>
      <sz val="8"/>
      <color indexed="8"/>
      <name val="Wingdings"/>
      <charset val="2"/>
    </font>
    <font>
      <b/>
      <sz val="8"/>
      <color indexed="10"/>
      <name val="Wingdings"/>
      <charset val="2"/>
    </font>
    <font>
      <b/>
      <sz val="8"/>
      <color indexed="9"/>
      <name val="Wingdings"/>
      <charset val="2"/>
    </font>
    <font>
      <b/>
      <i/>
      <sz val="12"/>
      <name val="Times New Roman"/>
      <family val="1"/>
    </font>
    <font>
      <b/>
      <u/>
      <sz val="10"/>
      <name val="Tms Rmn"/>
      <family val="1"/>
    </font>
    <font>
      <sz val="8"/>
      <name val="HelveticaNeue Condensed"/>
      <family val="2"/>
    </font>
    <font>
      <u/>
      <sz val="11"/>
      <color theme="10"/>
      <name val="Calibri"/>
      <family val="2"/>
    </font>
    <font>
      <sz val="10"/>
      <color theme="1"/>
      <name val="Calibri"/>
      <family val="2"/>
    </font>
    <font>
      <b/>
      <sz val="15"/>
      <color theme="3"/>
      <name val="Calibri"/>
      <family val="2"/>
    </font>
    <font>
      <b/>
      <sz val="13"/>
      <color theme="3"/>
      <name val="Calibri"/>
      <family val="2"/>
    </font>
    <font>
      <b/>
      <sz val="11"/>
      <color theme="3"/>
      <name val="Calibri"/>
      <family val="2"/>
    </font>
    <font>
      <sz val="11"/>
      <color indexed="9"/>
      <name val="Calibri"/>
      <family val="2"/>
    </font>
    <font>
      <sz val="11"/>
      <color rgb="FF9C0006"/>
      <name val="Calibri"/>
      <family val="2"/>
    </font>
    <font>
      <b/>
      <sz val="11"/>
      <color rgb="FFFA7D00"/>
      <name val="Calibri"/>
      <family val="2"/>
    </font>
    <font>
      <b/>
      <sz val="11"/>
      <color indexed="9"/>
      <name val="Calibri"/>
      <family val="2"/>
    </font>
    <font>
      <sz val="9"/>
      <color indexed="8"/>
      <name val="Times New Roman"/>
      <family val="2"/>
    </font>
    <font>
      <i/>
      <sz val="11"/>
      <color rgb="FF7F7F7F"/>
      <name val="Calibri"/>
      <family val="2"/>
    </font>
    <font>
      <sz val="11"/>
      <color rgb="FF006100"/>
      <name val="Calibri"/>
      <family val="2"/>
    </font>
    <font>
      <sz val="11"/>
      <color rgb="FF3F3F76"/>
      <name val="Calibri"/>
      <family val="2"/>
    </font>
    <font>
      <sz val="11"/>
      <color rgb="FFFA7D00"/>
      <name val="Calibri"/>
      <family val="2"/>
    </font>
    <font>
      <sz val="10"/>
      <color rgb="FF9C6500"/>
      <name val="Times New Roman"/>
      <family val="2"/>
    </font>
    <font>
      <sz val="11"/>
      <color rgb="FF9C6500"/>
      <name val="Calibri"/>
      <family val="2"/>
    </font>
    <font>
      <b/>
      <sz val="11"/>
      <color rgb="FF3F3F3F"/>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8"/>
      <color theme="3"/>
      <name val="Cambria"/>
      <family val="2"/>
    </font>
    <font>
      <sz val="11"/>
      <color indexed="20"/>
      <name val="Calibri"/>
      <family val="2"/>
    </font>
    <font>
      <b/>
      <sz val="11"/>
      <color indexed="52"/>
      <name val="Calibri"/>
      <family val="2"/>
    </font>
    <font>
      <i/>
      <sz val="11"/>
      <color indexed="23"/>
      <name val="Calibri"/>
      <family val="2"/>
    </font>
    <font>
      <sz val="11"/>
      <color indexed="17"/>
      <name val="Calibri"/>
      <family val="2"/>
    </font>
    <font>
      <sz val="14"/>
      <color indexed="16"/>
      <name val="Times New Roman"/>
      <family val="1"/>
    </font>
    <font>
      <sz val="12"/>
      <color indexed="16"/>
      <name val="Times New Roman"/>
      <family val="1"/>
    </font>
    <font>
      <sz val="10"/>
      <name val="Book Antiqua"/>
      <family val="1"/>
    </font>
    <font>
      <sz val="11"/>
      <color indexed="52"/>
      <name val="Calibri"/>
      <family val="2"/>
    </font>
    <font>
      <sz val="11"/>
      <color indexed="60"/>
      <name val="Calibri"/>
      <family val="2"/>
    </font>
    <font>
      <b/>
      <sz val="11"/>
      <color indexed="63"/>
      <name val="Calibri"/>
      <family val="2"/>
    </font>
    <font>
      <u/>
      <sz val="10"/>
      <color indexed="12"/>
      <name val="Arial"/>
      <family val="2"/>
    </font>
    <font>
      <b/>
      <sz val="10"/>
      <color indexed="9"/>
      <name val="Arial"/>
      <family val="2"/>
    </font>
    <font>
      <sz val="8"/>
      <color indexed="49"/>
      <name val="Times New Roman"/>
      <family val="1"/>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1"/>
      <name val="Times New Roman"/>
      <family val="1"/>
    </font>
    <font>
      <sz val="8"/>
      <name val="Times"/>
      <family val="1"/>
    </font>
    <font>
      <sz val="11"/>
      <color indexed="14"/>
      <name val="Calibri"/>
      <family val="2"/>
    </font>
    <font>
      <sz val="6"/>
      <color indexed="12"/>
      <name val="Times New Roman"/>
      <family val="1"/>
    </font>
    <font>
      <sz val="10"/>
      <name val="BERNHARD"/>
    </font>
    <font>
      <sz val="1"/>
      <color indexed="8"/>
      <name val="Courier"/>
      <family val="3"/>
    </font>
    <font>
      <b/>
      <sz val="1"/>
      <color indexed="8"/>
      <name val="Courier"/>
      <family val="3"/>
    </font>
    <font>
      <sz val="8"/>
      <name val="Tahoma"/>
      <family val="2"/>
    </font>
    <font>
      <b/>
      <sz val="7"/>
      <color indexed="48"/>
      <name val="Tahoma"/>
      <family val="2"/>
    </font>
    <font>
      <sz val="6"/>
      <color indexed="16"/>
      <name val="Palatino"/>
      <family val="1"/>
    </font>
    <font>
      <sz val="18"/>
      <name val="Helvetica-Black"/>
    </font>
    <font>
      <i/>
      <sz val="14"/>
      <name val="Palatino"/>
      <family val="1"/>
    </font>
    <font>
      <b/>
      <sz val="11"/>
      <color indexed="34"/>
      <name val="Calibri"/>
      <family val="2"/>
    </font>
    <font>
      <b/>
      <sz val="11"/>
      <color indexed="56"/>
      <name val="Calibri"/>
      <family val="2"/>
    </font>
    <font>
      <b/>
      <sz val="11"/>
      <color indexed="62"/>
      <name val="Calibri"/>
      <family val="2"/>
    </font>
    <font>
      <u/>
      <sz val="8"/>
      <color indexed="12"/>
      <name val="Trebuchet MS"/>
      <family val="2"/>
    </font>
    <font>
      <u/>
      <sz val="10"/>
      <color indexed="12"/>
      <name val="Trebuchet MS"/>
      <family val="2"/>
    </font>
    <font>
      <u/>
      <sz val="8"/>
      <color indexed="53"/>
      <name val="Arial"/>
      <family val="2"/>
    </font>
    <font>
      <u/>
      <sz val="10"/>
      <color indexed="20"/>
      <name val="Arial"/>
      <family val="2"/>
    </font>
    <font>
      <sz val="8"/>
      <color indexed="10"/>
      <name val="Times New Roman"/>
      <family val="1"/>
    </font>
    <font>
      <sz val="10.5"/>
      <name val="Arial"/>
      <family val="2"/>
    </font>
    <font>
      <sz val="9"/>
      <color indexed="12"/>
      <name val="Arial"/>
      <family val="2"/>
    </font>
    <font>
      <sz val="10"/>
      <name val="N Helvetica Narrow"/>
      <family val="1"/>
    </font>
    <font>
      <sz val="18"/>
      <name val="Times New Roman"/>
      <family val="1"/>
    </font>
    <font>
      <b/>
      <sz val="13"/>
      <name val="Times New Roman"/>
      <family val="1"/>
    </font>
    <font>
      <i/>
      <sz val="12"/>
      <name val="Times New Roman"/>
      <family val="1"/>
    </font>
    <font>
      <b/>
      <i/>
      <sz val="16"/>
      <name val="Helv"/>
    </font>
    <font>
      <sz val="10"/>
      <color indexed="16"/>
      <name val="Helvetica-Black"/>
    </font>
    <font>
      <sz val="8"/>
      <name val="Helv"/>
    </font>
    <font>
      <sz val="10"/>
      <color indexed="12"/>
      <name val="Geneva"/>
      <family val="2"/>
    </font>
    <font>
      <sz val="10"/>
      <color indexed="8"/>
      <name val="Arial"/>
      <family val="2"/>
    </font>
    <font>
      <sz val="10"/>
      <color indexed="39"/>
      <name val="Arial"/>
      <family val="2"/>
    </font>
    <font>
      <b/>
      <sz val="10"/>
      <color indexed="8"/>
      <name val="Arial"/>
      <family val="2"/>
    </font>
    <font>
      <b/>
      <sz val="12"/>
      <color indexed="8"/>
      <name val="Arial"/>
      <family val="2"/>
    </font>
    <font>
      <b/>
      <sz val="16"/>
      <color indexed="23"/>
      <name val="Arial"/>
      <family val="2"/>
    </font>
    <font>
      <b/>
      <sz val="12"/>
      <color indexed="56"/>
      <name val="Arial"/>
      <family val="2"/>
    </font>
    <font>
      <b/>
      <u/>
      <sz val="11"/>
      <name val="Helv"/>
      <family val="2"/>
    </font>
    <font>
      <b/>
      <sz val="8"/>
      <name val="Verdana"/>
      <family val="2"/>
    </font>
    <font>
      <sz val="8"/>
      <name val="Verdana"/>
      <family val="2"/>
    </font>
    <font>
      <b/>
      <sz val="18"/>
      <color indexed="56"/>
      <name val="Cambria"/>
      <family val="2"/>
    </font>
    <font>
      <b/>
      <sz val="18"/>
      <color indexed="62"/>
      <name val="Cambria"/>
      <family val="2"/>
    </font>
    <font>
      <b/>
      <sz val="14"/>
      <name val="Helv"/>
    </font>
    <font>
      <sz val="11"/>
      <name val="ＭＳ Ｐゴシック"/>
      <family val="3"/>
      <charset val="128"/>
    </font>
    <font>
      <b/>
      <sz val="10"/>
      <color indexed="10"/>
      <name val="Arial"/>
      <family val="2"/>
    </font>
    <font>
      <sz val="8"/>
      <name val="Calibri"/>
      <family val="2"/>
      <scheme val="minor"/>
    </font>
    <font>
      <u/>
      <sz val="11"/>
      <color theme="10"/>
      <name val="Calibri"/>
      <family val="2"/>
      <scheme val="minor"/>
    </font>
    <font>
      <sz val="11"/>
      <name val="Arial"/>
      <family val="2"/>
    </font>
    <font>
      <sz val="10"/>
      <color indexed="9"/>
      <name val="Arial"/>
      <family val="2"/>
    </font>
    <font>
      <b/>
      <sz val="10"/>
      <color indexed="48"/>
      <name val="Arial"/>
      <family val="2"/>
    </font>
    <font>
      <sz val="10"/>
      <color indexed="52"/>
      <name val="Arial"/>
      <family val="2"/>
    </font>
    <font>
      <b/>
      <sz val="11"/>
      <color theme="1"/>
      <name val="Roboto"/>
    </font>
    <font>
      <sz val="11"/>
      <color theme="1"/>
      <name val="Roboto"/>
    </font>
    <font>
      <sz val="10"/>
      <color theme="1"/>
      <name val="Roboto"/>
    </font>
    <font>
      <sz val="10"/>
      <color theme="0"/>
      <name val="Roboto"/>
    </font>
    <font>
      <b/>
      <sz val="11"/>
      <color theme="0"/>
      <name val="Roboto"/>
    </font>
    <font>
      <sz val="11"/>
      <color theme="0"/>
      <name val="Roboto"/>
    </font>
    <font>
      <sz val="10"/>
      <name val="Roboto"/>
    </font>
    <font>
      <sz val="11"/>
      <name val="Roboto"/>
    </font>
    <font>
      <sz val="11"/>
      <color rgb="FF0000FF"/>
      <name val="Roboto"/>
    </font>
    <font>
      <b/>
      <sz val="11"/>
      <color rgb="FF0000FF"/>
      <name val="Roboto"/>
    </font>
    <font>
      <b/>
      <sz val="11"/>
      <name val="Roboto"/>
    </font>
    <font>
      <sz val="11"/>
      <color rgb="FFFF0000"/>
      <name val="Roboto"/>
    </font>
    <font>
      <i/>
      <sz val="11"/>
      <name val="Roboto"/>
    </font>
    <font>
      <b/>
      <sz val="10"/>
      <name val="Roboto"/>
    </font>
    <font>
      <b/>
      <sz val="11"/>
      <color rgb="FF00B0F0"/>
      <name val="Roboto"/>
    </font>
    <font>
      <b/>
      <i/>
      <sz val="11"/>
      <name val="Roboto"/>
    </font>
    <font>
      <sz val="10"/>
      <color indexed="9"/>
      <name val="Roboto"/>
    </font>
    <font>
      <sz val="10"/>
      <color indexed="59"/>
      <name val="Roboto"/>
    </font>
    <font>
      <b/>
      <sz val="8"/>
      <name val="Roboto"/>
    </font>
    <font>
      <sz val="10"/>
      <color indexed="52"/>
      <name val="Roboto"/>
    </font>
    <font>
      <b/>
      <sz val="12"/>
      <color theme="1"/>
      <name val="Roboto"/>
    </font>
    <font>
      <sz val="12"/>
      <color theme="1"/>
      <name val="Roboto"/>
    </font>
    <font>
      <i/>
      <sz val="12"/>
      <color theme="1"/>
      <name val="Roboto"/>
    </font>
    <font>
      <b/>
      <sz val="10"/>
      <color indexed="9"/>
      <name val="Roboto"/>
    </font>
    <font>
      <u/>
      <sz val="11"/>
      <color theme="10"/>
      <name val="Roboto"/>
    </font>
    <font>
      <sz val="11"/>
      <color indexed="9"/>
      <name val="Roboto"/>
    </font>
    <font>
      <b/>
      <sz val="11"/>
      <color indexed="9"/>
      <name val="Roboto"/>
    </font>
    <font>
      <b/>
      <sz val="11"/>
      <color indexed="44"/>
      <name val="Roboto"/>
    </font>
    <font>
      <b/>
      <sz val="11"/>
      <color indexed="48"/>
      <name val="Roboto"/>
    </font>
    <font>
      <sz val="11"/>
      <color indexed="52"/>
      <name val="Roboto"/>
    </font>
    <font>
      <sz val="11"/>
      <color indexed="48"/>
      <name val="Roboto"/>
    </font>
    <font>
      <b/>
      <sz val="11"/>
      <color rgb="FF000000"/>
      <name val="Roboto"/>
    </font>
    <font>
      <sz val="11"/>
      <color rgb="FF000000"/>
      <name val="Roboto"/>
    </font>
    <font>
      <sz val="11"/>
      <color rgb="FF0000CC"/>
      <name val="Roboto"/>
    </font>
    <font>
      <b/>
      <sz val="11"/>
      <color rgb="FFFF0000"/>
      <name val="Roboto"/>
    </font>
    <font>
      <i/>
      <sz val="11"/>
      <color theme="1"/>
      <name val="Roboto"/>
    </font>
    <font>
      <sz val="11"/>
      <color theme="0" tint="-0.499984740745262"/>
      <name val="Roboto"/>
    </font>
    <font>
      <b/>
      <sz val="11"/>
      <color theme="0" tint="-0.499984740745262"/>
      <name val="Roboto"/>
    </font>
    <font>
      <sz val="10"/>
      <color theme="1"/>
      <name val="Arial"/>
      <family val="2"/>
    </font>
    <font>
      <b/>
      <sz val="10"/>
      <color theme="1"/>
      <name val="Roboto"/>
    </font>
    <font>
      <sz val="11"/>
      <name val="Calibri"/>
      <family val="2"/>
      <scheme val="minor"/>
    </font>
    <font>
      <sz val="11"/>
      <color theme="9"/>
      <name val="Roboto"/>
    </font>
    <font>
      <b/>
      <sz val="11"/>
      <color theme="9"/>
      <name val="Roboto"/>
    </font>
    <font>
      <b/>
      <sz val="10.5"/>
      <color theme="1"/>
      <name val="Roboto"/>
    </font>
    <font>
      <sz val="10.5"/>
      <color theme="1"/>
      <name val="Roboto"/>
    </font>
    <font>
      <sz val="12"/>
      <name val="Roboto"/>
    </font>
    <font>
      <b/>
      <sz val="10"/>
      <color rgb="FFFF0000"/>
      <name val="Trebuchet MS"/>
      <family val="2"/>
    </font>
    <font>
      <sz val="11"/>
      <color theme="8"/>
      <name val="Roboto"/>
    </font>
    <font>
      <b/>
      <sz val="14"/>
      <color theme="1"/>
      <name val="Roboto"/>
    </font>
    <font>
      <sz val="14"/>
      <color theme="1"/>
      <name val="Roboto"/>
    </font>
  </fonts>
  <fills count="13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13"/>
        <bgColor indexed="64"/>
      </patternFill>
    </fill>
    <fill>
      <patternFill patternType="solid">
        <fgColor rgb="FFFFFF99"/>
        <bgColor indexed="64"/>
      </patternFill>
    </fill>
    <fill>
      <patternFill patternType="solid">
        <fgColor theme="0" tint="-0.14996795556505021"/>
        <bgColor indexed="64"/>
      </patternFill>
    </fill>
    <fill>
      <patternFill patternType="solid">
        <fgColor rgb="FFFFEB9C"/>
      </patternFill>
    </fill>
    <fill>
      <patternFill patternType="solid">
        <fgColor indexed="9"/>
      </patternFill>
    </fill>
    <fill>
      <patternFill patternType="solid">
        <fgColor indexed="22"/>
      </patternFill>
    </fill>
    <fill>
      <patternFill patternType="solid">
        <fgColor indexed="26"/>
        <bgColor indexed="64"/>
      </patternFill>
    </fill>
    <fill>
      <patternFill patternType="solid">
        <fgColor indexed="9"/>
        <bgColor indexed="64"/>
      </patternFill>
    </fill>
    <fill>
      <patternFill patternType="solid">
        <fgColor indexed="8"/>
        <bgColor indexed="64"/>
      </patternFill>
    </fill>
    <fill>
      <patternFill patternType="solid">
        <fgColor indexed="18"/>
        <bgColor indexed="64"/>
      </patternFill>
    </fill>
    <fill>
      <patternFill patternType="gray0625">
        <fgColor indexed="15"/>
      </patternFill>
    </fill>
    <fill>
      <patternFill patternType="solid">
        <fgColor indexed="41"/>
        <bgColor indexed="64"/>
      </patternFill>
    </fill>
    <fill>
      <patternFill patternType="lightGray">
        <fgColor indexed="12"/>
      </patternFill>
    </fill>
    <fill>
      <patternFill patternType="solid">
        <fgColor indexed="43"/>
        <bgColor indexed="64"/>
      </patternFill>
    </fill>
    <fill>
      <patternFill patternType="solid">
        <fgColor indexed="48"/>
      </patternFill>
    </fill>
    <fill>
      <patternFill patternType="solid">
        <fgColor indexed="22"/>
        <bgColor indexed="64"/>
      </patternFill>
    </fill>
    <fill>
      <patternFill patternType="solid">
        <fgColor indexed="42"/>
        <bgColor indexed="64"/>
      </patternFill>
    </fill>
    <fill>
      <patternFill patternType="gray0625"/>
    </fill>
    <fill>
      <patternFill patternType="solid">
        <fgColor indexed="15"/>
        <bgColor indexed="64"/>
      </patternFill>
    </fill>
    <fill>
      <patternFill patternType="solid">
        <fgColor indexed="15"/>
      </patternFill>
    </fill>
    <fill>
      <patternFill patternType="solid">
        <fgColor indexed="13"/>
        <bgColor indexed="15"/>
      </patternFill>
    </fill>
    <fill>
      <patternFill patternType="solid">
        <fgColor indexed="11"/>
        <bgColor indexed="64"/>
      </patternFill>
    </fill>
    <fill>
      <patternFill patternType="gray0625">
        <fgColor indexed="22"/>
      </patternFill>
    </fill>
    <fill>
      <patternFill patternType="solid">
        <fgColor indexed="13"/>
      </patternFill>
    </fill>
    <fill>
      <patternFill patternType="solid">
        <fgColor indexed="12"/>
      </patternFill>
    </fill>
    <fill>
      <patternFill patternType="lightGray"/>
    </fill>
    <fill>
      <patternFill patternType="solid">
        <fgColor indexed="44"/>
        <bgColor indexed="64"/>
      </patternFill>
    </fill>
    <fill>
      <patternFill patternType="solid">
        <fgColor indexed="16"/>
        <bgColor indexed="64"/>
      </patternFill>
    </fill>
    <fill>
      <patternFill patternType="solid">
        <fgColor indexed="54"/>
        <bgColor indexed="64"/>
      </patternFill>
    </fill>
    <fill>
      <patternFill patternType="solid">
        <fgColor theme="5" tint="0.39997558519241921"/>
        <bgColor indexed="64"/>
      </patternFill>
    </fill>
    <fill>
      <patternFill patternType="gray0625">
        <fgColor indexed="10"/>
        <bgColor indexed="9"/>
      </patternFill>
    </fill>
    <fill>
      <patternFill patternType="solid">
        <fgColor indexed="40"/>
        <bgColor indexed="64"/>
      </patternFill>
    </fill>
    <fill>
      <patternFill patternType="gray0625">
        <fgColor indexed="13"/>
        <bgColor indexed="9"/>
      </patternFill>
    </fill>
    <fill>
      <patternFill patternType="mediumGray"/>
    </fill>
    <fill>
      <patternFill patternType="lightGray">
        <fgColor indexed="22"/>
        <bgColor indexed="9"/>
      </patternFill>
    </fill>
    <fill>
      <patternFill patternType="solid">
        <fgColor indexed="58"/>
        <bgColor indexed="64"/>
      </patternFill>
    </fill>
    <fill>
      <patternFill patternType="solid">
        <fgColor indexed="2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rgb="FFFFEB9C"/>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19"/>
      </patternFill>
    </fill>
    <fill>
      <patternFill patternType="solid">
        <fgColor indexed="54"/>
      </patternFill>
    </fill>
    <fill>
      <patternFill patternType="solid">
        <fgColor indexed="51"/>
        <bgColor indexed="64"/>
      </patternFill>
    </fill>
    <fill>
      <patternFill patternType="solid">
        <fgColor rgb="FF4F81BD"/>
        <bgColor indexed="64"/>
      </patternFill>
    </fill>
    <fill>
      <patternFill patternType="solid">
        <fgColor indexed="45"/>
        <bgColor indexed="1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23"/>
        <bgColor indexed="64"/>
      </patternFill>
    </fill>
    <fill>
      <patternFill patternType="solid">
        <fgColor indexed="55"/>
        <bgColor indexed="64"/>
      </patternFill>
    </fill>
    <fill>
      <patternFill patternType="solid">
        <fgColor rgb="FFCCCCFF"/>
        <bgColor indexed="64"/>
      </patternFill>
    </fill>
    <fill>
      <patternFill patternType="solid">
        <fgColor indexed="62"/>
        <bgColor indexed="64"/>
      </patternFill>
    </fill>
    <fill>
      <patternFill patternType="solid">
        <fgColor rgb="FFFFE7FF"/>
        <bgColor indexed="64"/>
      </patternFill>
    </fill>
    <fill>
      <patternFill patternType="solid">
        <fgColor theme="8" tint="-0.249977111117893"/>
        <bgColor indexed="64"/>
      </patternFill>
    </fill>
    <fill>
      <patternFill patternType="solid">
        <fgColor rgb="FFFF0000"/>
        <bgColor indexed="64"/>
      </patternFill>
    </fill>
    <fill>
      <patternFill patternType="solid">
        <fgColor rgb="FF20539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CC"/>
        <bgColor indexed="64"/>
      </patternFill>
    </fill>
    <fill>
      <patternFill patternType="solid">
        <fgColor rgb="FF575FFF"/>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E6E6E6"/>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theme="0" tint="-0.14999847407452621"/>
        <bgColor theme="0" tint="-0.14999847407452621"/>
      </patternFill>
    </fill>
    <fill>
      <patternFill patternType="solid">
        <fgColor rgb="FFFFFF00"/>
        <bgColor rgb="FF000000"/>
      </patternFill>
    </fill>
    <fill>
      <patternFill patternType="solid">
        <fgColor rgb="FF99CCFF"/>
        <bgColor rgb="FF000000"/>
      </patternFill>
    </fill>
  </fills>
  <borders count="98">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top style="thin">
        <color indexed="64"/>
      </top>
      <bottom style="double">
        <color indexed="64"/>
      </bottom>
      <diagonal/>
    </border>
    <border>
      <left/>
      <right/>
      <top/>
      <bottom style="medium">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12"/>
      </left>
      <right style="medium">
        <color indexed="12"/>
      </right>
      <top style="medium">
        <color indexed="12"/>
      </top>
      <bottom style="medium">
        <color indexed="12"/>
      </bottom>
      <diagonal/>
    </border>
    <border>
      <left style="double">
        <color indexed="64"/>
      </left>
      <right/>
      <top/>
      <bottom/>
      <diagonal/>
    </border>
    <border>
      <left/>
      <right/>
      <top/>
      <bottom style="dotted">
        <color indexed="64"/>
      </bottom>
      <diagonal/>
    </border>
    <border>
      <left style="dotted">
        <color indexed="12"/>
      </left>
      <right style="dotted">
        <color indexed="12"/>
      </right>
      <top style="dotted">
        <color indexed="12"/>
      </top>
      <bottom style="dotted">
        <color indexed="12"/>
      </bottom>
      <diagonal/>
    </border>
    <border>
      <left style="dotted">
        <color indexed="57"/>
      </left>
      <right style="dotted">
        <color indexed="57"/>
      </right>
      <top style="dotted">
        <color indexed="57"/>
      </top>
      <bottom style="dotted">
        <color indexed="57"/>
      </bottom>
      <diagonal/>
    </border>
    <border>
      <left style="thin">
        <color indexed="57"/>
      </left>
      <right style="thin">
        <color indexed="57"/>
      </right>
      <top style="thin">
        <color indexed="57"/>
      </top>
      <bottom style="thin">
        <color indexed="57"/>
      </bottom>
      <diagonal/>
    </border>
    <border>
      <left style="thin">
        <color indexed="12"/>
      </left>
      <right style="thin">
        <color indexed="12"/>
      </right>
      <top style="thin">
        <color indexed="12"/>
      </top>
      <bottom style="thin">
        <color indexed="12"/>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right style="hair">
        <color indexed="64"/>
      </right>
      <top/>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64"/>
      </top>
      <bottom/>
      <diagonal/>
    </border>
    <border>
      <left style="double">
        <color indexed="64"/>
      </left>
      <right/>
      <top style="double">
        <color indexed="64"/>
      </top>
      <bottom/>
      <diagonal/>
    </border>
    <border>
      <left/>
      <right style="medium">
        <color indexed="64"/>
      </right>
      <top/>
      <bottom/>
      <diagonal/>
    </border>
    <border>
      <left/>
      <right/>
      <top style="double">
        <color indexed="64"/>
      </top>
      <bottom/>
      <diagonal/>
    </border>
    <border>
      <left/>
      <right/>
      <top style="medium">
        <color indexed="23"/>
      </top>
      <bottom style="medium">
        <color indexed="23"/>
      </bottom>
      <diagonal/>
    </border>
    <border>
      <left/>
      <right/>
      <top style="medium">
        <color indexed="41"/>
      </top>
      <bottom style="medium">
        <color indexed="41"/>
      </bottom>
      <diagonal/>
    </border>
    <border>
      <left/>
      <right/>
      <top style="medium">
        <color indexed="41"/>
      </top>
      <bottom/>
      <diagonal/>
    </border>
    <border>
      <left/>
      <right/>
      <top/>
      <bottom style="thin">
        <color indexed="23"/>
      </bottom>
      <diagonal/>
    </border>
    <border>
      <left/>
      <right/>
      <top style="thick">
        <color indexed="64"/>
      </top>
      <bottom/>
      <diagonal/>
    </border>
    <border>
      <left/>
      <right/>
      <top/>
      <bottom style="thick">
        <color indexed="18"/>
      </bottom>
      <diagonal/>
    </border>
    <border>
      <left/>
      <right/>
      <top style="medium">
        <color indexed="64"/>
      </top>
      <bottom style="medium">
        <color indexed="64"/>
      </bottom>
      <diagonal/>
    </border>
    <border>
      <left style="thin">
        <color indexed="9"/>
      </left>
      <right style="thin">
        <color indexed="9"/>
      </right>
      <top style="thin">
        <color indexed="9"/>
      </top>
      <bottom style="thin">
        <color indexed="9"/>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top/>
      <bottom style="thick">
        <color indexed="64"/>
      </bottom>
      <diagonal/>
    </border>
    <border>
      <left/>
      <right/>
      <top style="dotted">
        <color indexed="64"/>
      </top>
      <bottom style="medium">
        <color indexed="64"/>
      </bottom>
      <diagonal/>
    </border>
    <border>
      <left style="medium">
        <color indexed="9"/>
      </left>
      <right style="medium">
        <color indexed="49"/>
      </right>
      <top/>
      <bottom/>
      <diagonal/>
    </border>
    <border>
      <left/>
      <right/>
      <top/>
      <bottom style="thick">
        <color theme="4" tint="0.4996795556505020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hair">
        <color indexed="8"/>
      </top>
      <bottom style="hair">
        <color indexed="8"/>
      </bottom>
      <diagonal/>
    </border>
    <border>
      <left/>
      <right/>
      <top/>
      <bottom style="medium">
        <color indexed="18"/>
      </bottom>
      <diagonal/>
    </border>
    <border>
      <left/>
      <right style="medium">
        <color indexed="9"/>
      </right>
      <top/>
      <bottom style="medium">
        <color indexed="9"/>
      </bottom>
      <diagonal/>
    </border>
    <border>
      <left style="thin">
        <color indexed="63"/>
      </left>
      <right style="thin">
        <color indexed="63"/>
      </right>
      <top style="thin">
        <color indexed="64"/>
      </top>
      <bottom style="thin">
        <color indexed="63"/>
      </bottom>
      <diagonal/>
    </border>
    <border>
      <left/>
      <right/>
      <top style="thin">
        <color indexed="45"/>
      </top>
      <bottom style="thin">
        <color indexed="47"/>
      </bottom>
      <diagonal/>
    </border>
    <border>
      <left/>
      <right/>
      <top/>
      <bottom style="thin">
        <color indexed="47"/>
      </bottom>
      <diagonal/>
    </border>
    <border>
      <left/>
      <right/>
      <top style="thin">
        <color indexed="47"/>
      </top>
      <bottom style="thin">
        <color indexed="43"/>
      </bottom>
      <diagonal/>
    </border>
    <border>
      <left/>
      <right/>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medium">
        <color indexed="64"/>
      </top>
      <bottom style="thin">
        <color indexed="64"/>
      </bottom>
      <diagonal/>
    </border>
    <border>
      <left style="thin">
        <color indexed="64"/>
      </left>
      <right/>
      <top style="thin">
        <color indexed="64"/>
      </top>
      <bottom style="thin">
        <color auto="1"/>
      </bottom>
      <diagonal/>
    </border>
    <border>
      <left style="thin">
        <color indexed="64"/>
      </left>
      <right/>
      <top/>
      <bottom style="medium">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double">
        <color indexed="64"/>
      </bottom>
      <diagonal/>
    </border>
    <border>
      <left style="medium">
        <color rgb="FFCCCCCC"/>
      </left>
      <right style="medium">
        <color rgb="FFCCCCCC"/>
      </right>
      <top style="medium">
        <color rgb="FFCCCCCC"/>
      </top>
      <bottom style="medium">
        <color rgb="FFCCCCCC"/>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bottom style="thin">
        <color auto="1"/>
      </bottom>
      <diagonal/>
    </border>
    <border>
      <left style="thin">
        <color indexed="64"/>
      </left>
      <right/>
      <top style="thin">
        <color auto="1"/>
      </top>
      <bottom/>
      <diagonal/>
    </border>
    <border>
      <left/>
      <right/>
      <top style="thin">
        <color auto="1"/>
      </top>
      <bottom/>
      <diagonal/>
    </border>
    <border>
      <left style="thin">
        <color indexed="64"/>
      </left>
      <right/>
      <top style="medium">
        <color theme="1"/>
      </top>
      <bottom/>
      <diagonal/>
    </border>
    <border>
      <left style="thin">
        <color indexed="64"/>
      </left>
      <right style="thin">
        <color indexed="64"/>
      </right>
      <top style="medium">
        <color theme="1"/>
      </top>
      <bottom/>
      <diagonal/>
    </border>
    <border>
      <left/>
      <right style="thin">
        <color indexed="64"/>
      </right>
      <top style="thin">
        <color indexed="64"/>
      </top>
      <bottom/>
      <diagonal/>
    </border>
  </borders>
  <cellStyleXfs count="239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6" fillId="0" borderId="0"/>
    <xf numFmtId="0" fontId="6" fillId="0" borderId="0"/>
    <xf numFmtId="43" fontId="6" fillId="0" borderId="0" applyFont="0" applyFill="0" applyBorder="0" applyAlignment="0" applyProtection="0"/>
    <xf numFmtId="0" fontId="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0" fontId="10" fillId="0" borderId="0" applyNumberFormat="0" applyFill="0" applyBorder="0" applyAlignment="0" applyProtection="0"/>
    <xf numFmtId="0" fontId="6" fillId="0" borderId="0"/>
    <xf numFmtId="41" fontId="1" fillId="0" borderId="0" applyFont="0" applyFill="0" applyBorder="0" applyAlignment="0" applyProtection="0"/>
    <xf numFmtId="0" fontId="14" fillId="3" borderId="0" applyFont="0" applyFill="0" applyBorder="0">
      <alignment horizontal="right"/>
    </xf>
    <xf numFmtId="0" fontId="13" fillId="0" borderId="0" applyFont="0" applyFill="0" applyBorder="0">
      <alignment horizontal="right"/>
    </xf>
    <xf numFmtId="0" fontId="13" fillId="5" borderId="0" applyNumberFormat="0" applyFont="0" applyBorder="0" applyAlignment="0" applyProtection="0">
      <alignment horizontal="left"/>
    </xf>
    <xf numFmtId="0" fontId="13" fillId="0" borderId="0" applyFont="0" applyFill="0" applyBorder="0">
      <alignment horizontal="right"/>
    </xf>
    <xf numFmtId="0" fontId="14" fillId="6" borderId="0" applyNumberFormat="0" applyFont="0" applyBorder="0" applyAlignment="0" applyProtection="0"/>
    <xf numFmtId="0" fontId="24"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43" fillId="0" borderId="0" applyNumberFormat="0" applyFont="0" applyFill="0" applyBorder="0" applyAlignment="0" applyProtection="0"/>
    <xf numFmtId="0" fontId="5" fillId="0" borderId="0"/>
    <xf numFmtId="212" fontId="5" fillId="0" borderId="0" applyFont="0" applyFill="0" applyBorder="0" applyAlignment="0" applyProtection="0"/>
    <xf numFmtId="213"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43" fillId="0" borderId="0" applyNumberFormat="0" applyFill="0" applyBorder="0" applyAlignment="0" applyProtection="0"/>
    <xf numFmtId="0" fontId="5" fillId="0" borderId="0" applyFont="0" applyFill="0" applyBorder="0" applyAlignment="0" applyProtection="0"/>
    <xf numFmtId="214" fontId="5" fillId="0" borderId="0" applyFont="0" applyFill="0" applyBorder="0" applyAlignment="0" applyProtection="0"/>
    <xf numFmtId="215" fontId="5" fillId="0" borderId="0" applyFont="0" applyFill="0" applyBorder="0" applyAlignment="0" applyProtection="0"/>
    <xf numFmtId="216" fontId="5" fillId="0" borderId="0" applyFont="0" applyFill="0" applyBorder="0" applyAlignment="0" applyProtection="0"/>
    <xf numFmtId="217" fontId="5" fillId="0" borderId="0" applyFont="0" applyFill="0" applyBorder="0" applyAlignment="0" applyProtection="0"/>
    <xf numFmtId="0" fontId="5" fillId="0" borderId="0"/>
    <xf numFmtId="0" fontId="44" fillId="0" borderId="0"/>
    <xf numFmtId="0" fontId="5" fillId="0" borderId="0"/>
    <xf numFmtId="0" fontId="5" fillId="0" borderId="0"/>
    <xf numFmtId="0" fontId="5" fillId="0" borderId="0" applyFont="0" applyFill="0" applyBorder="0" applyAlignment="0" applyProtection="0"/>
    <xf numFmtId="218" fontId="5" fillId="0" borderId="0" applyFont="0" applyFill="0" applyBorder="0" applyAlignment="0" applyProtection="0"/>
    <xf numFmtId="0" fontId="45" fillId="0" borderId="0">
      <protection locked="0"/>
    </xf>
    <xf numFmtId="175" fontId="5" fillId="0" borderId="0" applyNumberFormat="0" applyFill="0" applyBorder="0" applyAlignment="0"/>
    <xf numFmtId="219" fontId="5" fillId="0" borderId="0" applyFill="0" applyBorder="0" applyProtection="0">
      <alignment horizontal="right"/>
    </xf>
    <xf numFmtId="0" fontId="5" fillId="0" borderId="0" applyFont="0" applyFill="0" applyBorder="0" applyAlignment="0" applyProtection="0"/>
    <xf numFmtId="0" fontId="5" fillId="0" borderId="0" applyFont="0" applyFill="0" applyBorder="0" applyAlignment="0" applyProtection="0"/>
    <xf numFmtId="176" fontId="46" fillId="10" borderId="0">
      <alignment horizontal="left"/>
    </xf>
    <xf numFmtId="220" fontId="21" fillId="0" borderId="0" applyFont="0" applyFill="0" applyBorder="0" applyAlignment="0" applyProtection="0"/>
    <xf numFmtId="221" fontId="47" fillId="0" borderId="0" applyFont="0" applyFill="0" applyBorder="0" applyAlignment="0" applyProtection="0"/>
    <xf numFmtId="0" fontId="48" fillId="0" borderId="0">
      <alignment horizontal="center" wrapText="1"/>
      <protection locked="0"/>
    </xf>
    <xf numFmtId="0" fontId="5" fillId="0" borderId="0" applyNumberFormat="0" applyFill="0" applyBorder="0" applyAlignment="0" applyProtection="0"/>
    <xf numFmtId="0" fontId="49" fillId="0" borderId="0" applyNumberFormat="0" applyFill="0" applyBorder="0" applyAlignment="0" applyProtection="0"/>
    <xf numFmtId="0" fontId="50" fillId="0" borderId="26" applyNumberFormat="0" applyFill="0" applyAlignment="0" applyProtection="0"/>
    <xf numFmtId="172" fontId="51" fillId="11" borderId="0" applyNumberFormat="0" applyFill="0" applyBorder="0" applyAlignment="0" applyProtection="0">
      <alignment horizontal="right"/>
    </xf>
    <xf numFmtId="0" fontId="5" fillId="0" borderId="0" applyFont="0" applyFill="0" applyBorder="0" applyAlignment="0" applyProtection="0"/>
    <xf numFmtId="43" fontId="5" fillId="0" borderId="0" applyFont="0" applyFill="0" applyBorder="0" applyAlignment="0" applyProtection="0"/>
    <xf numFmtId="222" fontId="5" fillId="0" borderId="0" applyFont="0" applyFill="0" applyBorder="0" applyAlignment="0" applyProtection="0"/>
    <xf numFmtId="0" fontId="5" fillId="0" borderId="0"/>
    <xf numFmtId="223" fontId="48" fillId="0" borderId="0" applyFill="0" applyBorder="0" applyAlignment="0" applyProtection="0">
      <protection locked="0"/>
    </xf>
    <xf numFmtId="0" fontId="52" fillId="12" borderId="0"/>
    <xf numFmtId="212" fontId="21" fillId="0" borderId="0" applyNumberFormat="0" applyFont="0" applyAlignment="0" applyProtection="0"/>
    <xf numFmtId="0" fontId="53" fillId="13" borderId="0" applyNumberFormat="0" applyBorder="0">
      <alignment horizontal="center" vertical="center"/>
    </xf>
    <xf numFmtId="0" fontId="54" fillId="0" borderId="0" applyNumberFormat="0" applyFill="0" applyBorder="0" applyAlignment="0" applyProtection="0"/>
    <xf numFmtId="0" fontId="55" fillId="0" borderId="0" applyFont="0" applyFill="0" applyBorder="0" applyAlignment="0" applyProtection="0"/>
    <xf numFmtId="0" fontId="5" fillId="0" borderId="0"/>
    <xf numFmtId="39" fontId="56" fillId="0" borderId="6" applyNumberFormat="0" applyFill="0" applyBorder="0"/>
    <xf numFmtId="0" fontId="33" fillId="0" borderId="0" applyNumberFormat="0" applyAlignment="0">
      <alignment vertical="center"/>
    </xf>
    <xf numFmtId="223" fontId="48" fillId="0" borderId="0" applyFont="0" applyFill="0" applyBorder="0" applyAlignment="0" applyProtection="0">
      <protection locked="0"/>
    </xf>
    <xf numFmtId="0" fontId="57" fillId="0" borderId="0"/>
    <xf numFmtId="1" fontId="58" fillId="0" borderId="0"/>
    <xf numFmtId="193" fontId="35" fillId="0" borderId="0" applyNumberFormat="0" applyAlignment="0">
      <alignment vertical="center"/>
    </xf>
    <xf numFmtId="0" fontId="16" fillId="0" borderId="0">
      <alignment horizontal="center" wrapText="1"/>
      <protection hidden="1"/>
    </xf>
    <xf numFmtId="0" fontId="29" fillId="14" borderId="12" applyNumberFormat="0" applyProtection="0">
      <alignment horizontal="center" vertical="center" wrapText="1"/>
    </xf>
    <xf numFmtId="0" fontId="29" fillId="14" borderId="0" applyNumberFormat="0" applyBorder="0" applyProtection="0">
      <alignment horizontal="centerContinuous" vertical="center"/>
    </xf>
    <xf numFmtId="0" fontId="29" fillId="14" borderId="21" applyNumberFormat="0" applyBorder="0" applyProtection="0">
      <alignment horizontal="center" vertical="center" wrapText="1"/>
    </xf>
    <xf numFmtId="0" fontId="36" fillId="15" borderId="0" applyNumberFormat="0">
      <alignment horizontal="center" vertical="top" wrapText="1"/>
    </xf>
    <xf numFmtId="0" fontId="36" fillId="15" borderId="0" applyNumberFormat="0">
      <alignment horizontal="left" vertical="top" wrapText="1"/>
    </xf>
    <xf numFmtId="0" fontId="36" fillId="15" borderId="0" applyNumberFormat="0">
      <alignment horizontal="centerContinuous" vertical="top"/>
    </xf>
    <xf numFmtId="0" fontId="33" fillId="15" borderId="0" applyNumberFormat="0">
      <alignment horizontal="center" vertical="top" wrapText="1"/>
    </xf>
    <xf numFmtId="0" fontId="36" fillId="15" borderId="0" applyNumberFormat="0">
      <alignment horizontal="center" vertical="top" wrapText="1"/>
    </xf>
    <xf numFmtId="0" fontId="21" fillId="0" borderId="27" applyNumberFormat="0" applyFont="0" applyFill="0" applyAlignment="0" applyProtection="0">
      <alignment horizontal="left"/>
    </xf>
    <xf numFmtId="43" fontId="6" fillId="0" borderId="0" applyFont="0" applyFill="0" applyBorder="0" applyAlignment="0" applyProtection="0"/>
    <xf numFmtId="176" fontId="17"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alignment horizontal="right"/>
    </xf>
    <xf numFmtId="0" fontId="18" fillId="0" borderId="0" applyFont="0" applyFill="0" applyBorder="0" applyAlignment="0" applyProtection="0">
      <alignment horizontal="right"/>
    </xf>
    <xf numFmtId="43" fontId="6" fillId="0" borderId="0" applyFont="0" applyFill="0" applyBorder="0" applyAlignment="0" applyProtection="0"/>
    <xf numFmtId="43" fontId="6" fillId="0" borderId="0" applyFont="0" applyFill="0" applyBorder="0" applyAlignment="0" applyProtection="0"/>
    <xf numFmtId="0" fontId="25" fillId="0" borderId="0" applyFont="0" applyFill="0" applyBorder="0" applyAlignment="0" applyProtection="0"/>
    <xf numFmtId="212" fontId="32" fillId="0" borderId="0"/>
    <xf numFmtId="3" fontId="59" fillId="0" borderId="0" applyFont="0" applyFill="0" applyBorder="0" applyAlignment="0" applyProtection="0"/>
    <xf numFmtId="0" fontId="19" fillId="16" borderId="0">
      <alignment horizontal="center" vertical="center" wrapText="1"/>
    </xf>
    <xf numFmtId="0" fontId="5" fillId="0" borderId="0">
      <alignment horizontal="left"/>
    </xf>
    <xf numFmtId="0" fontId="5" fillId="0" borderId="0"/>
    <xf numFmtId="0" fontId="5" fillId="0" borderId="0">
      <alignment horizontal="left"/>
    </xf>
    <xf numFmtId="188" fontId="16" fillId="0" borderId="0" applyFill="0" applyBorder="0">
      <alignment horizontal="right"/>
      <protection locked="0"/>
    </xf>
    <xf numFmtId="224" fontId="60" fillId="0" borderId="0" applyFont="0"/>
    <xf numFmtId="196" fontId="33" fillId="0" borderId="0" applyFont="0" applyFill="0" applyBorder="0" applyAlignment="0" applyProtection="0">
      <alignment vertical="center"/>
    </xf>
    <xf numFmtId="225" fontId="60" fillId="0" borderId="0" applyFont="0"/>
    <xf numFmtId="226" fontId="5" fillId="0" borderId="0"/>
    <xf numFmtId="185" fontId="5" fillId="0" borderId="0" applyFont="0" applyFill="0" applyBorder="0" applyAlignment="0"/>
    <xf numFmtId="0" fontId="18" fillId="0" borderId="0" applyFont="0" applyFill="0" applyBorder="0" applyAlignment="0" applyProtection="0">
      <alignment horizontal="right"/>
    </xf>
    <xf numFmtId="0" fontId="18" fillId="0" borderId="0" applyFont="0" applyFill="0" applyBorder="0" applyAlignment="0" applyProtection="0">
      <alignment horizontal="right"/>
    </xf>
    <xf numFmtId="201" fontId="33" fillId="0" borderId="0" applyFont="0" applyFill="0" applyBorder="0" applyAlignment="0" applyProtection="0">
      <alignment vertical="center"/>
    </xf>
    <xf numFmtId="202" fontId="33" fillId="0" borderId="0" applyFont="0" applyFill="0" applyBorder="0" applyAlignment="0" applyProtection="0">
      <alignment vertical="center"/>
    </xf>
    <xf numFmtId="199" fontId="33" fillId="0" borderId="0" applyFont="0" applyFill="0" applyBorder="0" applyAlignment="0" applyProtection="0">
      <alignment vertical="center"/>
    </xf>
    <xf numFmtId="200" fontId="33" fillId="0" borderId="0" applyFont="0" applyFill="0" applyBorder="0" applyAlignment="0" applyProtection="0">
      <alignment vertical="center"/>
    </xf>
    <xf numFmtId="197" fontId="33" fillId="0" borderId="0" applyFont="0" applyFill="0" applyBorder="0" applyAlignment="0" applyProtection="0">
      <alignment vertical="center"/>
    </xf>
    <xf numFmtId="198" fontId="33" fillId="0" borderId="0" applyFont="0" applyFill="0" applyBorder="0" applyAlignment="0" applyProtection="0">
      <alignment vertical="center"/>
    </xf>
    <xf numFmtId="207" fontId="33" fillId="0" borderId="0" applyFont="0" applyFill="0" applyBorder="0" applyAlignment="0" applyProtection="0">
      <alignment vertical="center"/>
    </xf>
    <xf numFmtId="208" fontId="33" fillId="0" borderId="0" applyFont="0" applyFill="0" applyBorder="0" applyAlignment="0" applyProtection="0">
      <alignment vertical="center"/>
    </xf>
    <xf numFmtId="205" fontId="33" fillId="0" borderId="0" applyFont="0" applyFill="0" applyBorder="0" applyAlignment="0" applyProtection="0">
      <alignment vertical="center"/>
    </xf>
    <xf numFmtId="206" fontId="33" fillId="0" borderId="0" applyFont="0" applyFill="0" applyBorder="0" applyAlignment="0" applyProtection="0">
      <alignment vertical="center"/>
    </xf>
    <xf numFmtId="203" fontId="33" fillId="0" borderId="0" applyFont="0" applyFill="0" applyBorder="0" applyAlignment="0" applyProtection="0">
      <alignment vertical="center"/>
    </xf>
    <xf numFmtId="204" fontId="33" fillId="0" borderId="0" applyFont="0" applyFill="0" applyBorder="0" applyAlignment="0" applyProtection="0">
      <alignment vertical="center"/>
    </xf>
    <xf numFmtId="227" fontId="5" fillId="0" borderId="0" applyFont="0" applyFill="0" applyBorder="0" applyAlignment="0" applyProtection="0"/>
    <xf numFmtId="0" fontId="5" fillId="0" borderId="0">
      <alignment horizontal="right"/>
      <protection locked="0"/>
    </xf>
    <xf numFmtId="209" fontId="33" fillId="0" borderId="0" applyFont="0" applyFill="0" applyBorder="0" applyAlignment="0" applyProtection="0">
      <alignment vertical="center"/>
    </xf>
    <xf numFmtId="210" fontId="33" fillId="0" borderId="0" applyFont="0" applyFill="0" applyBorder="0" applyAlignment="0" applyProtection="0">
      <alignment vertical="center"/>
    </xf>
    <xf numFmtId="15" fontId="61" fillId="0" borderId="0" applyFill="0" applyBorder="0" applyAlignment="0"/>
    <xf numFmtId="0" fontId="61" fillId="10" borderId="0" applyFont="0" applyFill="0" applyBorder="0" applyAlignment="0" applyProtection="0"/>
    <xf numFmtId="228" fontId="5" fillId="10" borderId="25" applyFont="0" applyFill="0" applyBorder="0" applyAlignment="0" applyProtection="0"/>
    <xf numFmtId="229" fontId="5" fillId="10" borderId="0" applyFont="0" applyFill="0" applyBorder="0" applyAlignment="0" applyProtection="0"/>
    <xf numFmtId="17" fontId="61" fillId="0" borderId="0" applyFill="0" applyBorder="0">
      <alignment horizontal="right"/>
    </xf>
    <xf numFmtId="168" fontId="5" fillId="0" borderId="2" applyFont="0" applyFill="0" applyBorder="0" applyAlignment="0" applyProtection="0"/>
    <xf numFmtId="0" fontId="18" fillId="0" borderId="0" applyFont="0" applyFill="0" applyBorder="0" applyAlignment="0" applyProtection="0"/>
    <xf numFmtId="229" fontId="5" fillId="0" borderId="0" applyFill="0" applyBorder="0">
      <alignment horizontal="right"/>
    </xf>
    <xf numFmtId="14" fontId="62" fillId="0" borderId="0" applyFont="0" applyFill="0" applyBorder="0" applyAlignment="0" applyProtection="0">
      <alignment horizontal="center"/>
    </xf>
    <xf numFmtId="230" fontId="62" fillId="0" borderId="0" applyFont="0" applyFill="0" applyBorder="0" applyAlignment="0" applyProtection="0">
      <alignment horizontal="center"/>
    </xf>
    <xf numFmtId="170" fontId="63" fillId="0" borderId="6" applyNumberFormat="0" applyFill="0" applyBorder="0" applyAlignment="0">
      <alignment horizontal="left"/>
      <protection locked="0"/>
    </xf>
    <xf numFmtId="231" fontId="21" fillId="0" borderId="0" applyFont="0" applyFill="0" applyBorder="0" applyAlignment="0" applyProtection="0"/>
    <xf numFmtId="0" fontId="20" fillId="0" borderId="0">
      <protection locked="0"/>
    </xf>
    <xf numFmtId="185" fontId="48" fillId="0" borderId="0" applyFont="0" applyFill="0" applyBorder="0" applyAlignment="0" applyProtection="0"/>
    <xf numFmtId="0" fontId="32" fillId="0" borderId="0"/>
    <xf numFmtId="183" fontId="48" fillId="0" borderId="0" applyFont="0" applyFill="0" applyBorder="0" applyAlignment="0" applyProtection="0"/>
    <xf numFmtId="0" fontId="18" fillId="0" borderId="28" applyNumberFormat="0" applyFont="0" applyFill="0" applyAlignment="0" applyProtection="0"/>
    <xf numFmtId="0" fontId="64" fillId="0" borderId="0" applyFill="0" applyBorder="0" applyAlignment="0" applyProtection="0"/>
    <xf numFmtId="169" fontId="65" fillId="0" borderId="29" applyNumberFormat="0" applyAlignment="0" applyProtection="0">
      <alignment vertical="top"/>
    </xf>
    <xf numFmtId="0" fontId="32" fillId="17" borderId="0" applyNumberFormat="0" applyFont="0" applyBorder="0" applyAlignment="0" applyProtection="0"/>
    <xf numFmtId="169" fontId="23" fillId="0" borderId="0" applyNumberFormat="0"/>
    <xf numFmtId="232" fontId="21" fillId="0" borderId="0" applyFont="0" applyFill="0" applyBorder="0" applyAlignment="0"/>
    <xf numFmtId="185" fontId="48" fillId="0" borderId="0" applyFont="0" applyFill="0" applyBorder="0" applyAlignment="0" applyProtection="0">
      <alignment horizontal="right"/>
    </xf>
    <xf numFmtId="233" fontId="21" fillId="0" borderId="0" applyFont="0" applyFill="0" applyBorder="0" applyProtection="0">
      <alignment horizontal="left"/>
      <protection locked="0"/>
    </xf>
    <xf numFmtId="234" fontId="21" fillId="0" borderId="0" applyFont="0" applyFill="0" applyBorder="0" applyProtection="0">
      <alignment horizontal="left"/>
      <protection locked="0"/>
    </xf>
    <xf numFmtId="0" fontId="66" fillId="0" borderId="0"/>
    <xf numFmtId="0" fontId="66" fillId="0" borderId="0"/>
    <xf numFmtId="0" fontId="66" fillId="0" borderId="0"/>
    <xf numFmtId="235" fontId="5" fillId="0" borderId="0" applyFont="0" applyFill="0" applyBorder="0" applyAlignment="0" applyProtection="0"/>
    <xf numFmtId="236" fontId="21" fillId="11" borderId="0">
      <alignment horizontal="right"/>
    </xf>
    <xf numFmtId="0" fontId="67" fillId="0" borderId="0"/>
    <xf numFmtId="3" fontId="68" fillId="0" borderId="0" applyNumberFormat="0" applyFont="0" applyFill="0" applyBorder="0" applyAlignment="0" applyProtection="0">
      <alignment horizontal="left"/>
    </xf>
    <xf numFmtId="0" fontId="69" fillId="18" borderId="0"/>
    <xf numFmtId="2" fontId="59" fillId="0" borderId="0" applyFont="0" applyFill="0" applyBorder="0" applyAlignment="0" applyProtection="0"/>
    <xf numFmtId="0" fontId="5" fillId="10" borderId="0" applyFont="0" applyFill="0" applyBorder="0" applyAlignment="0"/>
    <xf numFmtId="0" fontId="32" fillId="0" borderId="0"/>
    <xf numFmtId="0" fontId="70" fillId="0" borderId="0" applyNumberFormat="0" applyFill="0" applyBorder="0" applyAlignment="0" applyProtection="0">
      <alignment vertical="top"/>
      <protection locked="0"/>
    </xf>
    <xf numFmtId="0" fontId="5" fillId="0" borderId="0">
      <alignment horizontal="left"/>
    </xf>
    <xf numFmtId="0" fontId="5" fillId="0" borderId="0">
      <alignment horizontal="left"/>
    </xf>
    <xf numFmtId="0" fontId="5" fillId="0" borderId="0" applyFill="0" applyBorder="0" applyProtection="0">
      <alignment horizontal="left"/>
    </xf>
    <xf numFmtId="0" fontId="5" fillId="0" borderId="0">
      <alignment horizontal="left"/>
    </xf>
    <xf numFmtId="0" fontId="5" fillId="0" borderId="0">
      <alignment horizontal="left"/>
    </xf>
    <xf numFmtId="0" fontId="32" fillId="0" borderId="0"/>
    <xf numFmtId="237" fontId="48" fillId="0" borderId="0" applyFill="0" applyBorder="0" applyAlignment="0" applyProtection="0">
      <protection locked="0"/>
    </xf>
    <xf numFmtId="38" fontId="32" fillId="19" borderId="0" applyNumberFormat="0" applyFont="0" applyBorder="0" applyAlignment="0">
      <protection hidden="1"/>
    </xf>
    <xf numFmtId="238" fontId="71" fillId="0" borderId="0" applyFill="0" applyBorder="0" applyAlignment="0" applyProtection="0"/>
    <xf numFmtId="238" fontId="72" fillId="0" borderId="0" applyAlignment="0">
      <alignment horizontal="left"/>
      <protection locked="0"/>
    </xf>
    <xf numFmtId="0" fontId="21" fillId="0" borderId="0"/>
    <xf numFmtId="0" fontId="21" fillId="0" borderId="0"/>
    <xf numFmtId="0" fontId="21" fillId="0" borderId="0"/>
    <xf numFmtId="0" fontId="21" fillId="0" borderId="0"/>
    <xf numFmtId="0" fontId="21" fillId="0" borderId="0"/>
    <xf numFmtId="0" fontId="30" fillId="20" borderId="0" applyNumberFormat="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horizontal="left" vertical="center"/>
    </xf>
    <xf numFmtId="0" fontId="36" fillId="0" borderId="0" applyNumberFormat="0" applyFill="0" applyBorder="0" applyAlignment="0" applyProtection="0">
      <alignment vertical="center"/>
    </xf>
    <xf numFmtId="0" fontId="21" fillId="0" borderId="0"/>
    <xf numFmtId="239" fontId="73" fillId="0" borderId="0" applyNumberFormat="0" applyFill="0" applyBorder="0" applyAlignment="0" applyProtection="0"/>
    <xf numFmtId="2" fontId="22" fillId="21" borderId="0"/>
    <xf numFmtId="240" fontId="61" fillId="10" borderId="21" applyNumberFormat="0" applyFont="0" applyAlignment="0"/>
    <xf numFmtId="0" fontId="18" fillId="0" borderId="0" applyFont="0" applyFill="0" applyBorder="0" applyAlignment="0" applyProtection="0">
      <alignment horizontal="right"/>
    </xf>
    <xf numFmtId="0" fontId="5" fillId="1" borderId="0" applyNumberFormat="0" applyBorder="0" applyProtection="0">
      <alignment horizontal="left" vertical="center"/>
    </xf>
    <xf numFmtId="0" fontId="5" fillId="0" borderId="0" applyProtection="0">
      <alignment horizontal="right"/>
    </xf>
    <xf numFmtId="0" fontId="5" fillId="0" borderId="0">
      <alignment horizontal="left"/>
    </xf>
    <xf numFmtId="0" fontId="74" fillId="22" borderId="0">
      <alignment horizontal="left"/>
    </xf>
    <xf numFmtId="0" fontId="5" fillId="9" borderId="0"/>
    <xf numFmtId="0" fontId="5" fillId="0" borderId="0">
      <alignment horizontal="left"/>
    </xf>
    <xf numFmtId="0" fontId="5" fillId="0" borderId="6">
      <alignment horizontal="left" vertical="top"/>
    </xf>
    <xf numFmtId="0" fontId="5" fillId="0" borderId="0" applyProtection="0">
      <alignment horizontal="left"/>
    </xf>
    <xf numFmtId="0" fontId="5" fillId="0" borderId="0">
      <alignment horizontal="left"/>
    </xf>
    <xf numFmtId="0" fontId="5" fillId="0" borderId="6">
      <alignment horizontal="left" vertical="top"/>
    </xf>
    <xf numFmtId="0" fontId="5" fillId="0" borderId="0" applyProtection="0">
      <alignment horizontal="left"/>
    </xf>
    <xf numFmtId="0" fontId="5" fillId="0" borderId="0">
      <alignment horizontal="left"/>
    </xf>
    <xf numFmtId="0" fontId="75" fillId="0" borderId="0"/>
    <xf numFmtId="0" fontId="76" fillId="0" borderId="0">
      <alignment wrapText="1"/>
    </xf>
    <xf numFmtId="0" fontId="33" fillId="4" borderId="0" applyNumberFormat="0" applyFont="0" applyBorder="0" applyAlignment="0" applyProtection="0">
      <alignment vertical="center"/>
    </xf>
    <xf numFmtId="241" fontId="77" fillId="0" borderId="0" applyNumberFormat="0" applyFill="0" applyBorder="0" applyAlignment="0"/>
    <xf numFmtId="0" fontId="78" fillId="0" borderId="0" applyNumberFormat="0" applyFill="0" applyBorder="0" applyAlignment="0" applyProtection="0">
      <alignment vertical="top"/>
      <protection locked="0"/>
    </xf>
    <xf numFmtId="237" fontId="48" fillId="0" borderId="0" applyFill="0" applyBorder="0" applyAlignment="0" applyProtection="0">
      <alignment horizontal="right"/>
      <protection locked="0"/>
    </xf>
    <xf numFmtId="0" fontId="18" fillId="0" borderId="0" applyNumberFormat="0" applyFill="0" applyBorder="0" applyAlignment="0" applyProtection="0"/>
    <xf numFmtId="16" fontId="5" fillId="0" borderId="0" applyNumberFormat="0" applyFill="0" applyBorder="0" applyAlignment="0" applyProtection="0">
      <alignment horizontal="right"/>
    </xf>
    <xf numFmtId="10" fontId="32" fillId="10" borderId="21" applyNumberFormat="0" applyBorder="0" applyAlignment="0" applyProtection="0"/>
    <xf numFmtId="0" fontId="33" fillId="0" borderId="30" applyNumberFormat="0" applyAlignment="0">
      <alignment vertical="center"/>
    </xf>
    <xf numFmtId="212" fontId="79" fillId="23" borderId="0"/>
    <xf numFmtId="185" fontId="32" fillId="0" borderId="0"/>
    <xf numFmtId="0" fontId="33" fillId="0" borderId="31" applyNumberFormat="0" applyAlignment="0">
      <alignment vertical="center"/>
      <protection locked="0"/>
    </xf>
    <xf numFmtId="229" fontId="5" fillId="10" borderId="0" applyFont="0" applyBorder="0" applyAlignment="0" applyProtection="0">
      <protection locked="0"/>
    </xf>
    <xf numFmtId="192" fontId="33" fillId="24" borderId="31" applyNumberFormat="0" applyAlignment="0">
      <alignment vertical="center"/>
      <protection locked="0"/>
    </xf>
    <xf numFmtId="0" fontId="32" fillId="10" borderId="0" applyFont="0" applyBorder="0" applyAlignment="0">
      <protection locked="0"/>
    </xf>
    <xf numFmtId="0" fontId="33" fillId="20" borderId="0" applyNumberFormat="0" applyAlignment="0">
      <alignment vertical="center"/>
    </xf>
    <xf numFmtId="0" fontId="33" fillId="25" borderId="0" applyNumberFormat="0" applyAlignment="0">
      <alignment vertical="center"/>
    </xf>
    <xf numFmtId="0" fontId="22" fillId="0" borderId="0" applyNumberFormat="0" applyFill="0" applyBorder="0" applyAlignment="0" applyProtection="0"/>
    <xf numFmtId="237" fontId="32" fillId="10" borderId="0">
      <protection locked="0"/>
    </xf>
    <xf numFmtId="0" fontId="33" fillId="0" borderId="32" applyNumberFormat="0" applyAlignment="0">
      <alignment vertical="center"/>
      <protection locked="0"/>
    </xf>
    <xf numFmtId="242" fontId="5" fillId="10" borderId="0" applyFont="0" applyBorder="0" applyAlignment="0">
      <protection locked="0"/>
    </xf>
    <xf numFmtId="10" fontId="32" fillId="10" borderId="0">
      <protection locked="0"/>
    </xf>
    <xf numFmtId="0" fontId="32" fillId="10" borderId="0" applyFont="0" applyBorder="0" applyAlignment="0">
      <protection locked="0"/>
    </xf>
    <xf numFmtId="237" fontId="80" fillId="10" borderId="0" applyNumberFormat="0" applyBorder="0" applyAlignment="0">
      <protection locked="0"/>
    </xf>
    <xf numFmtId="10" fontId="5" fillId="0" borderId="0">
      <protection locked="0"/>
    </xf>
    <xf numFmtId="0" fontId="5" fillId="10" borderId="21"/>
    <xf numFmtId="0" fontId="5" fillId="10" borderId="21"/>
    <xf numFmtId="0" fontId="23" fillId="0" borderId="0" applyNumberFormat="0" applyFill="0" applyBorder="0" applyAlignment="0">
      <protection locked="0"/>
    </xf>
    <xf numFmtId="15" fontId="5" fillId="0" borderId="0">
      <protection locked="0"/>
    </xf>
    <xf numFmtId="2" fontId="5" fillId="0" borderId="24">
      <protection locked="0"/>
    </xf>
    <xf numFmtId="0" fontId="5" fillId="0" borderId="0">
      <protection locked="0"/>
    </xf>
    <xf numFmtId="0" fontId="16" fillId="0" borderId="0" applyFill="0" applyBorder="0">
      <alignment horizontal="right"/>
      <protection locked="0"/>
    </xf>
    <xf numFmtId="189" fontId="16" fillId="0" borderId="0" applyFill="0" applyBorder="0">
      <alignment horizontal="right"/>
      <protection locked="0"/>
    </xf>
    <xf numFmtId="0" fontId="18" fillId="26" borderId="0" applyBorder="0"/>
    <xf numFmtId="0" fontId="24" fillId="27" borderId="33">
      <alignment horizontal="left" vertical="center" wrapText="1"/>
    </xf>
    <xf numFmtId="4" fontId="22" fillId="21" borderId="0"/>
    <xf numFmtId="1" fontId="81" fillId="1" borderId="34">
      <protection locked="0"/>
    </xf>
    <xf numFmtId="172" fontId="57" fillId="0" borderId="2" applyNumberFormat="0" applyFill="0">
      <alignment vertical="center"/>
    </xf>
    <xf numFmtId="1" fontId="82" fillId="0" borderId="0" applyNumberFormat="0" applyFill="0" applyBorder="0" applyAlignment="0" applyProtection="0">
      <alignment horizontal="right"/>
    </xf>
    <xf numFmtId="212" fontId="5" fillId="28" borderId="0"/>
    <xf numFmtId="212" fontId="83" fillId="0" borderId="0" applyNumberFormat="0" applyFont="0" applyFill="0" applyBorder="0" applyAlignment="0">
      <protection hidden="1"/>
    </xf>
    <xf numFmtId="0" fontId="84" fillId="0" borderId="0" applyNumberFormat="0" applyFill="0" applyBorder="0" applyProtection="0">
      <alignment horizontal="left" vertical="center"/>
    </xf>
    <xf numFmtId="0" fontId="85" fillId="0" borderId="0"/>
    <xf numFmtId="0" fontId="18" fillId="26" borderId="0" applyBorder="0" applyAlignment="0">
      <alignment horizontal="right"/>
    </xf>
    <xf numFmtId="243" fontId="86" fillId="0" borderId="0" applyFill="0" applyBorder="0" applyAlignment="0" applyProtection="0"/>
    <xf numFmtId="0" fontId="69" fillId="0" borderId="0"/>
    <xf numFmtId="0" fontId="87" fillId="0" borderId="0"/>
    <xf numFmtId="0" fontId="88" fillId="0" borderId="0"/>
    <xf numFmtId="40" fontId="16" fillId="0" borderId="0" applyFont="0" applyFill="0" applyBorder="0" applyAlignment="0" applyProtection="0"/>
    <xf numFmtId="244" fontId="25" fillId="0" borderId="0" applyFont="0" applyFill="0" applyBorder="0" applyAlignment="0" applyProtection="0"/>
    <xf numFmtId="245" fontId="21" fillId="0" borderId="0" applyFont="0" applyFill="0" applyBorder="0" applyAlignment="0" applyProtection="0"/>
    <xf numFmtId="246" fontId="25" fillId="0" borderId="0" applyFont="0" applyFill="0" applyBorder="0" applyAlignment="0" applyProtection="0"/>
    <xf numFmtId="169" fontId="5" fillId="0" borderId="0"/>
    <xf numFmtId="0" fontId="5" fillId="0" borderId="12"/>
    <xf numFmtId="247" fontId="25" fillId="0" borderId="0" applyFont="0" applyFill="0" applyBorder="0" applyAlignment="0" applyProtection="0"/>
    <xf numFmtId="248" fontId="5" fillId="0" borderId="0" applyFont="0" applyFill="0" applyBorder="0" applyAlignment="0"/>
    <xf numFmtId="249" fontId="25" fillId="0" borderId="0" applyFont="0" applyFill="0" applyBorder="0" applyAlignment="0" applyProtection="0"/>
    <xf numFmtId="0" fontId="18" fillId="0" borderId="0" applyFont="0" applyFill="0" applyBorder="0" applyAlignment="0" applyProtection="0">
      <alignment horizontal="right"/>
    </xf>
    <xf numFmtId="175" fontId="5" fillId="19" borderId="0" applyFont="0" applyBorder="0" applyAlignment="0" applyProtection="0">
      <alignment horizontal="right"/>
      <protection hidden="1"/>
    </xf>
    <xf numFmtId="0" fontId="31" fillId="0" borderId="0" applyNumberFormat="0" applyAlignment="0">
      <alignment vertical="center"/>
    </xf>
    <xf numFmtId="0" fontId="5" fillId="0" borderId="35" applyBorder="0" applyAlignment="0" applyProtection="0">
      <alignment horizontal="center"/>
    </xf>
    <xf numFmtId="37" fontId="89" fillId="0" borderId="0"/>
    <xf numFmtId="0" fontId="5" fillId="0" borderId="0"/>
    <xf numFmtId="1" fontId="90" fillId="0" borderId="0" applyFill="0" applyBorder="0"/>
    <xf numFmtId="38" fontId="32" fillId="0" borderId="0" applyFont="0" applyFill="0" applyBorder="0" applyAlignment="0"/>
    <xf numFmtId="237" fontId="5" fillId="0" borderId="0" applyFont="0" applyFill="0" applyBorder="0" applyAlignment="0"/>
    <xf numFmtId="40" fontId="32" fillId="0" borderId="0" applyFont="0" applyFill="0" applyBorder="0" applyAlignment="0"/>
    <xf numFmtId="250" fontId="5" fillId="0" borderId="0" applyFont="0" applyFill="0" applyBorder="0" applyAlignment="0"/>
    <xf numFmtId="0" fontId="5" fillId="0" borderId="0"/>
    <xf numFmtId="237" fontId="61" fillId="0" borderId="0" applyNumberFormat="0" applyFill="0" applyBorder="0" applyAlignment="0" applyProtection="0"/>
    <xf numFmtId="0" fontId="32" fillId="0" borderId="0" applyFont="0" applyFill="0" applyBorder="0" applyAlignment="0" applyProtection="0"/>
    <xf numFmtId="239" fontId="21" fillId="0" borderId="0" applyFill="0" applyBorder="0" applyAlignment="0" applyProtection="0"/>
    <xf numFmtId="0" fontId="5" fillId="0" borderId="0"/>
    <xf numFmtId="167" fontId="5" fillId="0" borderId="0"/>
    <xf numFmtId="37" fontId="91" fillId="0" borderId="0" applyNumberFormat="0" applyFont="0" applyFill="0" applyBorder="0" applyAlignment="0" applyProtection="0"/>
    <xf numFmtId="0" fontId="32" fillId="0" borderId="0" applyNumberFormat="0" applyFill="0" applyBorder="0" applyAlignment="0" applyProtection="0">
      <alignment vertical="center"/>
    </xf>
    <xf numFmtId="0" fontId="92" fillId="0" borderId="24"/>
    <xf numFmtId="251" fontId="5" fillId="0" borderId="0" applyFont="0" applyFill="0" applyBorder="0" applyAlignment="0" applyProtection="0"/>
    <xf numFmtId="192" fontId="33" fillId="0" borderId="0" applyFont="0" applyFill="0" applyBorder="0" applyAlignment="0" applyProtection="0">
      <alignment vertical="center"/>
    </xf>
    <xf numFmtId="193" fontId="33" fillId="0" borderId="0" applyFont="0" applyFill="0" applyBorder="0" applyAlignment="0" applyProtection="0">
      <alignment vertical="center"/>
    </xf>
    <xf numFmtId="38" fontId="21" fillId="0" borderId="7" applyFont="0" applyFill="0" applyBorder="0" applyAlignment="0" applyProtection="0"/>
    <xf numFmtId="211" fontId="5"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252" fontId="93" fillId="29" borderId="6" applyFont="0" applyBorder="0"/>
    <xf numFmtId="175" fontId="94" fillId="0" borderId="0"/>
    <xf numFmtId="0" fontId="5" fillId="0" borderId="21">
      <alignment vertical="center" wrapText="1"/>
    </xf>
    <xf numFmtId="0" fontId="18" fillId="0" borderId="0" applyNumberFormat="0" applyFill="0" applyBorder="0" applyAlignment="0" applyProtection="0"/>
    <xf numFmtId="1" fontId="5" fillId="0" borderId="0" applyProtection="0">
      <alignment horizontal="right" vertical="center"/>
    </xf>
    <xf numFmtId="0" fontId="88" fillId="0" borderId="0"/>
    <xf numFmtId="0" fontId="29" fillId="0" borderId="36" applyNumberFormat="0" applyAlignment="0" applyProtection="0"/>
    <xf numFmtId="0" fontId="21" fillId="20" borderId="0" applyNumberFormat="0" applyFont="0" applyBorder="0" applyAlignment="0" applyProtection="0"/>
    <xf numFmtId="0" fontId="32" fillId="15" borderId="24" applyNumberFormat="0" applyFont="0" applyBorder="0" applyAlignment="0" applyProtection="0">
      <alignment horizontal="center"/>
    </xf>
    <xf numFmtId="0" fontId="32" fillId="30" borderId="24" applyNumberFormat="0" applyFont="0" applyBorder="0" applyAlignment="0" applyProtection="0">
      <alignment horizontal="center"/>
    </xf>
    <xf numFmtId="0" fontId="21" fillId="0" borderId="37" applyNumberFormat="0" applyAlignment="0" applyProtection="0"/>
    <xf numFmtId="0" fontId="21" fillId="0" borderId="38" applyNumberFormat="0" applyAlignment="0" applyProtection="0"/>
    <xf numFmtId="0" fontId="29" fillId="0" borderId="39" applyNumberFormat="0" applyAlignment="0" applyProtection="0"/>
    <xf numFmtId="0" fontId="5" fillId="0" borderId="2">
      <alignment vertical="center"/>
    </xf>
    <xf numFmtId="0" fontId="32" fillId="0" borderId="0"/>
    <xf numFmtId="169" fontId="95" fillId="0" borderId="0" applyFill="0" applyBorder="0" applyProtection="0">
      <alignment vertical="top"/>
    </xf>
    <xf numFmtId="14" fontId="48" fillId="0" borderId="0">
      <alignment horizontal="center" wrapText="1"/>
      <protection locked="0"/>
    </xf>
    <xf numFmtId="0" fontId="16" fillId="0" borderId="0" applyFont="0" applyFill="0" applyBorder="0" applyAlignment="0" applyProtection="0"/>
    <xf numFmtId="169" fontId="45" fillId="0" borderId="0" applyFont="0" applyFill="0" applyBorder="0" applyAlignment="0" applyProtection="0"/>
    <xf numFmtId="10" fontId="45" fillId="0" borderId="0" applyFont="0" applyFill="0" applyBorder="0" applyAlignment="0" applyProtection="0"/>
    <xf numFmtId="0" fontId="5" fillId="0" borderId="0" applyFont="0" applyFill="0" applyBorder="0" applyAlignment="0"/>
    <xf numFmtId="242" fontId="5" fillId="0" borderId="0" applyFont="0" applyFill="0" applyBorder="0" applyAlignment="0"/>
    <xf numFmtId="253" fontId="5" fillId="17" borderId="0" applyFont="0" applyFill="0" applyBorder="0" applyAlignment="0" applyProtection="0"/>
    <xf numFmtId="9" fontId="21" fillId="0" borderId="0"/>
    <xf numFmtId="10" fontId="21" fillId="0" borderId="0"/>
    <xf numFmtId="9" fontId="21" fillId="0" borderId="0"/>
    <xf numFmtId="9" fontId="6" fillId="0" borderId="0" applyFont="0" applyFill="0" applyBorder="0" applyAlignment="0" applyProtection="0"/>
    <xf numFmtId="194" fontId="33" fillId="0" borderId="0" applyFont="0" applyFill="0" applyBorder="0" applyAlignment="0" applyProtection="0">
      <alignment horizontal="right" vertical="center"/>
    </xf>
    <xf numFmtId="195" fontId="33" fillId="0" borderId="0" applyFont="0" applyFill="0" applyBorder="0" applyAlignment="0" applyProtection="0">
      <alignment vertical="center"/>
    </xf>
    <xf numFmtId="254" fontId="21" fillId="0" borderId="0" applyFont="0" applyFill="0" applyBorder="0" applyAlignment="0" applyProtection="0"/>
    <xf numFmtId="190" fontId="16" fillId="0" borderId="0" applyFill="0" applyBorder="0">
      <alignment horizontal="right"/>
      <protection locked="0"/>
    </xf>
    <xf numFmtId="238" fontId="48" fillId="0" borderId="0" applyFont="0" applyFill="0" applyBorder="0" applyAlignment="0" applyProtection="0"/>
    <xf numFmtId="218" fontId="5" fillId="0" borderId="0" applyFont="0" applyFill="0" applyBorder="0" applyAlignment="0" applyProtection="0"/>
    <xf numFmtId="185" fontId="48" fillId="0" borderId="0" applyFont="0" applyFill="0" applyBorder="0" applyAlignment="0" applyProtection="0"/>
    <xf numFmtId="237" fontId="48" fillId="0" borderId="0" applyFont="0" applyFill="0" applyBorder="0" applyAlignment="0" applyProtection="0">
      <protection locked="0"/>
    </xf>
    <xf numFmtId="243" fontId="92" fillId="0" borderId="0" applyFill="0" applyBorder="0" applyAlignment="0" applyProtection="0"/>
    <xf numFmtId="255" fontId="5" fillId="0" borderId="0" applyFont="0" applyFill="0" applyBorder="0" applyAlignment="0"/>
    <xf numFmtId="9" fontId="25" fillId="0" borderId="0" applyFont="0" applyFill="0" applyBorder="0" applyAlignment="0" applyProtection="0"/>
    <xf numFmtId="237" fontId="48" fillId="0" borderId="0" applyFill="0" applyBorder="0" applyAlignment="0" applyProtection="0"/>
    <xf numFmtId="38" fontId="48" fillId="0" borderId="0" applyFont="0" applyFill="0" applyBorder="0" applyAlignment="0" applyProtection="0"/>
    <xf numFmtId="185" fontId="96" fillId="0" borderId="40">
      <alignment horizontal="right"/>
    </xf>
    <xf numFmtId="0" fontId="5" fillId="0" borderId="0">
      <alignment horizontal="right"/>
    </xf>
    <xf numFmtId="0" fontId="5" fillId="0" borderId="0"/>
    <xf numFmtId="256" fontId="5" fillId="0" borderId="0"/>
    <xf numFmtId="257" fontId="97" fillId="0" borderId="0"/>
    <xf numFmtId="256" fontId="5" fillId="0" borderId="0"/>
    <xf numFmtId="257" fontId="97" fillId="0" borderId="0"/>
    <xf numFmtId="257" fontId="97" fillId="0" borderId="0"/>
    <xf numFmtId="256" fontId="5" fillId="0" borderId="0"/>
    <xf numFmtId="257" fontId="97" fillId="0" borderId="0"/>
    <xf numFmtId="257" fontId="97" fillId="0" borderId="0"/>
    <xf numFmtId="257" fontId="97" fillId="0" borderId="0"/>
    <xf numFmtId="256" fontId="5" fillId="0" borderId="0"/>
    <xf numFmtId="257" fontId="97" fillId="0" borderId="0"/>
    <xf numFmtId="257" fontId="97" fillId="0" borderId="0"/>
    <xf numFmtId="256" fontId="5" fillId="0" borderId="0"/>
    <xf numFmtId="257" fontId="97" fillId="0" borderId="0"/>
    <xf numFmtId="257" fontId="97" fillId="0" borderId="0"/>
    <xf numFmtId="0" fontId="5" fillId="0" borderId="0"/>
    <xf numFmtId="0" fontId="5" fillId="0" borderId="0"/>
    <xf numFmtId="0" fontId="5" fillId="0" borderId="0"/>
    <xf numFmtId="191" fontId="16" fillId="0" borderId="0">
      <alignment horizontal="right"/>
      <protection locked="0"/>
    </xf>
    <xf numFmtId="237" fontId="41" fillId="0" borderId="0" applyNumberFormat="0" applyFill="0" applyBorder="0" applyAlignment="0" applyProtection="0">
      <alignment horizontal="left"/>
    </xf>
    <xf numFmtId="237" fontId="62" fillId="0" borderId="0" applyFont="0" applyFill="0" applyBorder="0" applyAlignment="0" applyProtection="0"/>
    <xf numFmtId="0" fontId="98" fillId="0" borderId="0" applyNumberFormat="0" applyFill="0" applyBorder="0" applyProtection="0">
      <alignment horizontal="right" vertical="center"/>
    </xf>
    <xf numFmtId="0" fontId="5" fillId="0" borderId="0">
      <alignment horizontal="right"/>
    </xf>
    <xf numFmtId="0" fontId="5" fillId="0" borderId="0">
      <alignment horizontal="right"/>
    </xf>
    <xf numFmtId="0" fontId="5" fillId="0" borderId="0" applyFill="0" applyBorder="0" applyProtection="0">
      <alignment horizontal="right"/>
    </xf>
    <xf numFmtId="0" fontId="5" fillId="0" borderId="0">
      <alignment horizontal="right"/>
    </xf>
    <xf numFmtId="0" fontId="21" fillId="0" borderId="41" applyNumberFormat="0" applyFont="0" applyFill="0" applyAlignment="0" applyProtection="0"/>
    <xf numFmtId="0" fontId="29" fillId="14" borderId="42" applyNumberFormat="0" applyBorder="0" applyProtection="0">
      <alignment horizontal="left" wrapText="1"/>
    </xf>
    <xf numFmtId="0" fontId="29" fillId="14" borderId="0" applyNumberFormat="0" applyBorder="0" applyProtection="0">
      <alignment horizontal="left"/>
    </xf>
    <xf numFmtId="0" fontId="99" fillId="8" borderId="0" applyFont="0" applyFill="0" applyAlignment="0"/>
    <xf numFmtId="0" fontId="36" fillId="0" borderId="0" applyNumberFormat="0" applyFill="0" applyBorder="0">
      <alignment horizontal="left" vertical="center" wrapText="1"/>
    </xf>
    <xf numFmtId="0" fontId="33" fillId="0" borderId="0" applyNumberFormat="0" applyFill="0" applyBorder="0">
      <alignment horizontal="left" vertical="center" wrapText="1" indent="1"/>
    </xf>
    <xf numFmtId="0" fontId="32" fillId="0" borderId="0" applyNumberFormat="0" applyFont="0" applyFill="0" applyBorder="0" applyAlignment="0" applyProtection="0"/>
    <xf numFmtId="0" fontId="100" fillId="8" borderId="0" applyNumberFormat="0" applyFont="0" applyFill="0" applyBorder="0" applyAlignment="0" applyProtection="0"/>
    <xf numFmtId="0" fontId="100" fillId="8" borderId="0" applyNumberFormat="0" applyFont="0" applyFill="0" applyBorder="0" applyAlignment="0" applyProtection="0"/>
    <xf numFmtId="0" fontId="100" fillId="8" borderId="0" applyNumberFormat="0" applyFont="0" applyFill="0" applyBorder="0" applyAlignment="0" applyProtection="0"/>
    <xf numFmtId="0" fontId="21" fillId="0" borderId="43" applyNumberFormat="0" applyFont="0" applyFill="0" applyAlignment="0" applyProtection="0"/>
    <xf numFmtId="170" fontId="101" fillId="0" borderId="6" applyNumberFormat="0" applyFill="0" applyBorder="0">
      <protection locked="0"/>
    </xf>
    <xf numFmtId="0" fontId="5" fillId="0" borderId="44">
      <alignment vertical="center"/>
    </xf>
    <xf numFmtId="0" fontId="26" fillId="0" borderId="0" applyFill="0" applyBorder="0">
      <alignment horizontal="right"/>
      <protection hidden="1"/>
    </xf>
    <xf numFmtId="0" fontId="102" fillId="0" borderId="0" applyNumberFormat="0" applyFill="0" applyBorder="0" applyProtection="0">
      <alignment horizontal="left" vertical="center"/>
    </xf>
    <xf numFmtId="0" fontId="27" fillId="16" borderId="21">
      <alignment horizontal="center" vertical="center" wrapText="1"/>
      <protection hidden="1"/>
    </xf>
    <xf numFmtId="223" fontId="48" fillId="0" borderId="0" applyFill="0" applyBorder="0" applyAlignment="0" applyProtection="0">
      <protection locked="0"/>
    </xf>
    <xf numFmtId="0" fontId="55" fillId="0" borderId="0" applyFill="0" applyBorder="0" applyAlignment="0" applyProtection="0"/>
    <xf numFmtId="40" fontId="21" fillId="0" borderId="0" applyFont="0" applyFill="0" applyBorder="0" applyAlignment="0" applyProtection="0"/>
    <xf numFmtId="258" fontId="21" fillId="0" borderId="0" applyFont="0" applyFill="0" applyBorder="0" applyAlignment="0" applyProtection="0"/>
    <xf numFmtId="172" fontId="57" fillId="0" borderId="0" applyNumberFormat="0" applyFill="0" applyBorder="0" applyAlignment="0"/>
    <xf numFmtId="0" fontId="16" fillId="0" borderId="0"/>
    <xf numFmtId="0" fontId="21" fillId="0" borderId="0" applyFont="0" applyFill="0" applyBorder="0" applyAlignment="0" applyProtection="0"/>
    <xf numFmtId="0" fontId="32" fillId="20" borderId="0" applyNumberFormat="0" applyFont="0" applyBorder="0" applyAlignment="0">
      <protection hidden="1"/>
    </xf>
    <xf numFmtId="0" fontId="45" fillId="0" borderId="0"/>
    <xf numFmtId="0" fontId="6" fillId="0" borderId="0"/>
    <xf numFmtId="0" fontId="103" fillId="0" borderId="0" applyNumberFormat="0" applyFill="0" applyBorder="0" applyProtection="0">
      <alignment horizontal="left" vertical="center"/>
    </xf>
    <xf numFmtId="192" fontId="36" fillId="0" borderId="45" applyNumberFormat="0" applyFill="0" applyAlignment="0" applyProtection="0">
      <alignment vertical="center"/>
    </xf>
    <xf numFmtId="0" fontId="48" fillId="0" borderId="0"/>
    <xf numFmtId="192" fontId="33" fillId="0" borderId="46" applyNumberFormat="0" applyFont="0" applyFill="0" applyAlignment="0" applyProtection="0">
      <alignment vertical="center"/>
    </xf>
    <xf numFmtId="0" fontId="5" fillId="0" borderId="0" applyBorder="0" applyProtection="0">
      <alignment vertical="center"/>
    </xf>
    <xf numFmtId="0" fontId="18" fillId="0" borderId="2" applyBorder="0" applyProtection="0">
      <alignment horizontal="right" vertical="center"/>
    </xf>
    <xf numFmtId="0" fontId="5" fillId="31" borderId="0" applyBorder="0" applyProtection="0">
      <alignment horizontal="centerContinuous" vertical="center"/>
    </xf>
    <xf numFmtId="0" fontId="5" fillId="12" borderId="2" applyBorder="0" applyProtection="0">
      <alignment horizontal="centerContinuous" vertical="center"/>
    </xf>
    <xf numFmtId="239" fontId="32" fillId="0" borderId="0">
      <alignment horizontal="right"/>
    </xf>
    <xf numFmtId="3" fontId="32" fillId="0" borderId="0">
      <alignment horizontal="right"/>
    </xf>
    <xf numFmtId="0" fontId="33" fillId="19" borderId="0" applyNumberFormat="0" applyFont="0" applyBorder="0" applyAlignment="0" applyProtection="0">
      <alignment vertical="center"/>
    </xf>
    <xf numFmtId="0" fontId="5" fillId="0" borderId="0">
      <alignment horizontal="left"/>
    </xf>
    <xf numFmtId="0" fontId="5" fillId="0" borderId="0"/>
    <xf numFmtId="0" fontId="5" fillId="0" borderId="0" applyFill="0" applyBorder="0" applyProtection="0">
      <alignment horizontal="left"/>
    </xf>
    <xf numFmtId="0" fontId="33" fillId="0" borderId="0" applyNumberFormat="0" applyFont="0" applyFill="0" applyAlignment="0" applyProtection="0">
      <alignment vertical="center"/>
    </xf>
    <xf numFmtId="0" fontId="5" fillId="0" borderId="6" applyFill="0" applyBorder="0" applyProtection="0">
      <alignment horizontal="left" vertical="top"/>
    </xf>
    <xf numFmtId="192" fontId="33" fillId="0" borderId="0" applyNumberFormat="0" applyFont="0" applyBorder="0" applyAlignment="0" applyProtection="0">
      <alignment vertical="center"/>
    </xf>
    <xf numFmtId="0" fontId="5" fillId="8" borderId="47" applyNumberFormat="0" applyAlignment="0" applyProtection="0">
      <alignment vertical="center"/>
    </xf>
    <xf numFmtId="0" fontId="48" fillId="0" borderId="0"/>
    <xf numFmtId="0" fontId="104" fillId="0" borderId="0">
      <alignment horizontal="centerContinuous"/>
    </xf>
    <xf numFmtId="0" fontId="5" fillId="25" borderId="0" applyNumberFormat="0" applyFont="0" applyBorder="0" applyAlignment="0" applyProtection="0"/>
    <xf numFmtId="49" fontId="18" fillId="0" borderId="2">
      <alignment vertical="center"/>
    </xf>
    <xf numFmtId="49" fontId="33" fillId="0" borderId="0" applyFont="0" applyFill="0" applyBorder="0" applyAlignment="0" applyProtection="0">
      <alignment horizontal="center" vertical="center"/>
    </xf>
    <xf numFmtId="0" fontId="5" fillId="0" borderId="0"/>
    <xf numFmtId="0" fontId="5" fillId="0" borderId="0"/>
    <xf numFmtId="0" fontId="5" fillId="0" borderId="0"/>
    <xf numFmtId="0" fontId="5" fillId="0" borderId="0"/>
    <xf numFmtId="0" fontId="5" fillId="0" borderId="0"/>
    <xf numFmtId="0" fontId="5" fillId="0" borderId="0"/>
    <xf numFmtId="259" fontId="5" fillId="0" borderId="0" applyFill="0" applyBorder="0" applyAlignment="0" applyProtection="0">
      <alignment horizontal="right"/>
    </xf>
    <xf numFmtId="1" fontId="62" fillId="0" borderId="1" applyFill="0" applyBorder="0" applyProtection="0">
      <alignment horizontal="right"/>
    </xf>
    <xf numFmtId="260" fontId="5" fillId="0" borderId="0"/>
    <xf numFmtId="0" fontId="21" fillId="0" borderId="0" applyNumberFormat="0" applyFill="0" applyBorder="0" applyAlignment="0" applyProtection="0"/>
    <xf numFmtId="0" fontId="60" fillId="0" borderId="0" applyNumberFormat="0" applyFill="0" applyBorder="0" applyAlignment="0" applyProtection="0"/>
    <xf numFmtId="261" fontId="97" fillId="0" borderId="0"/>
    <xf numFmtId="186" fontId="18" fillId="0" borderId="2" applyFill="0" applyAlignment="0" applyProtection="0"/>
    <xf numFmtId="0" fontId="29" fillId="14" borderId="12" applyNumberFormat="0" applyProtection="0">
      <alignment horizontal="left" vertical="center"/>
    </xf>
    <xf numFmtId="0" fontId="62" fillId="0" borderId="0" applyFill="0" applyBorder="0" applyProtection="0"/>
    <xf numFmtId="0" fontId="5" fillId="0" borderId="48"/>
    <xf numFmtId="237" fontId="105" fillId="0" borderId="49"/>
    <xf numFmtId="237" fontId="96" fillId="0" borderId="0" applyNumberFormat="0" applyFill="0" applyBorder="0" applyAlignment="0" applyProtection="0"/>
    <xf numFmtId="0" fontId="16" fillId="0" borderId="0" applyBorder="0"/>
    <xf numFmtId="170" fontId="47" fillId="0" borderId="0" applyNumberFormat="0" applyFill="0" applyBorder="0" applyAlignment="0"/>
    <xf numFmtId="0" fontId="5" fillId="0" borderId="0"/>
    <xf numFmtId="0" fontId="5" fillId="0" borderId="0"/>
    <xf numFmtId="0" fontId="5" fillId="0" borderId="0" applyNumberFormat="0" applyFont="0" applyFill="0" applyBorder="0" applyAlignment="0">
      <alignment horizontal="left" vertical="center"/>
    </xf>
    <xf numFmtId="212" fontId="5" fillId="0" borderId="4" applyNumberFormat="0" applyFont="0" applyFill="0" applyAlignment="0"/>
    <xf numFmtId="192" fontId="36" fillId="0" borderId="0" applyNumberFormat="0" applyFill="0" applyBorder="0" applyAlignment="0" applyProtection="0">
      <alignment vertical="center"/>
    </xf>
    <xf numFmtId="192" fontId="36" fillId="15" borderId="0" applyNumberFormat="0" applyAlignment="0" applyProtection="0">
      <alignment vertical="center"/>
    </xf>
    <xf numFmtId="250"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176" fontId="106" fillId="0" borderId="2" applyAlignment="0">
      <alignment horizontal="left"/>
      <protection locked="0"/>
    </xf>
    <xf numFmtId="0" fontId="33" fillId="0" borderId="0" applyNumberFormat="0" applyFont="0" applyBorder="0" applyAlignment="0" applyProtection="0">
      <alignment vertical="center"/>
    </xf>
    <xf numFmtId="0" fontId="5" fillId="0" borderId="0"/>
    <xf numFmtId="0" fontId="107" fillId="0" borderId="0"/>
    <xf numFmtId="0" fontId="33" fillId="0" borderId="0" applyNumberFormat="0" applyFont="0" applyAlignment="0" applyProtection="0">
      <alignment vertical="center"/>
    </xf>
    <xf numFmtId="262" fontId="5" fillId="0" borderId="0" applyNumberFormat="0"/>
    <xf numFmtId="0" fontId="108" fillId="0" borderId="0" applyNumberFormat="0" applyFont="0" applyFill="0" applyBorder="0" applyAlignment="0" applyProtection="0">
      <alignment horizontal="left"/>
    </xf>
    <xf numFmtId="0" fontId="42" fillId="0" borderId="0" applyNumberFormat="0" applyFill="0" applyBorder="0" applyAlignment="0" applyProtection="0"/>
    <xf numFmtId="1" fontId="48" fillId="0" borderId="0" applyFont="0" applyFill="0" applyBorder="0" applyAlignment="0" applyProtection="0"/>
    <xf numFmtId="0" fontId="21" fillId="14" borderId="0" applyNumberFormat="0" applyBorder="0" applyProtection="0">
      <alignment horizontal="left"/>
    </xf>
    <xf numFmtId="0" fontId="29" fillId="0" borderId="2">
      <alignment horizontal="right"/>
    </xf>
    <xf numFmtId="0" fontId="55" fillId="0" borderId="0" applyFont="0" applyFill="0" applyBorder="0" applyAlignment="0" applyProtection="0"/>
    <xf numFmtId="40" fontId="109" fillId="0" borderId="0" applyFont="0" applyFill="0" applyBorder="0" applyAlignment="0" applyProtection="0"/>
    <xf numFmtId="38" fontId="109" fillId="0" borderId="0" applyFont="0" applyFill="0" applyBorder="0" applyAlignment="0" applyProtection="0"/>
    <xf numFmtId="0" fontId="109" fillId="0" borderId="0" applyFont="0" applyFill="0" applyBorder="0" applyAlignment="0" applyProtection="0"/>
    <xf numFmtId="0" fontId="109" fillId="0" borderId="0" applyFont="0" applyFill="0" applyBorder="0" applyAlignment="0" applyProtection="0"/>
    <xf numFmtId="0" fontId="110" fillId="0" borderId="0"/>
    <xf numFmtId="0" fontId="111" fillId="0" borderId="0" applyFont="0" applyFill="0" applyBorder="0" applyAlignment="0" applyProtection="0"/>
    <xf numFmtId="0" fontId="111" fillId="0" borderId="0" applyFont="0" applyFill="0" applyBorder="0" applyAlignment="0" applyProtection="0"/>
    <xf numFmtId="263" fontId="5" fillId="0" borderId="0" applyFont="0" applyFill="0" applyBorder="0" applyAlignment="0" applyProtection="0"/>
    <xf numFmtId="0" fontId="111" fillId="0" borderId="0" applyFont="0" applyFill="0" applyBorder="0" applyAlignment="0" applyProtection="0"/>
    <xf numFmtId="0" fontId="112" fillId="0" borderId="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2" fillId="0" borderId="0" applyNumberFormat="0" applyFill="0" applyBorder="0" applyAlignment="0" applyProtection="0"/>
    <xf numFmtId="0" fontId="189" fillId="0" borderId="0" applyNumberFormat="0" applyFill="0" applyBorder="0" applyAlignment="0" applyProtection="0"/>
    <xf numFmtId="285" fontId="131" fillId="0" borderId="0">
      <alignment horizontal="right"/>
    </xf>
    <xf numFmtId="0" fontId="43" fillId="0" borderId="0" applyNumberFormat="0" applyFont="0" applyFill="0" applyBorder="0" applyAlignment="0" applyProtection="0"/>
    <xf numFmtId="0" fontId="5" fillId="0" borderId="0"/>
    <xf numFmtId="0" fontId="5" fillId="0" borderId="0"/>
    <xf numFmtId="0" fontId="43" fillId="0" borderId="0" applyNumberFormat="0" applyFont="0" applyFill="0" applyBorder="0" applyAlignment="0" applyProtection="0"/>
    <xf numFmtId="0" fontId="43" fillId="0" borderId="0" applyNumberFormat="0" applyFont="0" applyFill="0" applyBorder="0" applyAlignment="0" applyProtection="0"/>
    <xf numFmtId="0" fontId="5" fillId="0" borderId="0"/>
    <xf numFmtId="0" fontId="43" fillId="0" borderId="0" applyNumberFormat="0" applyFont="0" applyFill="0" applyBorder="0" applyAlignment="0" applyProtection="0"/>
    <xf numFmtId="0" fontId="5" fillId="0" borderId="0" applyNumberFormat="0" applyFont="0" applyFill="0" applyBorder="0" applyAlignment="0" applyProtection="0"/>
    <xf numFmtId="0" fontId="5" fillId="0" borderId="0"/>
    <xf numFmtId="3" fontId="33" fillId="0" borderId="0"/>
    <xf numFmtId="284" fontId="5" fillId="0" borderId="0">
      <alignment horizontal="left" wrapText="1"/>
    </xf>
    <xf numFmtId="0" fontId="132" fillId="0" borderId="0">
      <alignment vertical="center"/>
    </xf>
    <xf numFmtId="286" fontId="133" fillId="10" borderId="0" applyNumberFormat="0" applyFont="0" applyBorder="0" applyAlignment="0">
      <protection locked="0"/>
    </xf>
    <xf numFmtId="284" fontId="5" fillId="0" borderId="0">
      <alignment horizontal="left" wrapText="1"/>
    </xf>
    <xf numFmtId="287" fontId="134" fillId="0" borderId="0" applyFont="0" applyFill="0" applyBorder="0" applyAlignment="0" applyProtection="0"/>
    <xf numFmtId="288" fontId="134" fillId="0" borderId="0" applyFont="0" applyFill="0" applyBorder="0" applyAlignment="0" applyProtection="0"/>
    <xf numFmtId="289" fontId="16" fillId="0" borderId="0"/>
    <xf numFmtId="9" fontId="5" fillId="0" borderId="0"/>
    <xf numFmtId="0" fontId="16" fillId="0" borderId="0"/>
    <xf numFmtId="169" fontId="16" fillId="0" borderId="0"/>
    <xf numFmtId="0" fontId="16" fillId="0" borderId="0"/>
    <xf numFmtId="2" fontId="16" fillId="0" borderId="0"/>
    <xf numFmtId="10" fontId="16" fillId="0" borderId="0"/>
    <xf numFmtId="2" fontId="16" fillId="0" borderId="0"/>
    <xf numFmtId="289" fontId="16" fillId="0" borderId="0"/>
    <xf numFmtId="289" fontId="5" fillId="0" borderId="0"/>
    <xf numFmtId="289" fontId="5" fillId="0" borderId="0"/>
    <xf numFmtId="289" fontId="5" fillId="0" borderId="0"/>
    <xf numFmtId="289" fontId="5" fillId="0" borderId="0"/>
    <xf numFmtId="289" fontId="5" fillId="0" borderId="0"/>
    <xf numFmtId="37" fontId="135" fillId="0" borderId="0">
      <alignment horizontal="center"/>
    </xf>
    <xf numFmtId="290" fontId="136" fillId="0" borderId="2">
      <alignment horizontal="centerContinuous"/>
    </xf>
    <xf numFmtId="0" fontId="137" fillId="34" borderId="0" applyNumberFormat="0" applyFont="0" applyBorder="0" applyAlignment="0">
      <alignment horizontal="right"/>
    </xf>
    <xf numFmtId="0" fontId="138" fillId="34" borderId="1" applyFont="0">
      <alignment horizontal="right"/>
    </xf>
    <xf numFmtId="292" fontId="22" fillId="0" borderId="7"/>
    <xf numFmtId="293" fontId="21" fillId="0" borderId="8" applyBorder="0"/>
    <xf numFmtId="0" fontId="139" fillId="0" borderId="0"/>
    <xf numFmtId="0" fontId="140" fillId="0" borderId="51" applyNumberFormat="0" applyFill="0" applyBorder="0" applyAlignment="0" applyProtection="0"/>
    <xf numFmtId="0" fontId="61" fillId="0" borderId="51" applyNumberFormat="0" applyFill="0" applyBorder="0" applyAlignment="0" applyProtection="0"/>
    <xf numFmtId="0" fontId="114" fillId="0" borderId="51" applyNumberFormat="0" applyFill="0" applyBorder="0" applyAlignment="0" applyProtection="0"/>
    <xf numFmtId="0" fontId="32" fillId="0" borderId="51" applyNumberFormat="0" applyFill="0" applyAlignment="0" applyProtection="0"/>
    <xf numFmtId="0" fontId="141" fillId="0" borderId="24">
      <protection hidden="1"/>
    </xf>
    <xf numFmtId="0" fontId="142" fillId="9" borderId="24" applyNumberFormat="0" applyFont="0" applyBorder="0" applyAlignment="0" applyProtection="0">
      <protection hidden="1"/>
    </xf>
    <xf numFmtId="0" fontId="21" fillId="0" borderId="0" applyNumberFormat="0" applyFill="0" applyBorder="0" applyAlignment="0" applyProtection="0"/>
    <xf numFmtId="237" fontId="48" fillId="0" borderId="0" applyFont="0" applyFill="0" applyBorder="0" applyAlignment="0" applyProtection="0"/>
    <xf numFmtId="0" fontId="143" fillId="0" borderId="0"/>
    <xf numFmtId="0" fontId="144" fillId="0" borderId="2" applyNumberFormat="0" applyFill="0" applyAlignment="0" applyProtection="0"/>
    <xf numFmtId="294" fontId="134" fillId="0" borderId="0" applyFont="0" applyFill="0" applyBorder="0" applyAlignment="0" applyProtection="0"/>
    <xf numFmtId="295" fontId="32" fillId="0" borderId="0">
      <alignment horizontal="right" vertical="center"/>
    </xf>
    <xf numFmtId="237" fontId="62" fillId="0" borderId="0" applyFont="0" applyFill="0" applyBorder="0" applyAlignment="0" applyProtection="0"/>
    <xf numFmtId="0" fontId="39" fillId="35" borderId="0" applyNumberFormat="0" applyBorder="0">
      <alignment horizontal="centerContinuous"/>
    </xf>
    <xf numFmtId="37" fontId="21" fillId="0" borderId="0"/>
    <xf numFmtId="296" fontId="5" fillId="0" borderId="0"/>
    <xf numFmtId="297" fontId="5" fillId="0" borderId="0"/>
    <xf numFmtId="0" fontId="145" fillId="0" borderId="2" applyNumberFormat="0" applyFill="0" applyProtection="0">
      <alignment horizontal="left" vertical="center"/>
    </xf>
    <xf numFmtId="0" fontId="5" fillId="0" borderId="0">
      <alignment horizontal="center" wrapText="1"/>
      <protection hidden="1"/>
    </xf>
    <xf numFmtId="0" fontId="117" fillId="0" borderId="52" applyNumberFormat="0" applyFill="0" applyProtection="0">
      <alignment horizontal="center" vertical="center"/>
    </xf>
    <xf numFmtId="0" fontId="118" fillId="0" borderId="2" applyNumberFormat="0" applyFill="0" applyBorder="0" applyProtection="0">
      <alignment horizontal="right" vertical="center"/>
    </xf>
    <xf numFmtId="43" fontId="113" fillId="0" borderId="0" applyFont="0" applyFill="0" applyBorder="0" applyAlignment="0" applyProtection="0"/>
    <xf numFmtId="298" fontId="146" fillId="0" borderId="0"/>
    <xf numFmtId="298" fontId="146" fillId="0" borderId="0"/>
    <xf numFmtId="298" fontId="146" fillId="0" borderId="0"/>
    <xf numFmtId="298" fontId="146" fillId="0" borderId="0"/>
    <xf numFmtId="298" fontId="146" fillId="0" borderId="0"/>
    <xf numFmtId="298" fontId="146" fillId="0" borderId="0"/>
    <xf numFmtId="298" fontId="146" fillId="0" borderId="0"/>
    <xf numFmtId="298" fontId="146" fillId="0" borderId="0"/>
    <xf numFmtId="0" fontId="21" fillId="0" borderId="0"/>
    <xf numFmtId="299" fontId="5" fillId="0" borderId="0" applyFont="0" applyFill="0" applyBorder="0" applyAlignment="0" applyProtection="0">
      <alignment horizontal="right"/>
    </xf>
    <xf numFmtId="300" fontId="5" fillId="0" borderId="0" applyFont="0" applyFill="0" applyBorder="0" applyAlignment="0" applyProtection="0"/>
    <xf numFmtId="301" fontId="147" fillId="0" borderId="0" applyFont="0" applyFill="0" applyBorder="0" applyAlignment="0" applyProtection="0">
      <alignment horizontal="right"/>
    </xf>
    <xf numFmtId="43" fontId="5" fillId="0" borderId="0" applyFont="0" applyFill="0" applyBorder="0" applyAlignment="0" applyProtection="0"/>
    <xf numFmtId="0" fontId="148" fillId="16" borderId="0">
      <alignment horizontal="center" vertical="center" wrapText="1"/>
    </xf>
    <xf numFmtId="0" fontId="149" fillId="0" borderId="0" applyNumberFormat="0" applyFill="0" applyBorder="0">
      <alignment horizontal="right"/>
    </xf>
    <xf numFmtId="0" fontId="148" fillId="16" borderId="0">
      <alignment horizontal="center" vertical="center" wrapText="1"/>
    </xf>
    <xf numFmtId="302" fontId="5" fillId="0" borderId="0" applyFont="0" applyFill="0" applyBorder="0" applyAlignment="0" applyProtection="0"/>
    <xf numFmtId="188" fontId="5" fillId="0" borderId="0" applyFill="0" applyBorder="0">
      <alignment horizontal="right"/>
      <protection locked="0"/>
    </xf>
    <xf numFmtId="187" fontId="113" fillId="0" borderId="0" applyFont="0" applyFill="0" applyBorder="0" applyAlignment="0" applyProtection="0"/>
    <xf numFmtId="183" fontId="150" fillId="0" borderId="22" applyBorder="0"/>
    <xf numFmtId="269" fontId="5" fillId="0" borderId="0" applyFont="0" applyFill="0" applyBorder="0" applyAlignment="0"/>
    <xf numFmtId="184" fontId="5" fillId="0" borderId="0" applyFont="0" applyFill="0" applyBorder="0" applyAlignment="0"/>
    <xf numFmtId="303" fontId="21" fillId="0" borderId="0" applyFont="0" applyFill="0" applyBorder="0" applyAlignment="0" applyProtection="0">
      <alignment horizontal="right"/>
    </xf>
    <xf numFmtId="187" fontId="5" fillId="0" borderId="0" applyFont="0" applyFill="0" applyBorder="0" applyAlignment="0" applyProtection="0"/>
    <xf numFmtId="304" fontId="134" fillId="0" borderId="0" applyFont="0" applyFill="0" applyBorder="0" applyAlignment="0" applyProtection="0"/>
    <xf numFmtId="14" fontId="34" fillId="0" borderId="1" applyFont="0">
      <alignment horizontal="right"/>
    </xf>
    <xf numFmtId="270" fontId="5" fillId="10" borderId="0" applyFont="0" applyFill="0" applyBorder="0" applyAlignment="0" applyProtection="0"/>
    <xf numFmtId="268" fontId="5" fillId="10" borderId="25" applyFont="0" applyFill="0" applyBorder="0" applyAlignment="0" applyProtection="0"/>
    <xf numFmtId="270" fontId="5" fillId="10" borderId="0" applyFont="0" applyFill="0" applyBorder="0" applyAlignment="0" applyProtection="0"/>
    <xf numFmtId="291" fontId="21" fillId="0" borderId="0" applyFont="0" applyFill="0" applyBorder="0" applyAlignment="0" applyProtection="0"/>
    <xf numFmtId="259" fontId="16" fillId="0" borderId="0"/>
    <xf numFmtId="1" fontId="21" fillId="0" borderId="0" applyFont="0" applyFill="0" applyBorder="0" applyAlignment="0" applyProtection="0">
      <alignment horizontal="right"/>
    </xf>
    <xf numFmtId="172" fontId="151" fillId="0" borderId="0"/>
    <xf numFmtId="184" fontId="32" fillId="0" borderId="0"/>
    <xf numFmtId="167" fontId="21" fillId="0" borderId="28" applyNumberFormat="0" applyFont="0" applyFill="0" applyAlignment="0" applyProtection="0"/>
    <xf numFmtId="262" fontId="152" fillId="0" borderId="4" applyNumberFormat="0" applyBorder="0"/>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237" fontId="115" fillId="0" borderId="29" applyNumberFormat="0" applyAlignment="0" applyProtection="0">
      <alignment vertical="top"/>
    </xf>
    <xf numFmtId="9" fontId="130" fillId="0" borderId="21" applyNumberFormat="0" applyBorder="0" applyAlignment="0">
      <protection locked="0"/>
    </xf>
    <xf numFmtId="0" fontId="48" fillId="36" borderId="53" applyNumberFormat="0" applyFont="0" applyAlignment="0">
      <protection locked="0"/>
    </xf>
    <xf numFmtId="271" fontId="43" fillId="0" borderId="0" applyNumberFormat="0" applyFont="0" applyFill="0" applyBorder="0" applyAlignment="0" applyProtection="0"/>
    <xf numFmtId="266" fontId="21" fillId="0" borderId="0" applyFont="0" applyFill="0" applyBorder="0" applyAlignment="0" applyProtection="0"/>
    <xf numFmtId="305" fontId="5" fillId="0" borderId="0" applyFont="0" applyFill="0" applyBorder="0" applyAlignment="0" applyProtection="0"/>
    <xf numFmtId="212" fontId="21" fillId="0" borderId="0" applyFont="0" applyFill="0" applyBorder="0" applyAlignment="0" applyProtection="0">
      <alignment horizontal="right"/>
    </xf>
    <xf numFmtId="237" fontId="5" fillId="10" borderId="0" applyFont="0" applyFill="0" applyBorder="0" applyAlignment="0"/>
    <xf numFmtId="0" fontId="119" fillId="0" borderId="0" applyNumberFormat="0" applyFill="0" applyBorder="0" applyProtection="0">
      <alignment horizontal="left" vertical="center"/>
    </xf>
    <xf numFmtId="0" fontId="153" fillId="19" borderId="0"/>
    <xf numFmtId="37" fontId="22" fillId="19" borderId="0" applyNumberFormat="0" applyBorder="0" applyAlignment="0" applyProtection="0"/>
    <xf numFmtId="306" fontId="61" fillId="0" borderId="0" applyBorder="0" applyProtection="0"/>
    <xf numFmtId="264" fontId="154" fillId="0" borderId="0"/>
    <xf numFmtId="0" fontId="155" fillId="0" borderId="0"/>
    <xf numFmtId="272" fontId="120" fillId="0" borderId="0" applyFill="0" applyBorder="0" applyAlignment="0" applyProtection="0"/>
    <xf numFmtId="284" fontId="21" fillId="0" borderId="0" applyFont="0" applyFill="0" applyBorder="0" applyAlignment="0" applyProtection="0">
      <alignment horizontal="right"/>
    </xf>
    <xf numFmtId="0" fontId="121" fillId="37" borderId="0" applyNumberFormat="0" applyBorder="0" applyProtection="0">
      <alignment horizontal="left" vertical="center"/>
    </xf>
    <xf numFmtId="0" fontId="122" fillId="1" borderId="0" applyNumberFormat="0" applyBorder="0" applyProtection="0">
      <alignment horizontal="left" vertical="center"/>
    </xf>
    <xf numFmtId="0" fontId="156" fillId="0" borderId="0"/>
    <xf numFmtId="0" fontId="39" fillId="0" borderId="50" applyNumberFormat="0" applyAlignment="0" applyProtection="0">
      <alignment horizontal="left" vertical="center"/>
    </xf>
    <xf numFmtId="0" fontId="39" fillId="0" borderId="1">
      <alignment horizontal="left" vertical="center"/>
    </xf>
    <xf numFmtId="0" fontId="39" fillId="0" borderId="0"/>
    <xf numFmtId="307" fontId="21" fillId="0" borderId="0"/>
    <xf numFmtId="239" fontId="131" fillId="20" borderId="0" applyNumberFormat="0" applyFont="0" applyBorder="0" applyAlignment="0" applyProtection="0"/>
    <xf numFmtId="37" fontId="22" fillId="0" borderId="0" applyNumberFormat="0" applyBorder="0" applyAlignment="0" applyProtection="0"/>
    <xf numFmtId="0" fontId="190" fillId="0" borderId="0" applyNumberFormat="0" applyFill="0" applyBorder="0" applyAlignment="0" applyProtection="0">
      <alignment vertical="top"/>
      <protection locked="0"/>
    </xf>
    <xf numFmtId="237" fontId="48" fillId="0" borderId="0" applyFont="0" applyFill="0" applyBorder="0" applyAlignment="0" applyProtection="0"/>
    <xf numFmtId="308" fontId="21" fillId="0" borderId="0"/>
    <xf numFmtId="185" fontId="32" fillId="10" borderId="0" applyFont="0" applyBorder="0" applyAlignment="0" applyProtection="0">
      <protection locked="0"/>
    </xf>
    <xf numFmtId="268" fontId="5" fillId="10" borderId="0" applyFont="0" applyBorder="0" applyAlignment="0" applyProtection="0">
      <protection locked="0"/>
    </xf>
    <xf numFmtId="237" fontId="5" fillId="10" borderId="0" applyFont="0" applyBorder="0" applyAlignment="0">
      <protection locked="0"/>
    </xf>
    <xf numFmtId="273" fontId="5" fillId="10" borderId="0" applyFont="0" applyBorder="0" applyAlignment="0">
      <protection locked="0"/>
    </xf>
    <xf numFmtId="273" fontId="5" fillId="10" borderId="21"/>
    <xf numFmtId="38" fontId="114" fillId="10" borderId="21"/>
    <xf numFmtId="40" fontId="114" fillId="10" borderId="21"/>
    <xf numFmtId="0" fontId="5" fillId="0" borderId="0" applyFill="0" applyBorder="0">
      <alignment horizontal="right"/>
      <protection locked="0"/>
    </xf>
    <xf numFmtId="189" fontId="5" fillId="0" borderId="0" applyFill="0" applyBorder="0">
      <alignment horizontal="right"/>
      <protection locked="0"/>
    </xf>
    <xf numFmtId="0" fontId="34" fillId="4" borderId="33">
      <alignment horizontal="left" vertical="center" wrapText="1"/>
    </xf>
    <xf numFmtId="0" fontId="123" fillId="0" borderId="0" applyNumberFormat="0" applyFill="0" applyBorder="0" applyProtection="0">
      <alignment horizontal="left" vertical="center"/>
    </xf>
    <xf numFmtId="212" fontId="21" fillId="0" borderId="0" applyNumberFormat="0" applyAlignment="0">
      <alignment horizontal="left"/>
    </xf>
    <xf numFmtId="0" fontId="157" fillId="0" borderId="24">
      <alignment horizontal="left"/>
      <protection locked="0"/>
    </xf>
    <xf numFmtId="0" fontId="38" fillId="0" borderId="0"/>
    <xf numFmtId="272" fontId="86" fillId="0" borderId="0" applyFill="0" applyBorder="0" applyAlignment="0" applyProtection="0"/>
    <xf numFmtId="0" fontId="158" fillId="0" borderId="0" applyBorder="0"/>
    <xf numFmtId="212" fontId="34" fillId="0" borderId="1" applyFont="0" applyFill="0" applyBorder="0" applyAlignment="0" applyProtection="0">
      <alignment horizontal="center"/>
    </xf>
    <xf numFmtId="0" fontId="159" fillId="0" borderId="0" applyNumberFormat="0" applyFill="0" applyBorder="0" applyAlignment="0"/>
    <xf numFmtId="38" fontId="159" fillId="0" borderId="0" applyBorder="0"/>
    <xf numFmtId="274" fontId="48" fillId="0" borderId="0" applyFont="0" applyFill="0" applyBorder="0" applyAlignment="0" applyProtection="0"/>
    <xf numFmtId="212" fontId="21" fillId="0" borderId="0" applyFont="0" applyFill="0" applyBorder="0" applyAlignment="0" applyProtection="0">
      <alignment horizontal="right"/>
    </xf>
    <xf numFmtId="275" fontId="5" fillId="19" borderId="0" applyFont="0" applyBorder="0" applyAlignment="0" applyProtection="0">
      <alignment horizontal="right"/>
      <protection hidden="1"/>
    </xf>
    <xf numFmtId="176" fontId="21" fillId="0" borderId="0" applyFill="0" applyBorder="0" applyAlignment="0" applyProtection="0"/>
    <xf numFmtId="309" fontId="21" fillId="0" borderId="4" applyFont="0" applyFill="0" applyBorder="0" applyAlignment="0" applyProtection="0"/>
    <xf numFmtId="264" fontId="21" fillId="0" borderId="0"/>
    <xf numFmtId="308" fontId="21" fillId="0" borderId="0"/>
    <xf numFmtId="239" fontId="160" fillId="0" borderId="0"/>
    <xf numFmtId="37" fontId="150" fillId="0" borderId="0"/>
    <xf numFmtId="38" fontId="161" fillId="0" borderId="0"/>
    <xf numFmtId="229" fontId="160" fillId="0" borderId="0"/>
    <xf numFmtId="310" fontId="21" fillId="0" borderId="0">
      <alignment horizontal="right"/>
    </xf>
    <xf numFmtId="223" fontId="32" fillId="0" borderId="0" applyFont="0" applyFill="0" applyBorder="0" applyAlignment="0"/>
    <xf numFmtId="0" fontId="5" fillId="0" borderId="0" applyNumberFormat="0" applyFont="0" applyFill="0" applyBorder="0" applyAlignment="0" applyProtection="0"/>
    <xf numFmtId="0" fontId="189" fillId="0" borderId="0" applyNumberFormat="0" applyFill="0" applyBorder="0" applyAlignment="0" applyProtection="0"/>
    <xf numFmtId="276" fontId="5" fillId="0" borderId="0" applyFont="0" applyFill="0" applyBorder="0" applyAlignment="0" applyProtection="0"/>
    <xf numFmtId="277" fontId="5" fillId="0" borderId="0" applyFont="0" applyFill="0" applyBorder="0" applyAlignment="0" applyProtection="0"/>
    <xf numFmtId="176" fontId="33" fillId="0" borderId="4" applyBorder="0"/>
    <xf numFmtId="278" fontId="5" fillId="0" borderId="0" applyFont="0" applyFill="0" applyBorder="0" applyAlignment="0" applyProtection="0"/>
    <xf numFmtId="175" fontId="141" fillId="0" borderId="0"/>
    <xf numFmtId="0" fontId="162" fillId="0" borderId="0">
      <alignment horizontal="left"/>
    </xf>
    <xf numFmtId="0" fontId="102" fillId="0" borderId="0" applyNumberFormat="0" applyFill="0" applyBorder="0">
      <alignment horizontal="left"/>
    </xf>
    <xf numFmtId="1" fontId="163" fillId="0" borderId="0" applyProtection="0">
      <alignment horizontal="right" vertical="center"/>
    </xf>
    <xf numFmtId="279" fontId="5" fillId="0" borderId="0"/>
    <xf numFmtId="9" fontId="113" fillId="0" borderId="0" applyFont="0" applyFill="0" applyBorder="0" applyAlignment="0" applyProtection="0"/>
    <xf numFmtId="267" fontId="164" fillId="0" borderId="0"/>
    <xf numFmtId="280" fontId="5" fillId="0" borderId="0" applyFont="0" applyFill="0" applyBorder="0" applyAlignment="0"/>
    <xf numFmtId="273" fontId="5" fillId="0" borderId="0" applyFont="0" applyFill="0" applyBorder="0" applyAlignment="0"/>
    <xf numFmtId="281" fontId="5" fillId="0" borderId="0" applyFont="0" applyFill="0" applyBorder="0" applyAlignment="0"/>
    <xf numFmtId="9" fontId="5" fillId="0" borderId="0" applyFont="0" applyFill="0" applyBorder="0" applyAlignment="0" applyProtection="0"/>
    <xf numFmtId="9" fontId="21" fillId="0" borderId="0" applyFont="0" applyFill="0" applyBorder="0" applyAlignment="0" applyProtection="0"/>
    <xf numFmtId="169" fontId="165" fillId="0" borderId="0"/>
    <xf numFmtId="190" fontId="5" fillId="0" borderId="0" applyFill="0" applyBorder="0">
      <alignment horizontal="right"/>
      <protection locked="0"/>
    </xf>
    <xf numFmtId="282" fontId="5" fillId="0" borderId="0" applyFont="0" applyFill="0" applyBorder="0" applyAlignment="0" applyProtection="0"/>
    <xf numFmtId="0" fontId="102" fillId="0" borderId="0"/>
    <xf numFmtId="0" fontId="102" fillId="0" borderId="54">
      <alignment horizontal="right"/>
    </xf>
    <xf numFmtId="2" fontId="158" fillId="0" borderId="0" applyNumberFormat="0" applyFill="0" applyBorder="0" applyAlignment="0" applyProtection="0"/>
    <xf numFmtId="191" fontId="5" fillId="0" borderId="0">
      <alignment horizontal="right"/>
      <protection locked="0"/>
    </xf>
    <xf numFmtId="0" fontId="106" fillId="0" borderId="0"/>
    <xf numFmtId="0" fontId="166" fillId="0" borderId="24" applyNumberFormat="0" applyFill="0" applyBorder="0" applyAlignment="0" applyProtection="0">
      <protection hidden="1"/>
    </xf>
    <xf numFmtId="49" fontId="33" fillId="0" borderId="0">
      <alignment horizontal="right"/>
    </xf>
    <xf numFmtId="37" fontId="167" fillId="0" borderId="0" applyNumberFormat="0" applyFill="0" applyBorder="0" applyAlignment="0" applyProtection="0"/>
    <xf numFmtId="0" fontId="168" fillId="0" borderId="0"/>
    <xf numFmtId="0" fontId="43" fillId="0" borderId="7" applyNumberFormat="0" applyBorder="0" applyAlignment="0"/>
    <xf numFmtId="0" fontId="123" fillId="0" borderId="0" applyNumberFormat="0" applyFill="0" applyBorder="0" applyProtection="0">
      <alignment horizontal="right" vertical="center"/>
    </xf>
    <xf numFmtId="311" fontId="21" fillId="0" borderId="0" applyNumberFormat="0" applyFill="0" applyBorder="0" applyProtection="0">
      <alignment horizontal="left" vertical="center"/>
      <protection locked="0"/>
    </xf>
    <xf numFmtId="312" fontId="26" fillId="0" borderId="0" applyFill="0" applyBorder="0">
      <alignment horizontal="right"/>
      <protection hidden="1"/>
    </xf>
    <xf numFmtId="0" fontId="39" fillId="16" borderId="21">
      <alignment horizontal="center" vertical="center" wrapText="1"/>
      <protection hidden="1"/>
    </xf>
    <xf numFmtId="1" fontId="146" fillId="38" borderId="0" applyNumberFormat="0" applyFont="0" applyBorder="0" applyAlignment="0">
      <alignment horizontal="left"/>
    </xf>
    <xf numFmtId="176" fontId="21" fillId="0" borderId="2" applyFont="0" applyFill="0" applyBorder="0" applyAlignment="0" applyProtection="0">
      <alignment horizontal="right"/>
    </xf>
    <xf numFmtId="237" fontId="48" fillId="0" borderId="0" applyFont="0" applyFill="0" applyBorder="0" applyAlignment="0" applyProtection="0"/>
    <xf numFmtId="0" fontId="37" fillId="19" borderId="0" applyNumberFormat="0" applyBorder="0">
      <alignment horizontal="centerContinuous"/>
    </xf>
    <xf numFmtId="0" fontId="169" fillId="0" borderId="0" applyNumberFormat="0" applyFill="0" applyBorder="0" applyAlignment="0" applyProtection="0"/>
    <xf numFmtId="3" fontId="32" fillId="0" borderId="0"/>
    <xf numFmtId="212" fontId="132" fillId="0" borderId="0" applyFill="0" applyBorder="0" applyProtection="0">
      <alignment horizontal="right"/>
    </xf>
    <xf numFmtId="237" fontId="32" fillId="20" borderId="0" applyNumberFormat="0" applyFont="0" applyBorder="0" applyAlignment="0">
      <protection hidden="1"/>
    </xf>
    <xf numFmtId="3" fontId="33" fillId="0" borderId="0"/>
    <xf numFmtId="0" fontId="170" fillId="0" borderId="0" applyNumberFormat="0" applyFill="0" applyBorder="0" applyAlignment="0" applyProtection="0">
      <protection locked="0"/>
    </xf>
    <xf numFmtId="313" fontId="170" fillId="0" borderId="0" applyNumberFormat="0" applyFill="0" applyBorder="0" applyAlignment="0" applyProtection="0">
      <alignment horizontal="right" vertical="center" wrapText="1"/>
    </xf>
    <xf numFmtId="0" fontId="170" fillId="0" borderId="0" applyNumberFormat="0" applyFill="0" applyBorder="0" applyAlignment="0" applyProtection="0">
      <protection locked="0"/>
    </xf>
    <xf numFmtId="0" fontId="171" fillId="0" borderId="0" applyNumberFormat="0" applyFill="0" applyBorder="0" applyAlignment="0" applyProtection="0"/>
    <xf numFmtId="0" fontId="172" fillId="0" borderId="1" applyNumberFormat="0" applyFill="0" applyProtection="0">
      <alignment horizontal="right" vertical="center" wrapText="1"/>
    </xf>
    <xf numFmtId="0" fontId="34" fillId="35" borderId="0" applyNumberFormat="0" applyBorder="0">
      <alignment horizontal="centerContinuous"/>
    </xf>
    <xf numFmtId="0" fontId="173" fillId="0" borderId="4" applyNumberFormat="0" applyFill="0" applyProtection="0">
      <alignment horizontal="right"/>
    </xf>
    <xf numFmtId="0" fontId="124" fillId="0" borderId="0" applyNumberFormat="0" applyFill="0" applyBorder="0" applyProtection="0">
      <alignment horizontal="left" vertical="center"/>
    </xf>
    <xf numFmtId="0" fontId="174" fillId="0" borderId="0"/>
    <xf numFmtId="265" fontId="124" fillId="0" borderId="0" applyNumberFormat="0"/>
    <xf numFmtId="0" fontId="175" fillId="0" borderId="51" applyNumberFormat="0" applyFill="0" applyBorder="0" applyAlignment="0" applyProtection="0"/>
    <xf numFmtId="0" fontId="173" fillId="0" borderId="10" applyNumberFormat="0" applyProtection="0">
      <alignment horizontal="right"/>
    </xf>
    <xf numFmtId="0" fontId="176" fillId="0" borderId="2" applyNumberFormat="0" applyFill="0" applyProtection="0"/>
    <xf numFmtId="167" fontId="21" fillId="0" borderId="2" applyBorder="0" applyProtection="0">
      <alignment horizontal="right" vertical="center"/>
    </xf>
    <xf numFmtId="0" fontId="177" fillId="31" borderId="0" applyBorder="0" applyProtection="0">
      <alignment horizontal="centerContinuous" vertical="center"/>
    </xf>
    <xf numFmtId="0" fontId="177" fillId="12" borderId="2" applyBorder="0" applyProtection="0">
      <alignment horizontal="centerContinuous" vertical="center"/>
    </xf>
    <xf numFmtId="3" fontId="36" fillId="0" borderId="0" applyNumberFormat="0"/>
    <xf numFmtId="0" fontId="178" fillId="0" borderId="0" applyFill="0" applyBorder="0" applyProtection="0">
      <alignment horizontal="left"/>
    </xf>
    <xf numFmtId="0" fontId="179" fillId="0" borderId="6" applyFill="0" applyBorder="0" applyProtection="0">
      <alignment horizontal="left" vertical="top"/>
    </xf>
    <xf numFmtId="169" fontId="180" fillId="0" borderId="0" applyNumberFormat="0" applyFill="0" applyBorder="0">
      <alignment horizontal="left"/>
    </xf>
    <xf numFmtId="169" fontId="180" fillId="0" borderId="0" applyNumberFormat="0" applyFill="0" applyBorder="0">
      <alignment horizontal="right"/>
    </xf>
    <xf numFmtId="169" fontId="117" fillId="0" borderId="0" applyNumberFormat="0" applyFill="0" applyBorder="0">
      <alignment horizontal="right"/>
    </xf>
    <xf numFmtId="237" fontId="5" fillId="25" borderId="0" applyNumberFormat="0" applyFont="0" applyBorder="0" applyAlignment="0" applyProtection="0"/>
    <xf numFmtId="283" fontId="5" fillId="0" borderId="0" applyFill="0" applyBorder="0" applyAlignment="0" applyProtection="0">
      <alignment horizontal="right"/>
    </xf>
    <xf numFmtId="314" fontId="61" fillId="0" borderId="0" applyBorder="0" applyProtection="0">
      <alignment horizontal="right"/>
    </xf>
    <xf numFmtId="3" fontId="125" fillId="0" borderId="0"/>
    <xf numFmtId="0" fontId="126" fillId="0" borderId="48"/>
    <xf numFmtId="0" fontId="36" fillId="0" borderId="55"/>
    <xf numFmtId="0" fontId="5" fillId="0" borderId="0" applyBorder="0"/>
    <xf numFmtId="0" fontId="127" fillId="0" borderId="0" applyNumberFormat="0" applyFont="0" applyFill="0" applyBorder="0" applyAlignment="0">
      <alignment horizontal="left" vertical="center"/>
    </xf>
    <xf numFmtId="0" fontId="36" fillId="0" borderId="1">
      <alignment horizontal="right" wrapText="1"/>
    </xf>
    <xf numFmtId="0" fontId="165" fillId="9" borderId="24"/>
    <xf numFmtId="3" fontId="36" fillId="0" borderId="2" applyNumberFormat="0"/>
    <xf numFmtId="263" fontId="32" fillId="0" borderId="0" applyBorder="0" applyProtection="0">
      <alignment horizontal="right"/>
    </xf>
    <xf numFmtId="40" fontId="154" fillId="0" borderId="0"/>
    <xf numFmtId="37" fontId="21" fillId="39" borderId="21" applyNumberFormat="0" applyAlignment="0" applyProtection="0"/>
    <xf numFmtId="237" fontId="181" fillId="0" borderId="0"/>
    <xf numFmtId="0" fontId="182" fillId="0" borderId="0">
      <alignment vertical="top"/>
    </xf>
    <xf numFmtId="0" fontId="183" fillId="0" borderId="0" applyNumberFormat="0"/>
    <xf numFmtId="0" fontId="116" fillId="40" borderId="56">
      <alignment horizontal="left"/>
    </xf>
    <xf numFmtId="237" fontId="42" fillId="0" borderId="0" applyNumberFormat="0" applyFill="0" applyBorder="0" applyAlignment="0" applyProtection="0"/>
    <xf numFmtId="0" fontId="1" fillId="0" borderId="0"/>
    <xf numFmtId="0" fontId="184" fillId="0" borderId="51" applyNumberFormat="0" applyFill="0" applyBorder="0" applyAlignment="0" applyProtection="0"/>
    <xf numFmtId="0" fontId="185" fillId="0" borderId="51" applyNumberFormat="0" applyFill="0" applyBorder="0" applyAlignment="0" applyProtection="0"/>
    <xf numFmtId="0" fontId="186" fillId="0" borderId="51" applyNumberFormat="0" applyFill="0" applyBorder="0" applyAlignment="0" applyProtection="0"/>
    <xf numFmtId="1" fontId="187" fillId="0" borderId="0">
      <alignment horizontal="right"/>
    </xf>
    <xf numFmtId="285" fontId="21" fillId="0" borderId="0"/>
    <xf numFmtId="1" fontId="29" fillId="0" borderId="1" applyFill="0" applyProtection="0">
      <alignment horizontal="right"/>
    </xf>
    <xf numFmtId="0" fontId="188" fillId="0" borderId="0"/>
    <xf numFmtId="315" fontId="5" fillId="0" borderId="0"/>
    <xf numFmtId="0" fontId="5" fillId="0" borderId="0" applyNumberFormat="0" applyFill="0" applyBorder="0" applyAlignment="0" applyProtection="0"/>
    <xf numFmtId="0" fontId="5" fillId="0" borderId="0" applyNumberFormat="0" applyFont="0" applyFill="0" applyBorder="0" applyAlignment="0" applyProtection="0"/>
    <xf numFmtId="37" fontId="5" fillId="0" borderId="0" applyFont="0" applyFill="0" applyBorder="0" applyAlignment="0" applyProtection="0"/>
    <xf numFmtId="0" fontId="5" fillId="0" borderId="0" applyNumberFormat="0" applyFon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28"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xf numFmtId="9" fontId="5" fillId="0" borderId="0" applyFont="0" applyFill="0" applyBorder="0" applyAlignment="0" applyProtection="0"/>
    <xf numFmtId="37" fontId="5" fillId="0" borderId="0" applyFont="0" applyFill="0" applyBorder="0" applyAlignment="0" applyProtection="0"/>
    <xf numFmtId="0" fontId="191" fillId="0" borderId="0"/>
    <xf numFmtId="0" fontId="113" fillId="41" borderId="0" applyNumberFormat="0" applyBorder="0" applyAlignment="0" applyProtection="0"/>
    <xf numFmtId="0" fontId="113" fillId="42" borderId="0" applyNumberFormat="0" applyBorder="0" applyAlignment="0" applyProtection="0"/>
    <xf numFmtId="0" fontId="113" fillId="43" borderId="0" applyNumberFormat="0" applyBorder="0" applyAlignment="0" applyProtection="0"/>
    <xf numFmtId="0" fontId="113" fillId="44" borderId="0" applyNumberFormat="0" applyBorder="0" applyAlignment="0" applyProtection="0"/>
    <xf numFmtId="0" fontId="113" fillId="45" borderId="0" applyNumberFormat="0" applyBorder="0" applyAlignment="0" applyProtection="0"/>
    <xf numFmtId="0" fontId="113" fillId="46" borderId="0" applyNumberFormat="0" applyBorder="0" applyAlignment="0" applyProtection="0"/>
    <xf numFmtId="0" fontId="113" fillId="47" borderId="0" applyNumberFormat="0" applyBorder="0" applyAlignment="0" applyProtection="0"/>
    <xf numFmtId="0" fontId="113" fillId="48" borderId="0" applyNumberFormat="0" applyBorder="0" applyAlignment="0" applyProtection="0"/>
    <xf numFmtId="0" fontId="113" fillId="49" borderId="0" applyNumberFormat="0" applyBorder="0" applyAlignment="0" applyProtection="0"/>
    <xf numFmtId="0" fontId="113" fillId="50" borderId="0" applyNumberFormat="0" applyBorder="0" applyAlignment="0" applyProtection="0"/>
    <xf numFmtId="0" fontId="113" fillId="51" borderId="0" applyNumberFormat="0" applyBorder="0" applyAlignment="0" applyProtection="0"/>
    <xf numFmtId="0" fontId="113" fillId="52" borderId="0" applyNumberFormat="0" applyBorder="0" applyAlignment="0" applyProtection="0"/>
    <xf numFmtId="0" fontId="195" fillId="53" borderId="0" applyNumberFormat="0" applyBorder="0" applyAlignment="0" applyProtection="0"/>
    <xf numFmtId="0" fontId="195" fillId="33" borderId="0" applyNumberFormat="0" applyBorder="0" applyAlignment="0" applyProtection="0"/>
    <xf numFmtId="0" fontId="195" fillId="54" borderId="0" applyNumberFormat="0" applyBorder="0" applyAlignment="0" applyProtection="0"/>
    <xf numFmtId="0" fontId="195" fillId="55" borderId="0" applyNumberFormat="0" applyBorder="0" applyAlignment="0" applyProtection="0"/>
    <xf numFmtId="0" fontId="195" fillId="56" borderId="0" applyNumberFormat="0" applyBorder="0" applyAlignment="0" applyProtection="0"/>
    <xf numFmtId="0" fontId="195" fillId="57" borderId="0" applyNumberFormat="0" applyBorder="0" applyAlignment="0" applyProtection="0"/>
    <xf numFmtId="0" fontId="195" fillId="58" borderId="0" applyNumberFormat="0" applyBorder="0" applyAlignment="0" applyProtection="0"/>
    <xf numFmtId="0" fontId="195" fillId="59" borderId="0" applyNumberFormat="0" applyBorder="0" applyAlignment="0" applyProtection="0"/>
    <xf numFmtId="0" fontId="195" fillId="60" borderId="0" applyNumberFormat="0" applyBorder="0" applyAlignment="0" applyProtection="0"/>
    <xf numFmtId="0" fontId="195" fillId="61" borderId="0" applyNumberFormat="0" applyBorder="0" applyAlignment="0" applyProtection="0"/>
    <xf numFmtId="0" fontId="195" fillId="62" borderId="0" applyNumberFormat="0" applyBorder="0" applyAlignment="0" applyProtection="0"/>
    <xf numFmtId="0" fontId="195" fillId="63" borderId="0" applyNumberFormat="0" applyBorder="0" applyAlignment="0" applyProtection="0"/>
    <xf numFmtId="0" fontId="196" fillId="64" borderId="0" applyNumberFormat="0" applyBorder="0" applyAlignment="0" applyProtection="0"/>
    <xf numFmtId="0" fontId="197" fillId="65" borderId="15" applyNumberFormat="0" applyAlignment="0" applyProtection="0"/>
    <xf numFmtId="0" fontId="198" fillId="66" borderId="18" applyNumberFormat="0" applyAlignment="0" applyProtection="0"/>
    <xf numFmtId="43" fontId="19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0" fontId="200" fillId="0" borderId="0" applyNumberFormat="0" applyFill="0" applyBorder="0" applyAlignment="0" applyProtection="0"/>
    <xf numFmtId="0" fontId="201" fillId="67" borderId="0" applyNumberFormat="0" applyBorder="0" applyAlignment="0" applyProtection="0"/>
    <xf numFmtId="0" fontId="192" fillId="0" borderId="13" applyNumberFormat="0" applyFill="0" applyAlignment="0" applyProtection="0"/>
    <xf numFmtId="0" fontId="193" fillId="0" borderId="57" applyNumberFormat="0" applyFill="0" applyAlignment="0" applyProtection="0"/>
    <xf numFmtId="0" fontId="194" fillId="0" borderId="14" applyNumberFormat="0" applyFill="0" applyAlignment="0" applyProtection="0"/>
    <xf numFmtId="0" fontId="194" fillId="0" borderId="0" applyNumberFormat="0" applyFill="0" applyBorder="0" applyAlignment="0" applyProtection="0"/>
    <xf numFmtId="0" fontId="202" fillId="68" borderId="15" applyNumberFormat="0" applyAlignment="0" applyProtection="0"/>
    <xf numFmtId="0" fontId="203" fillId="0" borderId="17" applyNumberFormat="0" applyFill="0" applyAlignment="0" applyProtection="0"/>
    <xf numFmtId="0" fontId="204" fillId="7" borderId="0" applyNumberFormat="0" applyBorder="0" applyAlignment="0" applyProtection="0"/>
    <xf numFmtId="0" fontId="205" fillId="69" borderId="0" applyNumberFormat="0" applyBorder="0" applyAlignment="0" applyProtection="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3" fillId="10" borderId="19" applyNumberFormat="0" applyFont="0" applyAlignment="0" applyProtection="0"/>
    <xf numFmtId="0" fontId="206" fillId="65" borderId="16" applyNumberFormat="0" applyAlignment="0" applyProtection="0"/>
    <xf numFmtId="40" fontId="207" fillId="11" borderId="0">
      <alignment horizontal="right"/>
    </xf>
    <xf numFmtId="0" fontId="208" fillId="11" borderId="0">
      <alignment horizontal="right"/>
    </xf>
    <xf numFmtId="0" fontId="209" fillId="11" borderId="7"/>
    <xf numFmtId="0" fontId="209" fillId="0" borderId="0" applyBorder="0">
      <alignment horizontal="centerContinuous"/>
    </xf>
    <xf numFmtId="0" fontId="210" fillId="0" borderId="0" applyBorder="0">
      <alignment horizontal="centerContinuous"/>
    </xf>
    <xf numFmtId="0" fontId="211" fillId="0" borderId="0" applyNumberFormat="0" applyFill="0" applyBorder="0" applyAlignment="0" applyProtection="0"/>
    <xf numFmtId="0" fontId="129" fillId="0" borderId="20" applyNumberFormat="0" applyFill="0" applyAlignment="0" applyProtection="0"/>
    <xf numFmtId="0" fontId="128" fillId="0" borderId="0" applyNumberFormat="0" applyFill="0" applyBorder="0" applyAlignment="0" applyProtection="0"/>
    <xf numFmtId="43" fontId="113" fillId="0" borderId="0" applyFont="0" applyFill="0" applyBorder="0" applyAlignment="0" applyProtection="0"/>
    <xf numFmtId="187" fontId="113" fillId="0" borderId="0" applyFont="0" applyFill="0" applyBorder="0" applyAlignment="0" applyProtection="0"/>
    <xf numFmtId="14" fontId="34" fillId="0" borderId="1" applyFont="0">
      <alignment horizontal="right"/>
    </xf>
    <xf numFmtId="9" fontId="113" fillId="0" borderId="0" applyFont="0" applyFill="0" applyBorder="0" applyAlignment="0" applyProtection="0"/>
    <xf numFmtId="176" fontId="33" fillId="0" borderId="4" applyBorder="0"/>
    <xf numFmtId="273" fontId="5" fillId="10" borderId="0" applyFont="0" applyBorder="0" applyAlignment="0">
      <protection locked="0"/>
    </xf>
    <xf numFmtId="273" fontId="5" fillId="10" borderId="0" applyFont="0" applyBorder="0" applyAlignment="0">
      <protection locked="0"/>
    </xf>
    <xf numFmtId="176" fontId="33" fillId="0" borderId="4" applyBorder="0"/>
    <xf numFmtId="9" fontId="113" fillId="0" borderId="0" applyFont="0" applyFill="0" applyBorder="0" applyAlignment="0" applyProtection="0"/>
    <xf numFmtId="14" fontId="34" fillId="0" borderId="1" applyFont="0">
      <alignment horizontal="right"/>
    </xf>
    <xf numFmtId="187" fontId="113" fillId="0" borderId="0" applyFont="0" applyFill="0" applyBorder="0" applyAlignment="0" applyProtection="0"/>
    <xf numFmtId="43" fontId="113" fillId="0" borderId="0" applyFont="0" applyFill="0" applyBorder="0" applyAlignment="0" applyProtection="0"/>
    <xf numFmtId="0" fontId="1" fillId="0" borderId="0"/>
    <xf numFmtId="0" fontId="5" fillId="0" borderId="0" applyNumberFormat="0" applyFill="0" applyBorder="0" applyAlignment="0" applyProtection="0"/>
    <xf numFmtId="43" fontId="1" fillId="0" borderId="0" applyFont="0" applyFill="0" applyBorder="0" applyAlignment="0" applyProtection="0"/>
    <xf numFmtId="212" fontId="21" fillId="0" borderId="0" applyNumberFormat="0" applyFont="0" applyAlignment="0" applyProtection="0"/>
    <xf numFmtId="187" fontId="113" fillId="0" borderId="0" applyFont="0" applyFill="0" applyBorder="0" applyAlignment="0" applyProtection="0"/>
    <xf numFmtId="9" fontId="113" fillId="0" borderId="0" applyFont="0" applyFill="0" applyBorder="0" applyAlignment="0" applyProtection="0"/>
    <xf numFmtId="0" fontId="189" fillId="0" borderId="0" applyNumberFormat="0" applyFill="0" applyBorder="0" applyAlignment="0" applyProtection="0"/>
    <xf numFmtId="0" fontId="1" fillId="0" borderId="0"/>
    <xf numFmtId="38" fontId="21" fillId="0" borderId="0" applyFont="0" applyFill="0" applyBorder="0" applyAlignment="0" applyProtection="0"/>
    <xf numFmtId="176" fontId="33" fillId="0" borderId="4" applyBorder="0"/>
    <xf numFmtId="184" fontId="21" fillId="0" borderId="0" applyFont="0" applyFill="0" applyBorder="0" applyAlignment="0" applyProtection="0"/>
    <xf numFmtId="14" fontId="34" fillId="0" borderId="1" applyFont="0">
      <alignment horizontal="right"/>
    </xf>
    <xf numFmtId="0" fontId="113" fillId="70" borderId="0" applyNumberFormat="0" applyBorder="0" applyAlignment="0" applyProtection="0"/>
    <xf numFmtId="0" fontId="113" fillId="71" borderId="0" applyNumberFormat="0" applyBorder="0" applyAlignment="0" applyProtection="0"/>
    <xf numFmtId="0" fontId="113" fillId="72" borderId="0" applyNumberFormat="0" applyBorder="0" applyAlignment="0" applyProtection="0"/>
    <xf numFmtId="0" fontId="113" fillId="73" borderId="0" applyNumberFormat="0" applyBorder="0" applyAlignment="0" applyProtection="0"/>
    <xf numFmtId="0" fontId="113" fillId="74" borderId="0" applyNumberFormat="0" applyBorder="0" applyAlignment="0" applyProtection="0"/>
    <xf numFmtId="0" fontId="113" fillId="75" borderId="0" applyNumberFormat="0" applyBorder="0" applyAlignment="0" applyProtection="0"/>
    <xf numFmtId="0" fontId="113" fillId="76" borderId="0" applyNumberFormat="0" applyBorder="0" applyAlignment="0" applyProtection="0"/>
    <xf numFmtId="0" fontId="113" fillId="77" borderId="0" applyNumberFormat="0" applyBorder="0" applyAlignment="0" applyProtection="0"/>
    <xf numFmtId="0" fontId="113" fillId="78" borderId="0" applyNumberFormat="0" applyBorder="0" applyAlignment="0" applyProtection="0"/>
    <xf numFmtId="0" fontId="113" fillId="73" borderId="0" applyNumberFormat="0" applyBorder="0" applyAlignment="0" applyProtection="0"/>
    <xf numFmtId="0" fontId="113" fillId="76" borderId="0" applyNumberFormat="0" applyBorder="0" applyAlignment="0" applyProtection="0"/>
    <xf numFmtId="0" fontId="113" fillId="79" borderId="0" applyNumberFormat="0" applyBorder="0" applyAlignment="0" applyProtection="0"/>
    <xf numFmtId="0" fontId="195" fillId="80" borderId="0" applyNumberFormat="0" applyBorder="0" applyAlignment="0" applyProtection="0"/>
    <xf numFmtId="0" fontId="195" fillId="77" borderId="0" applyNumberFormat="0" applyBorder="0" applyAlignment="0" applyProtection="0"/>
    <xf numFmtId="0" fontId="195" fillId="78" borderId="0" applyNumberFormat="0" applyBorder="0" applyAlignment="0" applyProtection="0"/>
    <xf numFmtId="0" fontId="195" fillId="81" borderId="0" applyNumberFormat="0" applyBorder="0" applyAlignment="0" applyProtection="0"/>
    <xf numFmtId="0" fontId="195" fillId="82" borderId="0" applyNumberFormat="0" applyBorder="0" applyAlignment="0" applyProtection="0"/>
    <xf numFmtId="0" fontId="195" fillId="83" borderId="0" applyNumberFormat="0" applyBorder="0" applyAlignment="0" applyProtection="0"/>
    <xf numFmtId="0" fontId="195" fillId="84" borderId="0" applyNumberFormat="0" applyBorder="0" applyAlignment="0" applyProtection="0"/>
    <xf numFmtId="0" fontId="195" fillId="85" borderId="0" applyNumberFormat="0" applyBorder="0" applyAlignment="0" applyProtection="0"/>
    <xf numFmtId="0" fontId="195" fillId="86" borderId="0" applyNumberFormat="0" applyBorder="0" applyAlignment="0" applyProtection="0"/>
    <xf numFmtId="0" fontId="195" fillId="81" borderId="0" applyNumberFormat="0" applyBorder="0" applyAlignment="0" applyProtection="0"/>
    <xf numFmtId="0" fontId="195" fillId="82" borderId="0" applyNumberFormat="0" applyBorder="0" applyAlignment="0" applyProtection="0"/>
    <xf numFmtId="0" fontId="195" fillId="87" borderId="0" applyNumberFormat="0" applyBorder="0" applyAlignment="0" applyProtection="0"/>
    <xf numFmtId="43" fontId="5" fillId="0" borderId="0" applyFont="0" applyFill="0" applyBorder="0" applyAlignment="0" applyProtection="0"/>
    <xf numFmtId="290" fontId="136" fillId="0" borderId="2">
      <alignment horizontal="centerContinuous"/>
    </xf>
    <xf numFmtId="187" fontId="5" fillId="0" borderId="0" applyFont="0" applyFill="0" applyBorder="0" applyAlignment="0" applyProtection="0"/>
    <xf numFmtId="284" fontId="5" fillId="0" borderId="0">
      <alignment horizontal="left" wrapText="1"/>
    </xf>
    <xf numFmtId="9" fontId="5" fillId="0" borderId="0" applyFont="0" applyFill="0" applyBorder="0" applyAlignment="0" applyProtection="0"/>
    <xf numFmtId="43" fontId="5" fillId="0" borderId="0" applyFont="0" applyFill="0" applyBorder="0" applyAlignment="0" applyProtection="0"/>
    <xf numFmtId="0" fontId="141" fillId="0" borderId="24">
      <protection hidden="1"/>
    </xf>
    <xf numFmtId="0" fontId="212" fillId="71" borderId="0" applyNumberFormat="0" applyBorder="0" applyAlignment="0" applyProtection="0"/>
    <xf numFmtId="9" fontId="5" fillId="0" borderId="0" applyFont="0" applyFill="0" applyBorder="0" applyAlignment="0" applyProtection="0"/>
    <xf numFmtId="176" fontId="33" fillId="0" borderId="4" applyBorder="0"/>
    <xf numFmtId="38" fontId="21" fillId="0" borderId="0" applyFont="0" applyFill="0" applyBorder="0" applyAlignment="0" applyProtection="0"/>
    <xf numFmtId="43" fontId="5" fillId="0" borderId="0" applyFont="0" applyFill="0" applyBorder="0" applyAlignment="0" applyProtection="0"/>
    <xf numFmtId="0" fontId="213" fillId="9" borderId="58" applyNumberFormat="0" applyAlignment="0" applyProtection="0"/>
    <xf numFmtId="187" fontId="5" fillId="0" borderId="0" applyFont="0" applyFill="0" applyBorder="0" applyAlignment="0" applyProtection="0"/>
    <xf numFmtId="9" fontId="5" fillId="0" borderId="0" applyFont="0" applyFill="0" applyBorder="0" applyAlignment="0" applyProtection="0"/>
    <xf numFmtId="0" fontId="198" fillId="88" borderId="59" applyNumberFormat="0" applyAlignment="0" applyProtection="0"/>
    <xf numFmtId="0" fontId="1" fillId="0" borderId="0"/>
    <xf numFmtId="176" fontId="33" fillId="0" borderId="4" applyBorder="0"/>
    <xf numFmtId="43" fontId="5" fillId="0" borderId="0" applyFont="0" applyFill="0" applyBorder="0" applyAlignment="0" applyProtection="0"/>
    <xf numFmtId="14" fontId="34" fillId="0" borderId="1" applyFont="0">
      <alignment horizontal="right"/>
    </xf>
    <xf numFmtId="9" fontId="113" fillId="0" borderId="0" applyFont="0" applyFill="0" applyBorder="0" applyAlignment="0" applyProtection="0"/>
    <xf numFmtId="43" fontId="113" fillId="0" borderId="0" applyFont="0" applyFill="0" applyBorder="0" applyAlignment="0" applyProtection="0"/>
    <xf numFmtId="316" fontId="5" fillId="0" borderId="0" applyFont="0" applyFill="0" applyBorder="0" applyAlignment="0" applyProtection="0">
      <alignment horizontal="right"/>
    </xf>
    <xf numFmtId="187" fontId="5" fillId="0" borderId="0" applyFont="0" applyFill="0" applyBorder="0" applyAlignment="0" applyProtection="0"/>
    <xf numFmtId="317" fontId="21" fillId="0" borderId="0" applyFont="0" applyFill="0" applyBorder="0" applyAlignment="0" applyProtection="0">
      <alignment horizontal="right"/>
    </xf>
    <xf numFmtId="14" fontId="34" fillId="0" borderId="1" applyFont="0">
      <alignment horizontal="right"/>
    </xf>
    <xf numFmtId="14" fontId="34" fillId="0" borderId="1" applyFont="0">
      <alignment horizontal="right"/>
    </xf>
    <xf numFmtId="184" fontId="21" fillId="0" borderId="0" applyFont="0" applyFill="0" applyBorder="0" applyAlignment="0" applyProtection="0"/>
    <xf numFmtId="176" fontId="33" fillId="0" borderId="4" applyBorder="0"/>
    <xf numFmtId="14" fontId="34" fillId="0" borderId="1" applyFont="0">
      <alignment horizontal="right"/>
    </xf>
    <xf numFmtId="273" fontId="5" fillId="10" borderId="0" applyFont="0" applyBorder="0" applyAlignment="0">
      <protection locked="0"/>
    </xf>
    <xf numFmtId="273" fontId="5" fillId="10" borderId="0" applyFont="0" applyBorder="0" applyAlignment="0">
      <protection locked="0"/>
    </xf>
    <xf numFmtId="169" fontId="115" fillId="0" borderId="29" applyNumberFormat="0" applyAlignment="0" applyProtection="0">
      <alignment vertical="top"/>
    </xf>
    <xf numFmtId="273" fontId="5" fillId="10" borderId="0" applyFont="0" applyBorder="0" applyAlignment="0">
      <protection locked="0"/>
    </xf>
    <xf numFmtId="3" fontId="218" fillId="17" borderId="21"/>
    <xf numFmtId="3" fontId="218" fillId="17" borderId="21"/>
    <xf numFmtId="3" fontId="218" fillId="17" borderId="21"/>
    <xf numFmtId="0" fontId="216" fillId="0" borderId="2"/>
    <xf numFmtId="0" fontId="217" fillId="0" borderId="0"/>
    <xf numFmtId="0" fontId="216" fillId="0" borderId="2"/>
    <xf numFmtId="0" fontId="217" fillId="0" borderId="0"/>
    <xf numFmtId="0" fontId="216" fillId="0" borderId="2"/>
    <xf numFmtId="0" fontId="217" fillId="0" borderId="0"/>
    <xf numFmtId="0" fontId="217" fillId="0" borderId="0"/>
    <xf numFmtId="0" fontId="216" fillId="0" borderId="2"/>
    <xf numFmtId="0" fontId="217" fillId="0" borderId="0"/>
    <xf numFmtId="0" fontId="216" fillId="0" borderId="2"/>
    <xf numFmtId="0" fontId="217" fillId="0" borderId="0"/>
    <xf numFmtId="237" fontId="115" fillId="0" borderId="29" applyNumberFormat="0" applyAlignment="0" applyProtection="0">
      <alignment vertical="top"/>
    </xf>
    <xf numFmtId="0" fontId="216" fillId="0" borderId="2"/>
    <xf numFmtId="273" fontId="5" fillId="10" borderId="0" applyFont="0" applyBorder="0" applyAlignment="0">
      <protection locked="0"/>
    </xf>
    <xf numFmtId="0" fontId="214" fillId="0" borderId="0" applyNumberFormat="0" applyFill="0" applyBorder="0" applyAlignment="0" applyProtection="0"/>
    <xf numFmtId="3" fontId="218" fillId="17" borderId="21"/>
    <xf numFmtId="273" fontId="5" fillId="10" borderId="0" applyFont="0" applyBorder="0" applyAlignment="0">
      <protection locked="0"/>
    </xf>
    <xf numFmtId="3" fontId="218" fillId="17" borderId="21"/>
    <xf numFmtId="3" fontId="218" fillId="17" borderId="21"/>
    <xf numFmtId="0" fontId="215" fillId="72" borderId="0" applyNumberFormat="0" applyBorder="0" applyAlignment="0" applyProtection="0"/>
    <xf numFmtId="273" fontId="5" fillId="10" borderId="0" applyFont="0" applyBorder="0" applyAlignment="0">
      <protection locked="0"/>
    </xf>
    <xf numFmtId="38" fontId="32" fillId="19" borderId="0" applyNumberFormat="0" applyBorder="0" applyAlignment="0" applyProtection="0"/>
    <xf numFmtId="273" fontId="5" fillId="10" borderId="0" applyFont="0" applyBorder="0" applyAlignment="0">
      <protection locked="0"/>
    </xf>
    <xf numFmtId="273" fontId="5" fillId="10" borderId="0" applyFont="0" applyBorder="0" applyAlignment="0">
      <protection locked="0"/>
    </xf>
    <xf numFmtId="273" fontId="5" fillId="10" borderId="0" applyFont="0" applyBorder="0" applyAlignment="0">
      <protection locked="0"/>
    </xf>
    <xf numFmtId="273" fontId="5" fillId="10" borderId="0" applyFont="0" applyBorder="0" applyAlignment="0">
      <protection locked="0"/>
    </xf>
    <xf numFmtId="273" fontId="5" fillId="10" borderId="0" applyFont="0" applyBorder="0" applyAlignment="0">
      <protection locked="0"/>
    </xf>
    <xf numFmtId="0" fontId="216" fillId="0" borderId="2"/>
    <xf numFmtId="0" fontId="217" fillId="0" borderId="0"/>
    <xf numFmtId="0" fontId="29" fillId="0" borderId="0"/>
    <xf numFmtId="0" fontId="105" fillId="0" borderId="0"/>
    <xf numFmtId="273" fontId="5" fillId="10" borderId="0" applyFont="0" applyBorder="0" applyAlignment="0">
      <protection locked="0"/>
    </xf>
    <xf numFmtId="273" fontId="5" fillId="10" borderId="0" applyFont="0" applyBorder="0" applyAlignment="0">
      <protection locked="0"/>
    </xf>
    <xf numFmtId="3" fontId="218" fillId="17" borderId="21"/>
    <xf numFmtId="273" fontId="5" fillId="10" borderId="0" applyFont="0" applyBorder="0" applyAlignment="0">
      <protection locked="0"/>
    </xf>
    <xf numFmtId="273" fontId="5" fillId="10" borderId="0" applyFont="0" applyBorder="0" applyAlignment="0">
      <protection locked="0"/>
    </xf>
    <xf numFmtId="273" fontId="5" fillId="10" borderId="0" applyFont="0" applyBorder="0" applyAlignment="0">
      <protection locked="0"/>
    </xf>
    <xf numFmtId="0" fontId="216" fillId="0" borderId="2"/>
    <xf numFmtId="0" fontId="217" fillId="0" borderId="0"/>
    <xf numFmtId="0" fontId="219" fillId="0" borderId="60" applyNumberFormat="0" applyFill="0" applyAlignment="0" applyProtection="0"/>
    <xf numFmtId="14" fontId="34" fillId="0" borderId="1" applyFont="0">
      <alignment horizontal="right"/>
    </xf>
    <xf numFmtId="187" fontId="113" fillId="0" borderId="0" applyFont="0" applyFill="0" applyBorder="0" applyAlignment="0" applyProtection="0"/>
    <xf numFmtId="0" fontId="189" fillId="0" borderId="0" applyNumberFormat="0" applyFill="0" applyBorder="0" applyAlignment="0" applyProtection="0"/>
    <xf numFmtId="0" fontId="220" fillId="89" borderId="0" applyNumberFormat="0" applyBorder="0" applyAlignment="0" applyProtection="0"/>
    <xf numFmtId="9" fontId="5" fillId="0" borderId="0"/>
    <xf numFmtId="9" fontId="5" fillId="0" borderId="0" applyFont="0" applyFill="0" applyBorder="0" applyAlignment="0" applyProtection="0"/>
    <xf numFmtId="169" fontId="16" fillId="0" borderId="0"/>
    <xf numFmtId="2" fontId="16" fillId="0" borderId="0"/>
    <xf numFmtId="289" fontId="5" fillId="0" borderId="0"/>
    <xf numFmtId="187" fontId="5" fillId="0" borderId="0" applyFont="0" applyFill="0" applyBorder="0" applyAlignment="0" applyProtection="0"/>
    <xf numFmtId="14" fontId="34" fillId="0" borderId="1" applyFont="0">
      <alignment horizontal="right"/>
    </xf>
    <xf numFmtId="293" fontId="21" fillId="0" borderId="8" applyBorder="0"/>
    <xf numFmtId="9" fontId="5" fillId="0" borderId="0" applyFont="0" applyFill="0" applyBorder="0" applyAlignment="0" applyProtection="0"/>
    <xf numFmtId="0" fontId="21" fillId="0" borderId="0" applyNumberFormat="0" applyFill="0" applyBorder="0" applyAlignment="0" applyProtection="0"/>
    <xf numFmtId="297" fontId="5" fillId="0" borderId="0"/>
    <xf numFmtId="302" fontId="5" fillId="0" borderId="0" applyFont="0" applyFill="0" applyBorder="0" applyAlignment="0" applyProtection="0"/>
    <xf numFmtId="187" fontId="5" fillId="0" borderId="0" applyFont="0" applyFill="0" applyBorder="0" applyAlignment="0" applyProtection="0"/>
    <xf numFmtId="0" fontId="1" fillId="0" borderId="0"/>
    <xf numFmtId="43" fontId="5" fillId="0" borderId="0" applyFont="0" applyFill="0" applyBorder="0" applyAlignment="0" applyProtection="0"/>
    <xf numFmtId="0" fontId="5" fillId="90" borderId="61" applyNumberFormat="0" applyFont="0" applyAlignment="0" applyProtection="0"/>
    <xf numFmtId="176" fontId="33" fillId="0" borderId="4" applyBorder="0"/>
    <xf numFmtId="0" fontId="221" fillId="9" borderId="62" applyNumberFormat="0" applyAlignment="0" applyProtection="0"/>
    <xf numFmtId="9" fontId="21" fillId="0" borderId="0" applyFont="0" applyFill="0" applyBorder="0" applyAlignment="0" applyProtection="0"/>
    <xf numFmtId="43" fontId="113"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0" fontId="5" fillId="0" borderId="0" applyFont="0" applyFill="0" applyBorder="0" applyAlignment="0" applyProtection="0"/>
    <xf numFmtId="9" fontId="21" fillId="0" borderId="0" applyFont="0" applyFill="0" applyBorder="0" applyAlignment="0" applyProtection="0"/>
    <xf numFmtId="0" fontId="1" fillId="0" borderId="0"/>
    <xf numFmtId="176" fontId="33" fillId="0" borderId="4" applyBorder="0"/>
    <xf numFmtId="0" fontId="5" fillId="0" borderId="0" applyNumberFormat="0" applyFill="0" applyBorder="0" applyAlignment="0" applyProtection="0"/>
    <xf numFmtId="187" fontId="5" fillId="0" borderId="0" applyFont="0" applyFill="0" applyBorder="0" applyAlignment="0" applyProtection="0"/>
    <xf numFmtId="0" fontId="176" fillId="0" borderId="2" applyNumberFormat="0" applyFill="0" applyProtection="0"/>
    <xf numFmtId="0" fontId="48" fillId="0" borderId="0"/>
    <xf numFmtId="0" fontId="1" fillId="0" borderId="0"/>
    <xf numFmtId="237" fontId="62" fillId="0" borderId="0" applyBorder="0"/>
    <xf numFmtId="43" fontId="113" fillId="0" borderId="0" applyFont="0" applyFill="0" applyBorder="0" applyAlignment="0" applyProtection="0"/>
    <xf numFmtId="0" fontId="5" fillId="0" borderId="0" applyNumberFormat="0" applyFill="0" applyBorder="0" applyAlignment="0" applyProtection="0"/>
    <xf numFmtId="0" fontId="129" fillId="0" borderId="63" applyNumberFormat="0" applyFill="0" applyAlignment="0" applyProtection="0"/>
    <xf numFmtId="176" fontId="33" fillId="0" borderId="4" applyBorder="0"/>
    <xf numFmtId="14" fontId="34" fillId="0" borderId="1" applyFont="0">
      <alignment horizontal="right"/>
    </xf>
    <xf numFmtId="187" fontId="113" fillId="0" borderId="0" applyFont="0" applyFill="0" applyBorder="0" applyAlignment="0" applyProtection="0"/>
    <xf numFmtId="0" fontId="5" fillId="0" borderId="0" applyNumberFormat="0" applyFill="0" applyBorder="0" applyAlignment="0" applyProtection="0"/>
    <xf numFmtId="176" fontId="33" fillId="0" borderId="4" applyBorder="0"/>
    <xf numFmtId="14" fontId="34" fillId="0" borderId="1" applyFont="0">
      <alignment horizontal="right"/>
    </xf>
    <xf numFmtId="289" fontId="16" fillId="0" borderId="0"/>
    <xf numFmtId="187" fontId="5" fillId="0" borderId="0" applyFont="0" applyFill="0" applyBorder="0" applyAlignment="0" applyProtection="0"/>
    <xf numFmtId="289" fontId="5" fillId="0" borderId="0"/>
    <xf numFmtId="0" fontId="5" fillId="0" borderId="0" applyNumberFormat="0" applyFill="0" applyBorder="0" applyAlignment="0" applyProtection="0"/>
    <xf numFmtId="187" fontId="113" fillId="0" borderId="0" applyFont="0" applyFill="0" applyBorder="0" applyAlignment="0" applyProtection="0"/>
    <xf numFmtId="0" fontId="1" fillId="0" borderId="0"/>
    <xf numFmtId="9" fontId="113" fillId="0" borderId="0" applyFont="0" applyFill="0" applyBorder="0" applyAlignment="0" applyProtection="0"/>
    <xf numFmtId="184" fontId="5"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176" fontId="33" fillId="0" borderId="4" applyBorder="0"/>
    <xf numFmtId="0" fontId="1" fillId="0" borderId="0"/>
    <xf numFmtId="3" fontId="218" fillId="17" borderId="21"/>
    <xf numFmtId="9" fontId="113" fillId="0" borderId="0" applyFont="0" applyFill="0" applyBorder="0" applyAlignment="0" applyProtection="0"/>
    <xf numFmtId="187"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xf numFmtId="289" fontId="5" fillId="0" borderId="0"/>
    <xf numFmtId="176" fontId="33" fillId="0" borderId="4" applyBorder="0"/>
    <xf numFmtId="296" fontId="5" fillId="0" borderId="0"/>
    <xf numFmtId="14" fontId="34" fillId="0" borderId="1" applyFont="0">
      <alignment horizontal="right"/>
    </xf>
    <xf numFmtId="38" fontId="21" fillId="0" borderId="0" applyFont="0" applyFill="0" applyBorder="0" applyAlignment="0" applyProtection="0"/>
    <xf numFmtId="43" fontId="113" fillId="0" borderId="0" applyFont="0" applyFill="0" applyBorder="0" applyAlignment="0" applyProtection="0"/>
    <xf numFmtId="0" fontId="5" fillId="0" borderId="0" applyNumberFormat="0" applyFill="0" applyBorder="0" applyAlignment="0" applyProtection="0"/>
    <xf numFmtId="176" fontId="33" fillId="0" borderId="4" applyBorder="0"/>
    <xf numFmtId="38" fontId="21" fillId="0" borderId="0" applyFont="0" applyFill="0" applyBorder="0" applyAlignment="0" applyProtection="0"/>
    <xf numFmtId="14" fontId="34" fillId="0" borderId="1" applyFont="0">
      <alignment horizontal="right"/>
    </xf>
    <xf numFmtId="0" fontId="16" fillId="0" borderId="0"/>
    <xf numFmtId="0" fontId="5" fillId="0" borderId="0" applyNumberFormat="0" applyFill="0" applyBorder="0" applyAlignment="0" applyProtection="0"/>
    <xf numFmtId="187" fontId="5" fillId="0" borderId="0" applyFont="0" applyFill="0" applyBorder="0" applyAlignment="0" applyProtection="0"/>
    <xf numFmtId="176" fontId="33" fillId="0" borderId="4" applyBorder="0"/>
    <xf numFmtId="14" fontId="34" fillId="0" borderId="1" applyFont="0">
      <alignment horizontal="right"/>
    </xf>
    <xf numFmtId="14" fontId="34" fillId="0" borderId="1" applyFont="0">
      <alignment horizontal="right"/>
    </xf>
    <xf numFmtId="187" fontId="5" fillId="0" borderId="0" applyFont="0" applyFill="0" applyBorder="0" applyAlignment="0" applyProtection="0"/>
    <xf numFmtId="187" fontId="5" fillId="0" borderId="0" applyFon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187" fontId="113" fillId="0" borderId="0" applyFont="0" applyFill="0" applyBorder="0" applyAlignment="0" applyProtection="0"/>
    <xf numFmtId="187" fontId="5" fillId="0" borderId="0" applyFont="0" applyFill="0" applyBorder="0" applyAlignment="0" applyProtection="0"/>
    <xf numFmtId="14" fontId="34" fillId="0" borderId="1" applyFont="0">
      <alignment horizontal="right"/>
    </xf>
    <xf numFmtId="9" fontId="113" fillId="0" borderId="0" applyFont="0" applyFill="0" applyBorder="0" applyAlignment="0" applyProtection="0"/>
    <xf numFmtId="184" fontId="21" fillId="0" borderId="0" applyFont="0" applyFill="0" applyBorder="0" applyAlignment="0" applyProtection="0"/>
    <xf numFmtId="187" fontId="113" fillId="0" borderId="0" applyFont="0" applyFill="0" applyBorder="0" applyAlignment="0" applyProtection="0"/>
    <xf numFmtId="317" fontId="21" fillId="0" borderId="0" applyFont="0" applyFill="0" applyBorder="0" applyAlignment="0" applyProtection="0">
      <alignment horizontal="right"/>
    </xf>
    <xf numFmtId="14" fontId="34" fillId="0" borderId="1" applyFont="0">
      <alignment horizontal="right"/>
    </xf>
    <xf numFmtId="43" fontId="5" fillId="0" borderId="0" applyFont="0" applyFill="0" applyBorder="0" applyAlignment="0" applyProtection="0"/>
    <xf numFmtId="3" fontId="218" fillId="17" borderId="21"/>
    <xf numFmtId="0" fontId="21" fillId="0" borderId="0"/>
    <xf numFmtId="316" fontId="5" fillId="0" borderId="0" applyFont="0" applyFill="0" applyBorder="0" applyAlignment="0" applyProtection="0">
      <alignment horizontal="right"/>
    </xf>
    <xf numFmtId="289" fontId="5" fillId="0" borderId="0"/>
    <xf numFmtId="43" fontId="113" fillId="0" borderId="0" applyFont="0" applyFill="0" applyBorder="0" applyAlignment="0" applyProtection="0"/>
    <xf numFmtId="14" fontId="34" fillId="0" borderId="1" applyFont="0">
      <alignment horizontal="right"/>
    </xf>
    <xf numFmtId="300" fontId="5" fillId="0" borderId="0" applyFont="0" applyFill="0" applyBorder="0" applyAlignment="0" applyProtection="0"/>
    <xf numFmtId="289" fontId="5" fillId="0" borderId="0"/>
    <xf numFmtId="43" fontId="1" fillId="0" borderId="0" applyFont="0" applyFill="0" applyBorder="0" applyAlignment="0" applyProtection="0"/>
    <xf numFmtId="176" fontId="33" fillId="0" borderId="4" applyBorder="0"/>
    <xf numFmtId="289" fontId="16" fillId="0" borderId="0"/>
    <xf numFmtId="9" fontId="113" fillId="0" borderId="0" applyFont="0" applyFill="0" applyBorder="0" applyAlignment="0" applyProtection="0"/>
    <xf numFmtId="43"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273" fontId="5" fillId="10" borderId="0" applyFont="0" applyBorder="0" applyAlignment="0">
      <protection locked="0"/>
    </xf>
    <xf numFmtId="3" fontId="218" fillId="17" borderId="21"/>
    <xf numFmtId="176" fontId="33" fillId="0" borderId="4" applyBorder="0"/>
    <xf numFmtId="0" fontId="1" fillId="0" borderId="0"/>
    <xf numFmtId="0" fontId="1" fillId="0" borderId="0"/>
    <xf numFmtId="0" fontId="1" fillId="0" borderId="0"/>
    <xf numFmtId="0" fontId="1" fillId="0" borderId="0"/>
    <xf numFmtId="0" fontId="1" fillId="0" borderId="0"/>
    <xf numFmtId="0" fontId="1" fillId="0" borderId="0"/>
    <xf numFmtId="187" fontId="5" fillId="0" borderId="0" applyFont="0" applyFill="0" applyBorder="0" applyAlignment="0" applyProtection="0"/>
    <xf numFmtId="176" fontId="33" fillId="0" borderId="4" applyBorder="0"/>
    <xf numFmtId="14" fontId="34" fillId="0" borderId="1" applyFont="0">
      <alignment horizontal="right"/>
    </xf>
    <xf numFmtId="184" fontId="21" fillId="0" borderId="0" applyFont="0" applyFill="0" applyBorder="0" applyAlignment="0" applyProtection="0"/>
    <xf numFmtId="9" fontId="21" fillId="0" borderId="0" applyFont="0" applyFill="0" applyBorder="0" applyAlignment="0" applyProtection="0"/>
    <xf numFmtId="176" fontId="33" fillId="0" borderId="4" applyBorder="0"/>
    <xf numFmtId="284" fontId="5" fillId="0" borderId="0">
      <alignment horizontal="left" wrapText="1"/>
    </xf>
    <xf numFmtId="10" fontId="16" fillId="0" borderId="0"/>
    <xf numFmtId="37" fontId="21" fillId="0" borderId="0"/>
    <xf numFmtId="0" fontId="48" fillId="36" borderId="53" applyNumberFormat="0" applyFont="0" applyAlignment="0">
      <protection locked="0"/>
    </xf>
    <xf numFmtId="266" fontId="21" fillId="0" borderId="0" applyFont="0" applyFill="0" applyBorder="0" applyAlignment="0" applyProtection="0"/>
    <xf numFmtId="305" fontId="5" fillId="0" borderId="0" applyFont="0" applyFill="0" applyBorder="0" applyAlignment="0" applyProtection="0"/>
    <xf numFmtId="212" fontId="21" fillId="0" borderId="0" applyFont="0" applyFill="0" applyBorder="0" applyAlignment="0" applyProtection="0">
      <alignment horizontal="right"/>
    </xf>
    <xf numFmtId="3" fontId="218" fillId="17" borderId="21"/>
    <xf numFmtId="308" fontId="21" fillId="0" borderId="0"/>
    <xf numFmtId="187" fontId="5" fillId="0" borderId="0" applyFont="0" applyFill="0" applyBorder="0" applyAlignment="0" applyProtection="0"/>
    <xf numFmtId="187" fontId="5" fillId="0" borderId="0" applyFont="0" applyFill="0" applyBorder="0" applyAlignment="0" applyProtection="0"/>
    <xf numFmtId="9" fontId="21"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212" fontId="21" fillId="0" borderId="0" applyNumberFormat="0" applyAlignment="0">
      <alignment horizontal="left"/>
    </xf>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12" fontId="21" fillId="0" borderId="0" applyFont="0" applyFill="0" applyBorder="0" applyAlignment="0" applyProtection="0">
      <alignment horizontal="right"/>
    </xf>
    <xf numFmtId="9" fontId="5" fillId="0" borderId="0" applyFont="0" applyFill="0" applyBorder="0" applyAlignment="0" applyProtection="0"/>
    <xf numFmtId="9" fontId="5" fillId="0" borderId="0" applyFont="0" applyFill="0" applyBorder="0" applyAlignment="0" applyProtection="0"/>
    <xf numFmtId="176" fontId="21" fillId="0" borderId="0" applyFill="0" applyBorder="0" applyAlignment="0" applyProtection="0"/>
    <xf numFmtId="309" fontId="21" fillId="0" borderId="4" applyFont="0" applyFill="0" applyBorder="0" applyAlignment="0" applyProtection="0"/>
    <xf numFmtId="308" fontId="21" fillId="0" borderId="0"/>
    <xf numFmtId="37" fontId="21" fillId="0" borderId="0"/>
    <xf numFmtId="43" fontId="5" fillId="0" borderId="0" applyFont="0" applyFill="0" applyBorder="0" applyAlignment="0" applyProtection="0"/>
    <xf numFmtId="43" fontId="5" fillId="0" borderId="0" applyFont="0" applyFill="0" applyBorder="0" applyAlignment="0" applyProtection="0"/>
    <xf numFmtId="310" fontId="21" fillId="0" borderId="0">
      <alignment horizontal="right"/>
    </xf>
    <xf numFmtId="37" fontId="21"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 fillId="0" borderId="0"/>
    <xf numFmtId="9" fontId="5" fillId="0" borderId="0" applyFont="0" applyFill="0" applyBorder="0" applyAlignment="0" applyProtection="0"/>
    <xf numFmtId="37" fontId="21" fillId="0" borderId="0"/>
    <xf numFmtId="239" fontId="21" fillId="0" borderId="0" applyFill="0" applyBorder="0" applyAlignment="0" applyProtection="0"/>
    <xf numFmtId="43" fontId="5" fillId="0" borderId="0" applyFont="0" applyFill="0" applyBorder="0" applyAlignment="0" applyProtection="0"/>
    <xf numFmtId="37" fontId="21" fillId="0" borderId="0"/>
    <xf numFmtId="37" fontId="21" fillId="0" borderId="0"/>
    <xf numFmtId="9" fontId="5" fillId="0" borderId="0" applyFont="0" applyFill="0" applyBorder="0" applyAlignment="0" applyProtection="0"/>
    <xf numFmtId="43" fontId="5" fillId="0" borderId="0" applyFont="0" applyFill="0" applyBorder="0" applyAlignment="0" applyProtection="0"/>
    <xf numFmtId="37" fontId="21" fillId="0" borderId="0"/>
    <xf numFmtId="9" fontId="5" fillId="0" borderId="0" applyFont="0" applyFill="0" applyBorder="0" applyAlignment="0" applyProtection="0"/>
    <xf numFmtId="37" fontId="21" fillId="0" borderId="0"/>
    <xf numFmtId="0" fontId="43" fillId="0" borderId="7" applyNumberFormat="0" applyBorder="0" applyAlignment="0"/>
    <xf numFmtId="176" fontId="21" fillId="0" borderId="2" applyFont="0" applyFill="0" applyBorder="0" applyAlignment="0" applyProtection="0">
      <alignment horizontal="right"/>
    </xf>
    <xf numFmtId="0" fontId="5" fillId="0" borderId="0" applyNumberFormat="0" applyFill="0" applyBorder="0" applyAlignment="0" applyProtection="0"/>
    <xf numFmtId="37" fontId="21" fillId="39" borderId="21" applyNumberFormat="0" applyAlignment="0" applyProtection="0"/>
    <xf numFmtId="285" fontId="21" fillId="0" borderId="0"/>
    <xf numFmtId="315"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37" fontId="21" fillId="0" borderId="0"/>
    <xf numFmtId="9" fontId="5" fillId="0" borderId="0" applyFont="0" applyFill="0" applyBorder="0" applyAlignment="0" applyProtection="0"/>
    <xf numFmtId="37" fontId="21" fillId="0" borderId="0"/>
    <xf numFmtId="9" fontId="5" fillId="0" borderId="0" applyFont="0" applyFill="0" applyBorder="0" applyAlignment="0" applyProtection="0"/>
    <xf numFmtId="37" fontId="21" fillId="0" borderId="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 fillId="0" borderId="0"/>
    <xf numFmtId="43" fontId="5" fillId="0" borderId="0" applyFont="0" applyFill="0" applyBorder="0" applyAlignment="0" applyProtection="0"/>
    <xf numFmtId="37" fontId="21" fillId="0" borderId="0"/>
    <xf numFmtId="37" fontId="21" fillId="0" borderId="0"/>
    <xf numFmtId="37" fontId="21" fillId="0" borderId="0"/>
    <xf numFmtId="37" fontId="2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87" fontId="113" fillId="0" borderId="0" applyFont="0" applyFill="0" applyBorder="0" applyAlignment="0" applyProtection="0"/>
    <xf numFmtId="0" fontId="1" fillId="0" borderId="0"/>
    <xf numFmtId="9" fontId="113" fillId="0" borderId="0" applyFont="0" applyFill="0" applyBorder="0" applyAlignment="0" applyProtection="0"/>
    <xf numFmtId="0" fontId="1" fillId="0" borderId="0"/>
    <xf numFmtId="9" fontId="113" fillId="0" borderId="0" applyFont="0" applyFill="0" applyBorder="0" applyAlignment="0" applyProtection="0"/>
    <xf numFmtId="38" fontId="21" fillId="0" borderId="0" applyFont="0" applyFill="0" applyBorder="0" applyAlignment="0" applyProtection="0"/>
    <xf numFmtId="0" fontId="32" fillId="0" borderId="0" applyNumberFormat="0" applyFill="0" applyBorder="0" applyAlignment="0" applyProtection="0"/>
    <xf numFmtId="0" fontId="5" fillId="0" borderId="0"/>
    <xf numFmtId="0" fontId="5" fillId="0" borderId="0"/>
    <xf numFmtId="0" fontId="5" fillId="0" borderId="0"/>
    <xf numFmtId="0" fontId="5" fillId="0" borderId="0"/>
    <xf numFmtId="0" fontId="222" fillId="0" borderId="0" applyNumberFormat="0" applyFill="0" applyBorder="0" applyAlignment="0" applyProtection="0">
      <alignment vertical="top"/>
      <protection locked="0"/>
    </xf>
    <xf numFmtId="3" fontId="218" fillId="17" borderId="21"/>
    <xf numFmtId="9" fontId="21" fillId="0" borderId="0" applyFont="0" applyFill="0" applyBorder="0" applyAlignment="0" applyProtection="0"/>
    <xf numFmtId="184" fontId="21" fillId="0" borderId="0" applyFont="0" applyFill="0" applyBorder="0" applyAlignment="0" applyProtection="0"/>
    <xf numFmtId="0" fontId="189" fillId="0" borderId="0" applyNumberFormat="0" applyFill="0" applyBorder="0" applyAlignment="0" applyProtection="0"/>
    <xf numFmtId="14" fontId="34" fillId="0" borderId="1" applyFont="0">
      <alignment horizontal="right"/>
    </xf>
    <xf numFmtId="38" fontId="21" fillId="0" borderId="0" applyFont="0" applyFill="0" applyBorder="0" applyAlignment="0" applyProtection="0"/>
    <xf numFmtId="176" fontId="33" fillId="0" borderId="4" applyBorder="0"/>
    <xf numFmtId="0" fontId="5" fillId="0" borderId="0"/>
    <xf numFmtId="0" fontId="6" fillId="0" borderId="0"/>
    <xf numFmtId="0" fontId="1" fillId="0" borderId="0"/>
    <xf numFmtId="0" fontId="6" fillId="0" borderId="0"/>
    <xf numFmtId="0" fontId="6" fillId="0" borderId="0"/>
    <xf numFmtId="0" fontId="33" fillId="0" borderId="0" applyNumberFormat="0" applyAlignment="0">
      <alignment vertical="center"/>
    </xf>
    <xf numFmtId="0" fontId="33" fillId="15" borderId="0" applyNumberFormat="0">
      <alignment horizontal="center" vertical="top" wrapText="1"/>
    </xf>
    <xf numFmtId="43" fontId="6" fillId="0" borderId="0" applyFont="0" applyFill="0" applyBorder="0" applyAlignment="0" applyProtection="0"/>
    <xf numFmtId="43" fontId="6" fillId="0" borderId="0" applyFont="0" applyFill="0" applyBorder="0" applyAlignment="0" applyProtection="0"/>
    <xf numFmtId="196" fontId="33" fillId="0" borderId="0" applyFont="0" applyFill="0" applyBorder="0" applyAlignment="0" applyProtection="0">
      <alignment vertical="center"/>
    </xf>
    <xf numFmtId="201" fontId="33" fillId="0" borderId="0" applyFont="0" applyFill="0" applyBorder="0" applyAlignment="0" applyProtection="0">
      <alignment vertical="center"/>
    </xf>
    <xf numFmtId="202" fontId="33" fillId="0" borderId="0" applyFont="0" applyFill="0" applyBorder="0" applyAlignment="0" applyProtection="0">
      <alignment vertical="center"/>
    </xf>
    <xf numFmtId="199" fontId="33" fillId="0" borderId="0" applyFont="0" applyFill="0" applyBorder="0" applyAlignment="0" applyProtection="0">
      <alignment vertical="center"/>
    </xf>
    <xf numFmtId="200" fontId="33" fillId="0" borderId="0" applyFont="0" applyFill="0" applyBorder="0" applyAlignment="0" applyProtection="0">
      <alignment vertical="center"/>
    </xf>
    <xf numFmtId="197" fontId="33" fillId="0" borderId="0" applyFont="0" applyFill="0" applyBorder="0" applyAlignment="0" applyProtection="0">
      <alignment vertical="center"/>
    </xf>
    <xf numFmtId="198" fontId="33" fillId="0" borderId="0" applyFont="0" applyFill="0" applyBorder="0" applyAlignment="0" applyProtection="0">
      <alignment vertical="center"/>
    </xf>
    <xf numFmtId="207" fontId="33" fillId="0" borderId="0" applyFont="0" applyFill="0" applyBorder="0" applyAlignment="0" applyProtection="0">
      <alignment vertical="center"/>
    </xf>
    <xf numFmtId="208" fontId="33" fillId="0" borderId="0" applyFont="0" applyFill="0" applyBorder="0" applyAlignment="0" applyProtection="0">
      <alignment vertical="center"/>
    </xf>
    <xf numFmtId="205" fontId="33" fillId="0" borderId="0" applyFont="0" applyFill="0" applyBorder="0" applyAlignment="0" applyProtection="0">
      <alignment vertical="center"/>
    </xf>
    <xf numFmtId="206" fontId="33" fillId="0" borderId="0" applyFont="0" applyFill="0" applyBorder="0" applyAlignment="0" applyProtection="0">
      <alignment vertical="center"/>
    </xf>
    <xf numFmtId="203" fontId="33" fillId="0" borderId="0" applyFont="0" applyFill="0" applyBorder="0" applyAlignment="0" applyProtection="0">
      <alignment vertical="center"/>
    </xf>
    <xf numFmtId="204" fontId="33" fillId="0" borderId="0" applyFont="0" applyFill="0" applyBorder="0" applyAlignment="0" applyProtection="0">
      <alignment vertical="center"/>
    </xf>
    <xf numFmtId="209" fontId="33" fillId="0" borderId="0" applyFont="0" applyFill="0" applyBorder="0" applyAlignment="0" applyProtection="0">
      <alignment vertical="center"/>
    </xf>
    <xf numFmtId="210" fontId="33" fillId="0" borderId="0" applyFont="0" applyFill="0" applyBorder="0" applyAlignment="0" applyProtection="0">
      <alignment vertical="center"/>
    </xf>
    <xf numFmtId="0" fontId="5" fillId="0" borderId="0" applyProtection="0">
      <alignment horizontal="left"/>
    </xf>
    <xf numFmtId="0" fontId="5" fillId="0" borderId="0" applyProtection="0">
      <alignment horizontal="left"/>
    </xf>
    <xf numFmtId="0" fontId="33" fillId="4" borderId="0" applyNumberFormat="0" applyFont="0" applyBorder="0" applyAlignment="0" applyProtection="0">
      <alignment vertical="center"/>
    </xf>
    <xf numFmtId="16" fontId="5" fillId="0" borderId="0" applyNumberFormat="0" applyFill="0" applyBorder="0" applyAlignment="0" applyProtection="0">
      <alignment horizontal="right"/>
    </xf>
    <xf numFmtId="0" fontId="33" fillId="0" borderId="30" applyNumberFormat="0" applyAlignment="0">
      <alignment vertical="center"/>
    </xf>
    <xf numFmtId="0" fontId="33" fillId="0" borderId="31" applyNumberFormat="0" applyAlignment="0">
      <alignment vertical="center"/>
      <protection locked="0"/>
    </xf>
    <xf numFmtId="192" fontId="33" fillId="24" borderId="31" applyNumberFormat="0" applyAlignment="0">
      <alignment vertical="center"/>
      <protection locked="0"/>
    </xf>
    <xf numFmtId="0" fontId="33" fillId="20" borderId="0" applyNumberFormat="0" applyAlignment="0">
      <alignment vertical="center"/>
    </xf>
    <xf numFmtId="0" fontId="33" fillId="25" borderId="0" applyNumberFormat="0" applyAlignment="0">
      <alignment vertical="center"/>
    </xf>
    <xf numFmtId="0" fontId="33" fillId="0" borderId="32" applyNumberFormat="0" applyAlignment="0">
      <alignment vertical="center"/>
      <protection locked="0"/>
    </xf>
    <xf numFmtId="0" fontId="24" fillId="27" borderId="33">
      <alignment horizontal="left" vertical="center" wrapText="1"/>
    </xf>
    <xf numFmtId="0" fontId="32" fillId="0" borderId="0" applyNumberFormat="0" applyFill="0" applyBorder="0" applyAlignment="0" applyProtection="0">
      <alignment vertical="center"/>
    </xf>
    <xf numFmtId="192" fontId="33" fillId="0" borderId="0" applyFont="0" applyFill="0" applyBorder="0" applyAlignment="0" applyProtection="0">
      <alignment vertical="center"/>
    </xf>
    <xf numFmtId="193" fontId="33" fillId="0" borderId="0" applyFont="0" applyFill="0" applyBorder="0" applyAlignment="0" applyProtection="0">
      <alignment vertical="center"/>
    </xf>
    <xf numFmtId="0" fontId="18" fillId="0" borderId="0" applyNumberForma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94" fontId="33" fillId="0" borderId="0" applyFont="0" applyFill="0" applyBorder="0" applyAlignment="0" applyProtection="0">
      <alignment horizontal="right" vertical="center"/>
    </xf>
    <xf numFmtId="195" fontId="33" fillId="0" borderId="0" applyFont="0" applyFill="0" applyBorder="0" applyAlignment="0" applyProtection="0">
      <alignment vertical="center"/>
    </xf>
    <xf numFmtId="0" fontId="33" fillId="0" borderId="0" applyNumberFormat="0" applyFill="0" applyBorder="0">
      <alignment horizontal="left" vertical="center" wrapText="1" indent="1"/>
    </xf>
    <xf numFmtId="192" fontId="33" fillId="0" borderId="46" applyNumberFormat="0" applyFont="0" applyFill="0" applyAlignment="0" applyProtection="0">
      <alignment vertical="center"/>
    </xf>
    <xf numFmtId="0" fontId="33" fillId="19" borderId="0" applyNumberFormat="0" applyFont="0" applyBorder="0" applyAlignment="0" applyProtection="0">
      <alignment vertical="center"/>
    </xf>
    <xf numFmtId="0" fontId="33" fillId="0" borderId="0" applyNumberFormat="0" applyFont="0" applyFill="0" applyAlignment="0" applyProtection="0">
      <alignment vertical="center"/>
    </xf>
    <xf numFmtId="192" fontId="33" fillId="0" borderId="0" applyNumberFormat="0" applyFont="0" applyBorder="0" applyAlignment="0" applyProtection="0">
      <alignment vertical="center"/>
    </xf>
    <xf numFmtId="49" fontId="33" fillId="0" borderId="0" applyFont="0" applyFill="0" applyBorder="0" applyAlignment="0" applyProtection="0">
      <alignment horizontal="center" vertical="center"/>
    </xf>
    <xf numFmtId="186" fontId="18" fillId="0" borderId="2" applyFill="0" applyAlignment="0" applyProtection="0"/>
    <xf numFmtId="212" fontId="5" fillId="0" borderId="4" applyNumberFormat="0" applyFont="0" applyFill="0" applyAlignment="0"/>
    <xf numFmtId="192" fontId="36" fillId="0" borderId="0" applyNumberFormat="0" applyFill="0" applyBorder="0" applyAlignment="0" applyProtection="0">
      <alignment vertical="center"/>
    </xf>
    <xf numFmtId="0" fontId="33" fillId="0" borderId="0" applyNumberFormat="0" applyFont="0" applyBorder="0" applyAlignment="0" applyProtection="0">
      <alignment vertical="center"/>
    </xf>
    <xf numFmtId="0" fontId="33" fillId="0" borderId="0" applyNumberFormat="0" applyFont="0" applyAlignment="0" applyProtection="0">
      <alignment vertical="center"/>
    </xf>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40" fillId="0" borderId="51" applyNumberFormat="0" applyFill="0" applyBorder="0" applyAlignment="0" applyProtection="0"/>
    <xf numFmtId="0" fontId="61" fillId="0" borderId="51" applyNumberFormat="0" applyFill="0" applyBorder="0" applyAlignment="0" applyProtection="0"/>
    <xf numFmtId="0" fontId="114" fillId="0" borderId="51" applyNumberFormat="0" applyFill="0" applyBorder="0" applyAlignment="0" applyProtection="0"/>
    <xf numFmtId="0" fontId="32" fillId="0" borderId="51" applyNumberFormat="0" applyFill="0" applyAlignment="0" applyProtection="0"/>
    <xf numFmtId="262" fontId="152" fillId="0" borderId="4" applyNumberFormat="0" applyBorder="0"/>
    <xf numFmtId="0" fontId="34" fillId="4" borderId="33">
      <alignment horizontal="left" vertical="center" wrapText="1"/>
    </xf>
    <xf numFmtId="309" fontId="21" fillId="0" borderId="4" applyFont="0" applyFill="0" applyBorder="0" applyAlignment="0" applyProtection="0"/>
    <xf numFmtId="176" fontId="33" fillId="0" borderId="4" applyBorder="0"/>
    <xf numFmtId="0" fontId="173" fillId="0" borderId="4" applyNumberFormat="0" applyFill="0" applyProtection="0">
      <alignment horizontal="right"/>
    </xf>
    <xf numFmtId="0" fontId="175" fillId="0" borderId="51" applyNumberFormat="0" applyFill="0" applyBorder="0" applyAlignment="0" applyProtection="0"/>
    <xf numFmtId="0" fontId="1" fillId="0" borderId="0"/>
    <xf numFmtId="0" fontId="184" fillId="0" borderId="51" applyNumberFormat="0" applyFill="0" applyBorder="0" applyAlignment="0" applyProtection="0"/>
    <xf numFmtId="0" fontId="185" fillId="0" borderId="51" applyNumberFormat="0" applyFill="0" applyBorder="0" applyAlignment="0" applyProtection="0"/>
    <xf numFmtId="0" fontId="186" fillId="0" borderId="51"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33" fillId="0" borderId="4" applyBorder="0"/>
    <xf numFmtId="176" fontId="33" fillId="0" borderId="4" applyBorder="0"/>
    <xf numFmtId="0" fontId="1" fillId="0" borderId="0"/>
    <xf numFmtId="43" fontId="1" fillId="0" borderId="0" applyFont="0" applyFill="0" applyBorder="0" applyAlignment="0" applyProtection="0"/>
    <xf numFmtId="0" fontId="1" fillId="0" borderId="0"/>
    <xf numFmtId="176" fontId="33" fillId="0" borderId="4" applyBorder="0"/>
    <xf numFmtId="176" fontId="33" fillId="0" borderId="4" applyBorder="0"/>
    <xf numFmtId="0" fontId="213" fillId="9" borderId="58" applyNumberFormat="0" applyAlignment="0" applyProtection="0"/>
    <xf numFmtId="0" fontId="1" fillId="0" borderId="0"/>
    <xf numFmtId="176" fontId="33" fillId="0" borderId="4" applyBorder="0"/>
    <xf numFmtId="176" fontId="33" fillId="0" borderId="4" applyBorder="0"/>
    <xf numFmtId="0" fontId="1" fillId="0" borderId="0"/>
    <xf numFmtId="0" fontId="5" fillId="90" borderId="61" applyNumberFormat="0" applyFont="0" applyAlignment="0" applyProtection="0"/>
    <xf numFmtId="176" fontId="33" fillId="0" borderId="4" applyBorder="0"/>
    <xf numFmtId="0" fontId="221" fillId="9" borderId="62" applyNumberFormat="0" applyAlignment="0" applyProtection="0"/>
    <xf numFmtId="0" fontId="1" fillId="0" borderId="0"/>
    <xf numFmtId="176" fontId="33" fillId="0" borderId="4" applyBorder="0"/>
    <xf numFmtId="0" fontId="1" fillId="0" borderId="0"/>
    <xf numFmtId="0" fontId="129" fillId="0" borderId="63" applyNumberFormat="0" applyFill="0" applyAlignment="0" applyProtection="0"/>
    <xf numFmtId="176" fontId="33" fillId="0" borderId="4" applyBorder="0"/>
    <xf numFmtId="176" fontId="33" fillId="0" borderId="4" applyBorder="0"/>
    <xf numFmtId="0" fontId="1" fillId="0" borderId="0"/>
    <xf numFmtId="9" fontId="1" fillId="0" borderId="0" applyFont="0" applyFill="0" applyBorder="0" applyAlignment="0" applyProtection="0"/>
    <xf numFmtId="176" fontId="33" fillId="0" borderId="4" applyBorder="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33" fillId="0" borderId="4" applyBorder="0"/>
    <xf numFmtId="176" fontId="33" fillId="0" borderId="4" applyBorder="0"/>
    <xf numFmtId="176" fontId="33" fillId="0" borderId="4" applyBorder="0"/>
    <xf numFmtId="43" fontId="1" fillId="0" borderId="0" applyFont="0" applyFill="0" applyBorder="0" applyAlignment="0" applyProtection="0"/>
    <xf numFmtId="176" fontId="33" fillId="0" borderId="4" applyBorder="0"/>
    <xf numFmtId="43"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76" fontId="33" fillId="0" borderId="4" applyBorder="0"/>
    <xf numFmtId="0" fontId="1" fillId="0" borderId="0"/>
    <xf numFmtId="0" fontId="1" fillId="0" borderId="0"/>
    <xf numFmtId="0" fontId="1" fillId="0" borderId="0"/>
    <xf numFmtId="0" fontId="1" fillId="0" borderId="0"/>
    <xf numFmtId="0" fontId="1" fillId="0" borderId="0"/>
    <xf numFmtId="0" fontId="1" fillId="0" borderId="0"/>
    <xf numFmtId="176" fontId="33" fillId="0" borderId="4" applyBorder="0"/>
    <xf numFmtId="176" fontId="33" fillId="0" borderId="4" applyBorder="0"/>
    <xf numFmtId="309" fontId="21" fillId="0" borderId="4" applyFont="0" applyFill="0" applyBorder="0" applyAlignment="0" applyProtection="0"/>
    <xf numFmtId="0" fontId="1" fillId="0" borderId="0"/>
    <xf numFmtId="0" fontId="1" fillId="0" borderId="0"/>
    <xf numFmtId="176" fontId="33" fillId="0" borderId="4" applyBorder="0"/>
    <xf numFmtId="43" fontId="6"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0" fontId="5" fillId="0" borderId="0"/>
    <xf numFmtId="0" fontId="6" fillId="0" borderId="0"/>
    <xf numFmtId="0" fontId="6" fillId="0" borderId="0"/>
    <xf numFmtId="0" fontId="5" fillId="0" borderId="0"/>
    <xf numFmtId="0" fontId="5" fillId="0" borderId="0"/>
    <xf numFmtId="0" fontId="16" fillId="0" borderId="0"/>
    <xf numFmtId="0" fontId="5" fillId="0" borderId="0"/>
    <xf numFmtId="0" fontId="16" fillId="0" borderId="0"/>
    <xf numFmtId="0" fontId="15" fillId="0" borderId="0"/>
    <xf numFmtId="0" fontId="6" fillId="0" borderId="0"/>
    <xf numFmtId="0" fontId="5" fillId="0" borderId="0"/>
    <xf numFmtId="243" fontId="224" fillId="0" borderId="0" applyFont="0" applyFill="0" applyBorder="0" applyAlignment="0" applyProtection="0"/>
    <xf numFmtId="243" fontId="224" fillId="0" borderId="0" applyFont="0" applyFill="0" applyBorder="0" applyAlignment="0" applyProtection="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43" fillId="0" borderId="0" applyNumberFormat="0" applyFont="0" applyFill="0" applyBorder="0" applyAlignment="0" applyProtection="0"/>
    <xf numFmtId="0" fontId="5" fillId="0" borderId="0"/>
    <xf numFmtId="0" fontId="5" fillId="0" borderId="0"/>
    <xf numFmtId="318" fontId="33" fillId="0" borderId="0" applyFont="0" applyFill="0" applyBorder="0" applyAlignment="0" applyProtection="0"/>
    <xf numFmtId="319" fontId="33" fillId="0" borderId="0" applyFont="0" applyFill="0" applyBorder="0" applyAlignment="0" applyProtection="0"/>
    <xf numFmtId="212" fontId="5" fillId="0" borderId="0" applyFont="0" applyFill="0" applyBorder="0" applyAlignment="0" applyProtection="0"/>
    <xf numFmtId="212" fontId="5" fillId="0" borderId="0" applyFont="0" applyFill="0" applyBorder="0" applyAlignment="0" applyProtection="0"/>
    <xf numFmtId="320" fontId="33" fillId="0" borderId="0" applyFont="0" applyFill="0" applyBorder="0" applyAlignment="0" applyProtection="0"/>
    <xf numFmtId="213" fontId="5" fillId="0" borderId="0" applyFont="0" applyFill="0" applyBorder="0" applyAlignment="0" applyProtection="0"/>
    <xf numFmtId="213" fontId="5" fillId="0" borderId="0" applyFont="0" applyFill="0" applyBorder="0" applyAlignment="0" applyProtection="0"/>
    <xf numFmtId="321" fontId="33"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22" fontId="33" fillId="0" borderId="0" applyFont="0" applyFill="0" applyBorder="0" applyAlignment="0" applyProtection="0"/>
    <xf numFmtId="323" fontId="33" fillId="0" borderId="0" applyFont="0" applyFill="0" applyBorder="0" applyAlignment="0" applyProtection="0"/>
    <xf numFmtId="289" fontId="225" fillId="0" borderId="0" applyNumberFormat="0" applyFill="0" applyBorder="0" applyAlignment="0" applyProtection="0"/>
    <xf numFmtId="289" fontId="33" fillId="89" borderId="0" applyNumberFormat="0" applyFont="0" applyAlignment="0" applyProtection="0"/>
    <xf numFmtId="0" fontId="5" fillId="0" borderId="0" applyFont="0" applyFill="0" applyBorder="0" applyAlignment="0" applyProtection="0"/>
    <xf numFmtId="0" fontId="5"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14" fontId="5" fillId="0" borderId="0" applyFont="0" applyFill="0" applyBorder="0" applyAlignment="0" applyProtection="0"/>
    <xf numFmtId="214" fontId="5" fillId="0" borderId="0" applyFont="0" applyFill="0" applyBorder="0" applyAlignment="0" applyProtection="0"/>
    <xf numFmtId="324" fontId="33" fillId="0" borderId="0" applyFont="0" applyFill="0" applyBorder="0" applyAlignment="0" applyProtection="0"/>
    <xf numFmtId="215" fontId="5" fillId="0" borderId="0" applyFont="0" applyFill="0" applyBorder="0" applyAlignment="0" applyProtection="0"/>
    <xf numFmtId="215" fontId="5" fillId="0" borderId="0" applyFont="0" applyFill="0" applyBorder="0" applyAlignment="0" applyProtection="0"/>
    <xf numFmtId="325" fontId="33" fillId="0" borderId="0" applyFont="0" applyFill="0" applyBorder="0" applyProtection="0">
      <alignment horizontal="right"/>
    </xf>
    <xf numFmtId="216" fontId="5" fillId="0" borderId="0" applyFont="0" applyFill="0" applyBorder="0" applyAlignment="0" applyProtection="0"/>
    <xf numFmtId="216"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89" fontId="226" fillId="0" borderId="0" applyNumberFormat="0" applyFill="0" applyBorder="0" applyProtection="0">
      <alignment vertical="top"/>
    </xf>
    <xf numFmtId="289" fontId="227" fillId="0" borderId="64" applyNumberFormat="0" applyFill="0" applyAlignment="0" applyProtection="0"/>
    <xf numFmtId="289" fontId="228" fillId="0" borderId="65" applyNumberFormat="0" applyFill="0" applyProtection="0">
      <alignment horizontal="center"/>
    </xf>
    <xf numFmtId="289" fontId="228" fillId="0" borderId="0" applyNumberFormat="0" applyFill="0" applyBorder="0" applyProtection="0">
      <alignment horizontal="left"/>
    </xf>
    <xf numFmtId="289" fontId="229" fillId="0" borderId="0" applyNumberFormat="0" applyFill="0" applyBorder="0" applyProtection="0">
      <alignment horizontal="centerContinuous"/>
    </xf>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230" fillId="0" borderId="0"/>
    <xf numFmtId="164" fontId="5" fillId="0" borderId="0">
      <alignment horizontal="center"/>
    </xf>
    <xf numFmtId="0" fontId="113" fillId="70" borderId="0" applyNumberFormat="0" applyBorder="0" applyAlignment="0" applyProtection="0"/>
    <xf numFmtId="0" fontId="113" fillId="8" borderId="0" applyNumberFormat="0" applyBorder="0" applyAlignment="0" applyProtection="0"/>
    <xf numFmtId="0" fontId="113" fillId="71" borderId="0" applyNumberFormat="0" applyBorder="0" applyAlignment="0" applyProtection="0"/>
    <xf numFmtId="0" fontId="113" fillId="75" borderId="0" applyNumberFormat="0" applyBorder="0" applyAlignment="0" applyProtection="0"/>
    <xf numFmtId="0" fontId="113" fillId="72" borderId="0" applyNumberFormat="0" applyBorder="0" applyAlignment="0" applyProtection="0"/>
    <xf numFmtId="0" fontId="113" fillId="90" borderId="0" applyNumberFormat="0" applyBorder="0" applyAlignment="0" applyProtection="0"/>
    <xf numFmtId="0" fontId="113" fillId="73" borderId="0" applyNumberFormat="0" applyBorder="0" applyAlignment="0" applyProtection="0"/>
    <xf numFmtId="0" fontId="113" fillId="8" borderId="0" applyNumberFormat="0" applyBorder="0" applyAlignment="0" applyProtection="0"/>
    <xf numFmtId="0" fontId="113" fillId="74" borderId="0" applyNumberFormat="0" applyBorder="0" applyAlignment="0" applyProtection="0"/>
    <xf numFmtId="0" fontId="113" fillId="76" borderId="0" applyNumberFormat="0" applyBorder="0" applyAlignment="0" applyProtection="0"/>
    <xf numFmtId="0" fontId="113" fillId="9" borderId="0" applyNumberFormat="0" applyBorder="0" applyAlignment="0" applyProtection="0"/>
    <xf numFmtId="0" fontId="113" fillId="77" borderId="0" applyNumberFormat="0" applyBorder="0" applyAlignment="0" applyProtection="0"/>
    <xf numFmtId="0" fontId="113" fillId="78" borderId="0" applyNumberFormat="0" applyBorder="0" applyAlignment="0" applyProtection="0"/>
    <xf numFmtId="0" fontId="113" fillId="89" borderId="0" applyNumberFormat="0" applyBorder="0" applyAlignment="0" applyProtection="0"/>
    <xf numFmtId="0" fontId="113" fillId="73" borderId="0" applyNumberFormat="0" applyBorder="0" applyAlignment="0" applyProtection="0"/>
    <xf numFmtId="0" fontId="113" fillId="9" borderId="0" applyNumberFormat="0" applyBorder="0" applyAlignment="0" applyProtection="0"/>
    <xf numFmtId="0" fontId="113" fillId="76" borderId="0" applyNumberFormat="0" applyBorder="0" applyAlignment="0" applyProtection="0"/>
    <xf numFmtId="0" fontId="113" fillId="75" borderId="0" applyNumberFormat="0" applyBorder="0" applyAlignment="0" applyProtection="0"/>
    <xf numFmtId="0" fontId="195" fillId="80" borderId="0" applyNumberFormat="0" applyBorder="0" applyAlignment="0" applyProtection="0"/>
    <xf numFmtId="0" fontId="195" fillId="82" borderId="0" applyNumberFormat="0" applyBorder="0" applyAlignment="0" applyProtection="0"/>
    <xf numFmtId="0" fontId="195" fillId="77" borderId="0" applyNumberFormat="0" applyBorder="0" applyAlignment="0" applyProtection="0"/>
    <xf numFmtId="0" fontId="195" fillId="78" borderId="0" applyNumberFormat="0" applyBorder="0" applyAlignment="0" applyProtection="0"/>
    <xf numFmtId="0" fontId="195" fillId="89" borderId="0" applyNumberFormat="0" applyBorder="0" applyAlignment="0" applyProtection="0"/>
    <xf numFmtId="0" fontId="195" fillId="81" borderId="0" applyNumberFormat="0" applyBorder="0" applyAlignment="0" applyProtection="0"/>
    <xf numFmtId="0" fontId="195" fillId="9" borderId="0" applyNumberFormat="0" applyBorder="0" applyAlignment="0" applyProtection="0"/>
    <xf numFmtId="0" fontId="195" fillId="82" borderId="0" applyNumberFormat="0" applyBorder="0" applyAlignment="0" applyProtection="0"/>
    <xf numFmtId="0" fontId="195" fillId="83" borderId="0" applyNumberFormat="0" applyBorder="0" applyAlignment="0" applyProtection="0"/>
    <xf numFmtId="0" fontId="195" fillId="75" borderId="0" applyNumberFormat="0" applyBorder="0" applyAlignment="0" applyProtection="0"/>
    <xf numFmtId="166" fontId="5" fillId="0" borderId="0">
      <alignment horizontal="center"/>
    </xf>
    <xf numFmtId="165" fontId="5" fillId="0" borderId="0">
      <alignment horizontal="center"/>
    </xf>
    <xf numFmtId="175" fontId="5" fillId="0" borderId="0" applyNumberFormat="0" applyFill="0" applyBorder="0" applyAlignment="0"/>
    <xf numFmtId="175" fontId="5" fillId="0" borderId="0" applyNumberFormat="0" applyFill="0" applyBorder="0" applyAlignment="0"/>
    <xf numFmtId="0" fontId="195" fillId="84" borderId="0" applyNumberFormat="0" applyBorder="0" applyAlignment="0" applyProtection="0"/>
    <xf numFmtId="0" fontId="195" fillId="82" borderId="0" applyNumberFormat="0" applyBorder="0" applyAlignment="0" applyProtection="0"/>
    <xf numFmtId="0" fontId="195" fillId="85" borderId="0" applyNumberFormat="0" applyBorder="0" applyAlignment="0" applyProtection="0"/>
    <xf numFmtId="0" fontId="195" fillId="91" borderId="0" applyNumberFormat="0" applyBorder="0" applyAlignment="0" applyProtection="0"/>
    <xf numFmtId="0" fontId="195" fillId="86" borderId="0" applyNumberFormat="0" applyBorder="0" applyAlignment="0" applyProtection="0"/>
    <xf numFmtId="0" fontId="195" fillId="91" borderId="0" applyNumberFormat="0" applyBorder="0" applyAlignment="0" applyProtection="0"/>
    <xf numFmtId="0" fontId="195" fillId="81" borderId="0" applyNumberFormat="0" applyBorder="0" applyAlignment="0" applyProtection="0"/>
    <xf numFmtId="0" fontId="195" fillId="92" borderId="0" applyNumberFormat="0" applyBorder="0" applyAlignment="0" applyProtection="0"/>
    <xf numFmtId="0" fontId="195" fillId="82" borderId="0" applyNumberFormat="0" applyBorder="0" applyAlignment="0" applyProtection="0"/>
    <xf numFmtId="0" fontId="195" fillId="87" borderId="0" applyNumberFormat="0" applyBorder="0" applyAlignment="0" applyProtection="0"/>
    <xf numFmtId="219" fontId="5" fillId="0" borderId="0" applyFill="0" applyBorder="0" applyProtection="0">
      <alignment horizontal="right"/>
    </xf>
    <xf numFmtId="219" fontId="5" fillId="0" borderId="0" applyFill="0" applyBorder="0" applyProtection="0">
      <alignment horizontal="right"/>
    </xf>
    <xf numFmtId="290" fontId="173" fillId="19" borderId="2">
      <alignment horizontal="right"/>
    </xf>
    <xf numFmtId="0" fontId="5" fillId="93" borderId="0" applyNumberFormat="0" applyFont="0"/>
    <xf numFmtId="0" fontId="231" fillId="0" borderId="0"/>
    <xf numFmtId="220" fontId="21" fillId="0" borderId="0" applyFont="0" applyFill="0" applyBorder="0" applyAlignment="0" applyProtection="0"/>
    <xf numFmtId="220" fontId="21" fillId="0" borderId="0" applyFont="0" applyFill="0" applyBorder="0" applyAlignment="0" applyProtection="0"/>
    <xf numFmtId="220" fontId="21" fillId="0" borderId="0" applyFont="0" applyFill="0" applyBorder="0" applyAlignment="0" applyProtection="0"/>
    <xf numFmtId="220" fontId="21" fillId="0" borderId="0" applyFont="0" applyFill="0" applyBorder="0" applyAlignment="0" applyProtection="0"/>
    <xf numFmtId="220" fontId="21" fillId="0" borderId="0" applyFont="0" applyFill="0" applyBorder="0" applyAlignment="0" applyProtection="0"/>
    <xf numFmtId="220" fontId="21" fillId="0" borderId="0" applyFont="0" applyFill="0" applyBorder="0" applyAlignment="0" applyProtection="0"/>
    <xf numFmtId="220" fontId="21" fillId="0" borderId="0" applyFont="0" applyFill="0" applyBorder="0" applyAlignment="0" applyProtection="0"/>
    <xf numFmtId="220" fontId="21" fillId="0" borderId="0" applyFont="0" applyFill="0" applyBorder="0" applyAlignment="0" applyProtection="0"/>
    <xf numFmtId="220" fontId="21" fillId="0" borderId="0" applyFont="0" applyFill="0" applyBorder="0" applyAlignment="0" applyProtection="0"/>
    <xf numFmtId="0" fontId="5" fillId="0" borderId="0">
      <alignment horizontal="right"/>
    </xf>
    <xf numFmtId="0" fontId="48" fillId="0" borderId="0">
      <alignment horizontal="center" wrapText="1"/>
      <protection locked="0"/>
    </xf>
    <xf numFmtId="0" fontId="48" fillId="0" borderId="0">
      <alignment horizontal="center" wrapText="1"/>
      <protection locked="0"/>
    </xf>
    <xf numFmtId="0" fontId="48" fillId="0" borderId="0">
      <alignment horizontal="center" wrapText="1"/>
      <protection locked="0"/>
    </xf>
    <xf numFmtId="0" fontId="5" fillId="0" borderId="0" applyNumberFormat="0" applyFill="0" applyBorder="0" applyAlignment="0" applyProtection="0"/>
    <xf numFmtId="0" fontId="50" fillId="0" borderId="26" applyNumberFormat="0" applyFill="0" applyAlignment="0" applyProtection="0"/>
    <xf numFmtId="0" fontId="50" fillId="0" borderId="26" applyNumberFormat="0" applyFill="0" applyAlignment="0" applyProtection="0"/>
    <xf numFmtId="0" fontId="50" fillId="0" borderId="26" applyNumberFormat="0" applyFill="0" applyAlignment="0" applyProtection="0"/>
    <xf numFmtId="222" fontId="5" fillId="0" borderId="0" applyFont="0" applyFill="0" applyBorder="0" applyAlignment="0" applyProtection="0"/>
    <xf numFmtId="222" fontId="5" fillId="0" borderId="0" applyFont="0" applyFill="0" applyBorder="0" applyAlignment="0" applyProtection="0"/>
    <xf numFmtId="222" fontId="5" fillId="0" borderId="0" applyFont="0" applyFill="0" applyBorder="0" applyAlignment="0" applyProtection="0"/>
    <xf numFmtId="0" fontId="5" fillId="0" borderId="0"/>
    <xf numFmtId="0" fontId="5" fillId="0" borderId="0"/>
    <xf numFmtId="0" fontId="5" fillId="0" borderId="0"/>
    <xf numFmtId="0" fontId="159" fillId="0" borderId="0"/>
    <xf numFmtId="0" fontId="212" fillId="71" borderId="0" applyNumberFormat="0" applyBorder="0" applyAlignment="0" applyProtection="0"/>
    <xf numFmtId="0" fontId="232" fillId="71" borderId="0" applyNumberFormat="0" applyBorder="0" applyAlignment="0" applyProtection="0"/>
    <xf numFmtId="223" fontId="48" fillId="0" borderId="0" applyFill="0" applyBorder="0" applyAlignment="0" applyProtection="0">
      <protection locked="0"/>
    </xf>
    <xf numFmtId="0" fontId="52" fillId="12" borderId="0"/>
    <xf numFmtId="0" fontId="52" fillId="12" borderId="0"/>
    <xf numFmtId="0" fontId="198" fillId="94" borderId="0"/>
    <xf numFmtId="0" fontId="223" fillId="13" borderId="66">
      <alignment horizontal="center" vertical="center"/>
    </xf>
    <xf numFmtId="39" fontId="56" fillId="0" borderId="6" applyNumberFormat="0" applyFill="0" applyBorder="0"/>
    <xf numFmtId="39" fontId="56" fillId="0" borderId="6" applyNumberFormat="0" applyFill="0" applyBorder="0"/>
    <xf numFmtId="39" fontId="56" fillId="0" borderId="6" applyNumberFormat="0" applyFill="0" applyBorder="0"/>
    <xf numFmtId="223" fontId="48" fillId="0" borderId="0" applyFont="0" applyFill="0" applyBorder="0" applyAlignment="0" applyProtection="0">
      <protection locked="0"/>
    </xf>
    <xf numFmtId="0" fontId="198" fillId="88" borderId="59" applyNumberFormat="0" applyAlignment="0" applyProtection="0"/>
    <xf numFmtId="0" fontId="16" fillId="0" borderId="0">
      <alignment horizontal="center" wrapText="1"/>
      <protection hidden="1"/>
    </xf>
    <xf numFmtId="0" fontId="16" fillId="0" borderId="0">
      <alignment horizontal="center" wrapText="1"/>
      <protection hidden="1"/>
    </xf>
    <xf numFmtId="0" fontId="29" fillId="14" borderId="0" applyNumberFormat="0" applyBorder="0" applyProtection="0">
      <alignment horizontal="centerContinuous" vertical="center"/>
    </xf>
    <xf numFmtId="0" fontId="29" fillId="14" borderId="0" applyNumberFormat="0" applyBorder="0" applyProtection="0">
      <alignment horizontal="centerContinuous" vertical="center"/>
    </xf>
    <xf numFmtId="0" fontId="29" fillId="14" borderId="0" applyNumberFormat="0" applyBorder="0" applyProtection="0">
      <alignment horizontal="centerContinuous" vertical="center"/>
    </xf>
    <xf numFmtId="0" fontId="29" fillId="14" borderId="12" applyNumberFormat="0" applyProtection="0">
      <alignment horizontal="center" vertical="center" wrapText="1"/>
    </xf>
    <xf numFmtId="0" fontId="29" fillId="14" borderId="12" applyNumberFormat="0" applyProtection="0">
      <alignment horizontal="center" vertical="center" wrapText="1"/>
    </xf>
    <xf numFmtId="0" fontId="29" fillId="14" borderId="12" applyNumberFormat="0" applyProtection="0">
      <alignment horizontal="center" vertical="center" wrapText="1"/>
    </xf>
    <xf numFmtId="0" fontId="29" fillId="14" borderId="12" applyNumberFormat="0" applyProtection="0">
      <alignment horizontal="center" vertical="center" wrapText="1"/>
    </xf>
    <xf numFmtId="0" fontId="29" fillId="14" borderId="12" applyNumberFormat="0" applyProtection="0">
      <alignment horizontal="center" vertical="center" wrapText="1"/>
    </xf>
    <xf numFmtId="0" fontId="29" fillId="14" borderId="12" applyNumberFormat="0" applyProtection="0">
      <alignment horizontal="center" vertical="center" wrapText="1"/>
    </xf>
    <xf numFmtId="0" fontId="29" fillId="14" borderId="12" applyNumberFormat="0" applyProtection="0">
      <alignment horizontal="center" vertical="center" wrapText="1"/>
    </xf>
    <xf numFmtId="0" fontId="29" fillId="14" borderId="12" applyNumberFormat="0" applyProtection="0">
      <alignment horizontal="center" vertical="center" wrapText="1"/>
    </xf>
    <xf numFmtId="0" fontId="29" fillId="14" borderId="12" applyNumberFormat="0" applyProtection="0">
      <alignment horizontal="center" vertical="center" wrapText="1"/>
    </xf>
    <xf numFmtId="0" fontId="36" fillId="15" borderId="0" applyNumberFormat="0">
      <alignment horizontal="left" vertical="top" wrapText="1"/>
    </xf>
    <xf numFmtId="0" fontId="36" fillId="20" borderId="0" applyNumberFormat="0">
      <alignment horizontal="left" vertical="top" wrapText="1"/>
    </xf>
    <xf numFmtId="0" fontId="36" fillId="15" borderId="0" applyNumberFormat="0">
      <alignment horizontal="centerContinuous" vertical="top"/>
    </xf>
    <xf numFmtId="0" fontId="36" fillId="20" borderId="0" applyNumberFormat="0">
      <alignment horizontal="centerContinuous" vertical="top"/>
    </xf>
    <xf numFmtId="0" fontId="33" fillId="20" borderId="0" applyNumberFormat="0">
      <alignment horizontal="center" vertical="top" wrapText="1"/>
    </xf>
    <xf numFmtId="0" fontId="36" fillId="20" borderId="0" applyNumberFormat="0">
      <alignment horizontal="center" vertical="top" wrapText="1"/>
    </xf>
    <xf numFmtId="0" fontId="36" fillId="20" borderId="0" applyNumberFormat="0">
      <alignment horizontal="center" vertical="top" wrapText="1"/>
    </xf>
    <xf numFmtId="0" fontId="36" fillId="15" borderId="0" applyNumberFormat="0">
      <alignment horizontal="center" vertical="top" wrapText="1"/>
    </xf>
    <xf numFmtId="0" fontId="36" fillId="15" borderId="0" applyNumberFormat="0">
      <alignment horizontal="center" vertical="top" wrapText="1"/>
    </xf>
    <xf numFmtId="0" fontId="36" fillId="20" borderId="0" applyNumberFormat="0">
      <alignment horizontal="center" vertical="top" wrapText="1"/>
    </xf>
    <xf numFmtId="0" fontId="36" fillId="20" borderId="0" applyNumberFormat="0">
      <alignment horizontal="center" vertical="top" wrapText="1"/>
    </xf>
    <xf numFmtId="0" fontId="36" fillId="20" borderId="0" applyNumberFormat="0">
      <alignment horizontal="center" vertical="top" wrapText="1"/>
    </xf>
    <xf numFmtId="0" fontId="36" fillId="20" borderId="0" applyNumberFormat="0">
      <alignment horizontal="center" vertical="top" wrapText="1"/>
    </xf>
    <xf numFmtId="0" fontId="36" fillId="20" borderId="0" applyNumberFormat="0">
      <alignment horizontal="center" vertical="top" wrapText="1"/>
    </xf>
    <xf numFmtId="0" fontId="36" fillId="20" borderId="0" applyNumberFormat="0">
      <alignment horizontal="center" vertical="top" wrapText="1"/>
    </xf>
    <xf numFmtId="0" fontId="21" fillId="0" borderId="27" applyNumberFormat="0" applyFont="0" applyFill="0" applyAlignment="0" applyProtection="0">
      <alignment horizontal="left"/>
    </xf>
    <xf numFmtId="0" fontId="21" fillId="0" borderId="27" applyNumberFormat="0" applyFont="0" applyFill="0" applyAlignment="0" applyProtection="0">
      <alignment horizontal="left"/>
    </xf>
    <xf numFmtId="0" fontId="21" fillId="0" borderId="27" applyNumberFormat="0" applyFont="0" applyFill="0" applyAlignment="0" applyProtection="0">
      <alignment horizontal="left"/>
    </xf>
    <xf numFmtId="0" fontId="17" fillId="0" borderId="0" applyFont="0" applyFill="0" applyBorder="0" applyAlignment="0" applyProtection="0"/>
    <xf numFmtId="0" fontId="233"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212" fontId="32" fillId="0" borderId="0"/>
    <xf numFmtId="212" fontId="32" fillId="0" borderId="0"/>
    <xf numFmtId="212" fontId="32" fillId="0" borderId="0"/>
    <xf numFmtId="212" fontId="32" fillId="0" borderId="0"/>
    <xf numFmtId="212" fontId="32" fillId="0" borderId="0"/>
    <xf numFmtId="0" fontId="234" fillId="0" borderId="0"/>
    <xf numFmtId="0" fontId="45" fillId="0" borderId="0"/>
    <xf numFmtId="3" fontId="59" fillId="0" borderId="0" applyFont="0" applyFill="0" applyBorder="0" applyAlignment="0" applyProtection="0"/>
    <xf numFmtId="3" fontId="59" fillId="0" borderId="0" applyFont="0" applyFill="0" applyBorder="0" applyAlignment="0" applyProtection="0"/>
    <xf numFmtId="0" fontId="234" fillId="0" borderId="0"/>
    <xf numFmtId="0" fontId="45" fillId="0" borderId="0"/>
    <xf numFmtId="0" fontId="19" fillId="16" borderId="0">
      <alignment horizontal="center" vertical="center" wrapText="1"/>
    </xf>
    <xf numFmtId="0" fontId="19" fillId="16" borderId="0">
      <alignment horizontal="center" vertical="center" wrapText="1"/>
    </xf>
    <xf numFmtId="212" fontId="5" fillId="0" borderId="0"/>
    <xf numFmtId="0" fontId="5" fillId="0" borderId="0">
      <alignment horizontal="left"/>
    </xf>
    <xf numFmtId="0" fontId="5" fillId="0" borderId="0">
      <alignment horizontal="left"/>
    </xf>
    <xf numFmtId="0" fontId="5" fillId="0" borderId="0"/>
    <xf numFmtId="0" fontId="5" fillId="0" borderId="0"/>
    <xf numFmtId="0" fontId="5" fillId="0" borderId="0">
      <alignment horizontal="left"/>
    </xf>
    <xf numFmtId="0" fontId="5" fillId="0" borderId="0">
      <alignment horizontal="left"/>
    </xf>
    <xf numFmtId="212" fontId="5" fillId="0" borderId="0" applyFill="0" applyBorder="0" applyAlignment="0" applyProtection="0">
      <alignment horizontal="left"/>
    </xf>
    <xf numFmtId="188" fontId="16" fillId="0" borderId="0" applyFill="0" applyBorder="0">
      <alignment horizontal="right"/>
      <protection locked="0"/>
    </xf>
    <xf numFmtId="188" fontId="16" fillId="0" borderId="0" applyFill="0" applyBorder="0">
      <alignment horizontal="right"/>
      <protection locked="0"/>
    </xf>
    <xf numFmtId="0" fontId="16" fillId="0" borderId="0" applyFill="0" applyBorder="0">
      <alignment horizontal="right"/>
      <protection locked="0"/>
    </xf>
    <xf numFmtId="225" fontId="60" fillId="0" borderId="0" applyFont="0"/>
    <xf numFmtId="225" fontId="60" fillId="0" borderId="0" applyFont="0"/>
    <xf numFmtId="225" fontId="60" fillId="0" borderId="0" applyFont="0"/>
    <xf numFmtId="225" fontId="60" fillId="0" borderId="0" applyFont="0"/>
    <xf numFmtId="225" fontId="60" fillId="0" borderId="0" applyFont="0"/>
    <xf numFmtId="225" fontId="60" fillId="0" borderId="0" applyFont="0"/>
    <xf numFmtId="225" fontId="60" fillId="0" borderId="0" applyFont="0"/>
    <xf numFmtId="226" fontId="5" fillId="0" borderId="0"/>
    <xf numFmtId="185" fontId="5" fillId="0" borderId="0" applyFont="0" applyFill="0" applyBorder="0" applyAlignment="0"/>
    <xf numFmtId="227" fontId="5" fillId="0" borderId="0" applyFont="0" applyFill="0" applyBorder="0" applyAlignment="0" applyProtection="0"/>
    <xf numFmtId="227" fontId="5" fillId="0" borderId="0" applyFont="0" applyFill="0" applyBorder="0" applyAlignment="0" applyProtection="0"/>
    <xf numFmtId="0" fontId="235" fillId="0" borderId="0">
      <protection locked="0"/>
    </xf>
    <xf numFmtId="228" fontId="5" fillId="10" borderId="25" applyFont="0" applyFill="0" applyBorder="0" applyAlignment="0" applyProtection="0"/>
    <xf numFmtId="229" fontId="5" fillId="10" borderId="0" applyFont="0" applyFill="0" applyBorder="0" applyAlignment="0" applyProtection="0"/>
    <xf numFmtId="168" fontId="5" fillId="0" borderId="2" applyFont="0" applyFill="0" applyBorder="0" applyAlignment="0" applyProtection="0"/>
    <xf numFmtId="168" fontId="5" fillId="0" borderId="2" applyFont="0" applyFill="0" applyBorder="0" applyAlignment="0" applyProtection="0"/>
    <xf numFmtId="229" fontId="5" fillId="0" borderId="0" applyFill="0" applyBorder="0">
      <alignment horizontal="right"/>
    </xf>
    <xf numFmtId="14" fontId="62" fillId="0" borderId="0" applyFont="0" applyFill="0" applyBorder="0" applyAlignment="0" applyProtection="0">
      <alignment horizontal="center"/>
    </xf>
    <xf numFmtId="14" fontId="62" fillId="0" borderId="0" applyFont="0" applyFill="0" applyBorder="0" applyAlignment="0" applyProtection="0">
      <alignment horizontal="center"/>
    </xf>
    <xf numFmtId="230" fontId="62" fillId="0" borderId="0" applyFont="0" applyFill="0" applyBorder="0" applyAlignment="0" applyProtection="0">
      <alignment horizontal="center"/>
    </xf>
    <xf numFmtId="230" fontId="62" fillId="0" borderId="0" applyFont="0" applyFill="0" applyBorder="0" applyAlignment="0" applyProtection="0">
      <alignment horizontal="center"/>
    </xf>
    <xf numFmtId="0" fontId="114" fillId="11" borderId="0" applyNumberFormat="0" applyFont="0" applyFill="0" applyBorder="0" applyAlignment="0" applyProtection="0"/>
    <xf numFmtId="170" fontId="63" fillId="0" borderId="6" applyNumberFormat="0" applyFill="0" applyBorder="0" applyAlignment="0">
      <alignment horizontal="left"/>
      <protection locked="0"/>
    </xf>
    <xf numFmtId="170" fontId="63" fillId="0" borderId="6" applyNumberFormat="0" applyFill="0" applyBorder="0" applyAlignment="0">
      <alignment horizontal="left"/>
      <protection locked="0"/>
    </xf>
    <xf numFmtId="170" fontId="63" fillId="0" borderId="6" applyNumberFormat="0" applyFill="0" applyBorder="0" applyAlignment="0">
      <alignment horizontal="left"/>
      <protection locked="0"/>
    </xf>
    <xf numFmtId="231" fontId="21" fillId="0" borderId="0" applyFont="0" applyFill="0" applyBorder="0" applyAlignment="0" applyProtection="0"/>
    <xf numFmtId="231" fontId="21" fillId="0" borderId="0" applyFont="0" applyFill="0" applyBorder="0" applyAlignment="0" applyProtection="0"/>
    <xf numFmtId="231" fontId="21" fillId="0" borderId="0" applyFont="0" applyFill="0" applyBorder="0" applyAlignment="0" applyProtection="0"/>
    <xf numFmtId="0" fontId="28" fillId="0" borderId="0">
      <protection locked="0"/>
    </xf>
    <xf numFmtId="0" fontId="28" fillId="0" borderId="0">
      <protection locked="0"/>
    </xf>
    <xf numFmtId="0" fontId="28" fillId="0" borderId="0">
      <protection locked="0"/>
    </xf>
    <xf numFmtId="0" fontId="20" fillId="0" borderId="0">
      <protection locked="0"/>
    </xf>
    <xf numFmtId="0" fontId="28" fillId="0" borderId="0">
      <protection locked="0"/>
    </xf>
    <xf numFmtId="0" fontId="235" fillId="0" borderId="0">
      <protection locked="0"/>
    </xf>
    <xf numFmtId="0" fontId="6" fillId="0" borderId="0"/>
    <xf numFmtId="185" fontId="48" fillId="0" borderId="0" applyFont="0" applyFill="0" applyBorder="0" applyAlignment="0" applyProtection="0"/>
    <xf numFmtId="185" fontId="48" fillId="0" borderId="0" applyFont="0" applyFill="0" applyBorder="0" applyAlignment="0" applyProtection="0"/>
    <xf numFmtId="183" fontId="48" fillId="0" borderId="0" applyFont="0" applyFill="0" applyBorder="0" applyAlignment="0" applyProtection="0"/>
    <xf numFmtId="183" fontId="48" fillId="0" borderId="0" applyFont="0" applyFill="0" applyBorder="0" applyAlignment="0" applyProtection="0"/>
    <xf numFmtId="0" fontId="236" fillId="0" borderId="0">
      <protection locked="0"/>
    </xf>
    <xf numFmtId="0" fontId="236" fillId="0" borderId="0">
      <protection locked="0"/>
    </xf>
    <xf numFmtId="232" fontId="21" fillId="0" borderId="0" applyFont="0" applyFill="0" applyBorder="0" applyAlignment="0"/>
    <xf numFmtId="232" fontId="21" fillId="0" borderId="0" applyFont="0" applyFill="0" applyBorder="0" applyAlignment="0"/>
    <xf numFmtId="232" fontId="21" fillId="0" borderId="0" applyFont="0" applyFill="0" applyBorder="0" applyAlignment="0"/>
    <xf numFmtId="185" fontId="48" fillId="0" borderId="0" applyFont="0" applyFill="0" applyBorder="0" applyAlignment="0" applyProtection="0">
      <alignment horizontal="right"/>
    </xf>
    <xf numFmtId="185" fontId="48" fillId="0" borderId="0" applyFont="0" applyFill="0" applyBorder="0" applyAlignment="0" applyProtection="0">
      <alignment horizontal="right"/>
    </xf>
    <xf numFmtId="233" fontId="21" fillId="0" borderId="0" applyFont="0" applyFill="0" applyBorder="0" applyProtection="0">
      <alignment horizontal="left"/>
      <protection locked="0"/>
    </xf>
    <xf numFmtId="234" fontId="21" fillId="0" borderId="0" applyFont="0" applyFill="0" applyBorder="0" applyProtection="0">
      <alignment horizontal="left"/>
      <protection locked="0"/>
    </xf>
    <xf numFmtId="185" fontId="5" fillId="0" borderId="0"/>
    <xf numFmtId="185" fontId="5" fillId="0" borderId="0"/>
    <xf numFmtId="185" fontId="5" fillId="0" borderId="0"/>
    <xf numFmtId="0" fontId="66" fillId="0" borderId="0"/>
    <xf numFmtId="169" fontId="5" fillId="0" borderId="0"/>
    <xf numFmtId="169" fontId="5" fillId="0" borderId="0"/>
    <xf numFmtId="169" fontId="5" fillId="0" borderId="0"/>
    <xf numFmtId="0" fontId="66" fillId="0" borderId="0"/>
    <xf numFmtId="212" fontId="5" fillId="0" borderId="0"/>
    <xf numFmtId="212" fontId="5" fillId="0" borderId="0"/>
    <xf numFmtId="212" fontId="5" fillId="0" borderId="0"/>
    <xf numFmtId="0" fontId="66" fillId="0" borderId="0"/>
    <xf numFmtId="326" fontId="5" fillId="95" borderId="0" applyFont="0" applyFill="0" applyBorder="0" applyAlignment="0"/>
    <xf numFmtId="235" fontId="5" fillId="0" borderId="0" applyFont="0" applyFill="0" applyBorder="0" applyAlignment="0" applyProtection="0"/>
    <xf numFmtId="327" fontId="5" fillId="0" borderId="0" applyFont="0" applyFill="0" applyBorder="0" applyAlignment="0" applyProtection="0"/>
    <xf numFmtId="0" fontId="214" fillId="0" borderId="0" applyNumberFormat="0" applyFill="0" applyBorder="0" applyAlignment="0" applyProtection="0"/>
    <xf numFmtId="0" fontId="237" fillId="0" borderId="0"/>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0" fontId="237" fillId="0" borderId="0"/>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0" fontId="237" fillId="0" borderId="0"/>
    <xf numFmtId="9" fontId="238" fillId="19" borderId="3" applyNumberFormat="0" applyFont="0" applyFill="0" applyBorder="0" applyAlignment="0" applyProtection="0">
      <alignment horizontal="left" vertical="center" wrapText="1"/>
      <protection hidden="1"/>
    </xf>
    <xf numFmtId="0" fontId="237" fillId="0" borderId="0"/>
    <xf numFmtId="0" fontId="237" fillId="0" borderId="0"/>
    <xf numFmtId="0" fontId="237" fillId="0" borderId="0"/>
    <xf numFmtId="0" fontId="237" fillId="0" borderId="0"/>
    <xf numFmtId="0" fontId="237" fillId="0" borderId="0"/>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0" fontId="237" fillId="0" borderId="0"/>
    <xf numFmtId="0" fontId="237" fillId="0" borderId="0"/>
    <xf numFmtId="0" fontId="237" fillId="0" borderId="0"/>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9" fontId="238" fillId="19" borderId="3" applyNumberFormat="0" applyFont="0" applyFill="0" applyBorder="0" applyAlignment="0" applyProtection="0">
      <alignment horizontal="left" vertical="center" wrapText="1"/>
      <protection hidden="1"/>
    </xf>
    <xf numFmtId="0" fontId="237" fillId="0" borderId="0"/>
    <xf numFmtId="0" fontId="235" fillId="0" borderId="0">
      <protection locked="0"/>
    </xf>
    <xf numFmtId="0" fontId="235" fillId="0" borderId="0">
      <protection locked="0"/>
    </xf>
    <xf numFmtId="0" fontId="235" fillId="0" borderId="0">
      <protection locked="0"/>
    </xf>
    <xf numFmtId="0" fontId="235" fillId="0" borderId="0">
      <protection locked="0"/>
    </xf>
    <xf numFmtId="0" fontId="235" fillId="0" borderId="0">
      <protection locked="0"/>
    </xf>
    <xf numFmtId="0" fontId="235" fillId="0" borderId="0">
      <protection locked="0"/>
    </xf>
    <xf numFmtId="0" fontId="235" fillId="0" borderId="0">
      <protection locked="0"/>
    </xf>
    <xf numFmtId="0" fontId="67" fillId="0" borderId="0"/>
    <xf numFmtId="0" fontId="67" fillId="0" borderId="0"/>
    <xf numFmtId="0" fontId="67" fillId="0" borderId="0"/>
    <xf numFmtId="0" fontId="235" fillId="0" borderId="0">
      <protection locked="0"/>
    </xf>
    <xf numFmtId="0" fontId="235" fillId="0" borderId="0">
      <protection locked="0"/>
    </xf>
    <xf numFmtId="0" fontId="69" fillId="18" borderId="0"/>
    <xf numFmtId="0" fontId="69" fillId="18" borderId="0"/>
    <xf numFmtId="0" fontId="69" fillId="18" borderId="0"/>
    <xf numFmtId="0" fontId="5" fillId="10" borderId="0" applyFont="0" applyFill="0" applyBorder="0" applyAlignment="0"/>
    <xf numFmtId="2" fontId="59" fillId="0" borderId="0" applyFont="0" applyFill="0" applyBorder="0" applyAlignment="0" applyProtection="0"/>
    <xf numFmtId="2" fontId="59" fillId="0" borderId="0" applyFont="0" applyFill="0" applyBorder="0" applyAlignment="0" applyProtection="0"/>
    <xf numFmtId="2" fontId="59" fillId="0" borderId="0" applyFont="0" applyFill="0" applyBorder="0" applyAlignment="0" applyProtection="0"/>
    <xf numFmtId="2" fontId="59" fillId="0" borderId="0" applyFont="0" applyFill="0" applyBorder="0" applyAlignment="0" applyProtection="0"/>
    <xf numFmtId="328" fontId="235" fillId="0" borderId="0">
      <protection locked="0"/>
    </xf>
    <xf numFmtId="0" fontId="70"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0" applyFill="0" applyBorder="0" applyProtection="0">
      <alignment horizontal="left"/>
    </xf>
    <xf numFmtId="0" fontId="5" fillId="0" borderId="0" applyFill="0" applyBorder="0" applyProtection="0">
      <alignment horizontal="left"/>
    </xf>
    <xf numFmtId="0" fontId="179" fillId="0" borderId="0" applyFill="0" applyBorder="0" applyProtection="0">
      <alignment horizontal="left"/>
    </xf>
    <xf numFmtId="0" fontId="5" fillId="0" borderId="0">
      <alignment horizontal="left"/>
    </xf>
    <xf numFmtId="0" fontId="5" fillId="0" borderId="0">
      <alignment horizontal="left"/>
    </xf>
    <xf numFmtId="237" fontId="48" fillId="0" borderId="0" applyFill="0" applyBorder="0" applyAlignment="0" applyProtection="0">
      <protection locked="0"/>
    </xf>
    <xf numFmtId="0" fontId="215" fillId="72" borderId="0" applyNumberFormat="0" applyBorder="0" applyAlignment="0" applyProtection="0"/>
    <xf numFmtId="38" fontId="32" fillId="19" borderId="0" applyNumberFormat="0" applyFont="0" applyBorder="0" applyAlignment="0">
      <protection hidden="1"/>
    </xf>
    <xf numFmtId="238" fontId="71" fillId="0" borderId="0" applyFill="0" applyBorder="0" applyAlignment="0" applyProtection="0"/>
    <xf numFmtId="238" fontId="72" fillId="0" borderId="0" applyAlignment="0">
      <alignment horizontal="left"/>
      <protection locked="0"/>
    </xf>
    <xf numFmtId="238" fontId="72" fillId="0" borderId="0" applyAlignment="0">
      <alignment horizontal="left"/>
      <protection locked="0"/>
    </xf>
    <xf numFmtId="0" fontId="21" fillId="0" borderId="0"/>
    <xf numFmtId="0" fontId="21" fillId="0" borderId="0"/>
    <xf numFmtId="0" fontId="21" fillId="0" borderId="0"/>
    <xf numFmtId="0" fontId="5" fillId="1" borderId="0" applyNumberFormat="0" applyBorder="0" applyProtection="0">
      <alignment horizontal="left" vertical="center"/>
    </xf>
    <xf numFmtId="0" fontId="5" fillId="0" borderId="0" applyProtection="0">
      <alignment horizontal="right"/>
    </xf>
    <xf numFmtId="0" fontId="5" fillId="0" borderId="0" applyProtection="0">
      <alignment horizontal="right"/>
    </xf>
    <xf numFmtId="0" fontId="239" fillId="0" borderId="0" applyProtection="0">
      <alignment horizontal="right"/>
    </xf>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5" fillId="0" borderId="6">
      <alignment horizontal="left" vertical="top"/>
    </xf>
    <xf numFmtId="0" fontId="5" fillId="0" borderId="6">
      <alignment horizontal="left" vertical="top"/>
    </xf>
    <xf numFmtId="0" fontId="240" fillId="0" borderId="0" applyProtection="0">
      <alignment horizontal="left"/>
    </xf>
    <xf numFmtId="0" fontId="5" fillId="0" borderId="0" applyProtection="0">
      <alignment horizontal="left"/>
    </xf>
    <xf numFmtId="0" fontId="5" fillId="0" borderId="0">
      <alignment horizontal="left"/>
    </xf>
    <xf numFmtId="0" fontId="5" fillId="0" borderId="0">
      <alignment horizontal="left"/>
    </xf>
    <xf numFmtId="0" fontId="5" fillId="0" borderId="6">
      <alignment horizontal="left" vertical="top"/>
    </xf>
    <xf numFmtId="0" fontId="5" fillId="0" borderId="6">
      <alignment horizontal="left" vertical="top"/>
    </xf>
    <xf numFmtId="0" fontId="241" fillId="0" borderId="0" applyProtection="0">
      <alignment horizontal="left"/>
    </xf>
    <xf numFmtId="0" fontId="5" fillId="0" borderId="0" applyProtection="0">
      <alignment horizontal="left"/>
    </xf>
    <xf numFmtId="0" fontId="5" fillId="0" borderId="0">
      <alignment horizontal="left"/>
    </xf>
    <xf numFmtId="0" fontId="5" fillId="0" borderId="0">
      <alignment horizontal="left"/>
    </xf>
    <xf numFmtId="0" fontId="242" fillId="0" borderId="0" applyNumberFormat="0" applyFill="0" applyBorder="0" applyAlignment="0" applyProtection="0"/>
    <xf numFmtId="0" fontId="243" fillId="0" borderId="0" applyNumberFormat="0" applyFill="0" applyBorder="0" applyAlignment="0" applyProtection="0"/>
    <xf numFmtId="0" fontId="244" fillId="0" borderId="0" applyNumberFormat="0" applyFill="0" applyBorder="0" applyAlignment="0" applyProtection="0"/>
    <xf numFmtId="0" fontId="75" fillId="0" borderId="0"/>
    <xf numFmtId="0" fontId="75" fillId="0" borderId="0"/>
    <xf numFmtId="0" fontId="5" fillId="9" borderId="0"/>
    <xf numFmtId="0" fontId="5" fillId="9" borderId="0"/>
    <xf numFmtId="0" fontId="5" fillId="9" borderId="0"/>
    <xf numFmtId="0" fontId="5" fillId="9" borderId="0"/>
    <xf numFmtId="0" fontId="76" fillId="0" borderId="0">
      <alignment wrapText="1"/>
    </xf>
    <xf numFmtId="0" fontId="76" fillId="0" borderId="0">
      <alignment wrapText="1"/>
    </xf>
    <xf numFmtId="0" fontId="222"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245" fillId="0" borderId="0" applyNumberFormat="0" applyFill="0" applyBorder="0" applyAlignment="0" applyProtection="0">
      <alignment vertical="top"/>
      <protection locked="0"/>
    </xf>
    <xf numFmtId="0" fontId="246"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0" fontId="248" fillId="0" borderId="0" applyNumberFormat="0" applyFill="0" applyBorder="0" applyAlignment="0" applyProtection="0">
      <alignment vertical="top"/>
      <protection locked="0"/>
    </xf>
    <xf numFmtId="237" fontId="48" fillId="0" borderId="0" applyFill="0" applyBorder="0" applyAlignment="0" applyProtection="0">
      <alignment horizontal="right"/>
      <protection locked="0"/>
    </xf>
    <xf numFmtId="0" fontId="249" fillId="0" borderId="0" applyNumberFormat="0" applyFill="0" applyBorder="0" applyAlignment="0" applyProtection="0"/>
    <xf numFmtId="169" fontId="250" fillId="19" borderId="0">
      <protection locked="0"/>
    </xf>
    <xf numFmtId="3" fontId="5" fillId="19" borderId="0">
      <alignment horizontal="right"/>
      <protection locked="0"/>
    </xf>
    <xf numFmtId="176" fontId="5" fillId="19" borderId="0" applyBorder="0">
      <alignment horizontal="right"/>
      <protection locked="0"/>
    </xf>
    <xf numFmtId="3" fontId="251" fillId="19" borderId="0">
      <alignment horizontal="right"/>
      <protection locked="0"/>
    </xf>
    <xf numFmtId="0" fontId="73" fillId="0" borderId="0" applyNumberFormat="0" applyFill="0" applyBorder="0" applyAlignment="0" applyProtection="0"/>
    <xf numFmtId="3" fontId="252" fillId="0" borderId="34" applyNumberFormat="0" applyFont="0" applyFill="0" applyAlignment="0">
      <alignment horizontal="center" vertical="top"/>
      <protection locked="0"/>
    </xf>
    <xf numFmtId="229" fontId="5" fillId="10" borderId="0" applyFont="0" applyBorder="0" applyAlignment="0" applyProtection="0">
      <protection locked="0"/>
    </xf>
    <xf numFmtId="242" fontId="5" fillId="10" borderId="0" applyFont="0" applyBorder="0" applyAlignment="0">
      <protection locked="0"/>
    </xf>
    <xf numFmtId="242" fontId="5" fillId="10" borderId="0" applyFont="0" applyBorder="0" applyAlignment="0">
      <protection locked="0"/>
    </xf>
    <xf numFmtId="10" fontId="5" fillId="0" borderId="0">
      <protection locked="0"/>
    </xf>
    <xf numFmtId="10" fontId="5" fillId="0" borderId="0">
      <protection locked="0"/>
    </xf>
    <xf numFmtId="0" fontId="5" fillId="10" borderId="21"/>
    <xf numFmtId="169" fontId="32" fillId="10" borderId="2" applyNumberFormat="0" applyFont="0" applyAlignment="0" applyProtection="0">
      <alignment horizontal="center"/>
      <protection locked="0"/>
    </xf>
    <xf numFmtId="0" fontId="5" fillId="10" borderId="21"/>
    <xf numFmtId="0" fontId="28" fillId="0" borderId="0" applyNumberFormat="0" applyFill="0" applyBorder="0" applyAlignment="0">
      <protection locked="0"/>
    </xf>
    <xf numFmtId="0" fontId="28" fillId="0" borderId="0" applyNumberFormat="0" applyFill="0" applyBorder="0" applyAlignment="0">
      <protection locked="0"/>
    </xf>
    <xf numFmtId="0" fontId="28" fillId="0" borderId="0" applyNumberFormat="0" applyFill="0" applyBorder="0" applyAlignment="0">
      <protection locked="0"/>
    </xf>
    <xf numFmtId="0" fontId="23" fillId="0" borderId="0" applyNumberFormat="0" applyFill="0" applyBorder="0" applyAlignment="0">
      <protection locked="0"/>
    </xf>
    <xf numFmtId="0" fontId="28" fillId="0" borderId="0" applyNumberFormat="0" applyFill="0" applyBorder="0" applyAlignment="0">
      <protection locked="0"/>
    </xf>
    <xf numFmtId="15" fontId="5" fillId="0" borderId="0">
      <protection locked="0"/>
    </xf>
    <xf numFmtId="15" fontId="5" fillId="0" borderId="0">
      <protection locked="0"/>
    </xf>
    <xf numFmtId="15" fontId="5" fillId="0" borderId="0">
      <protection locked="0"/>
    </xf>
    <xf numFmtId="2" fontId="5" fillId="0" borderId="24">
      <protection locked="0"/>
    </xf>
    <xf numFmtId="2" fontId="5" fillId="0" borderId="24">
      <protection locked="0"/>
    </xf>
    <xf numFmtId="2" fontId="5" fillId="0" borderId="24">
      <protection locked="0"/>
    </xf>
    <xf numFmtId="0" fontId="5" fillId="0" borderId="0">
      <protection locked="0"/>
    </xf>
    <xf numFmtId="0" fontId="5" fillId="0" borderId="0">
      <protection locked="0"/>
    </xf>
    <xf numFmtId="0" fontId="5" fillId="0" borderId="0">
      <protection locked="0"/>
    </xf>
    <xf numFmtId="0" fontId="16" fillId="0" borderId="0" applyFill="0" applyBorder="0">
      <alignment horizontal="right"/>
      <protection locked="0"/>
    </xf>
    <xf numFmtId="0" fontId="16" fillId="0" borderId="0" applyFill="0" applyBorder="0">
      <alignment horizontal="right"/>
      <protection locked="0"/>
    </xf>
    <xf numFmtId="189" fontId="16" fillId="0" borderId="0" applyFill="0" applyBorder="0">
      <alignment horizontal="right"/>
      <protection locked="0"/>
    </xf>
    <xf numFmtId="189" fontId="16" fillId="0" borderId="0" applyFill="0" applyBorder="0">
      <alignment horizontal="right"/>
      <protection locked="0"/>
    </xf>
    <xf numFmtId="0" fontId="16" fillId="0" borderId="0" applyFill="0" applyBorder="0">
      <alignment horizontal="right"/>
      <protection locked="0"/>
    </xf>
    <xf numFmtId="0" fontId="24" fillId="27" borderId="33">
      <alignment horizontal="left" vertical="center" wrapText="1"/>
    </xf>
    <xf numFmtId="38" fontId="253" fillId="0" borderId="0"/>
    <xf numFmtId="38" fontId="254" fillId="0" borderId="0"/>
    <xf numFmtId="38" fontId="187" fillId="0" borderId="0"/>
    <xf numFmtId="38" fontId="255" fillId="0" borderId="0"/>
    <xf numFmtId="0" fontId="230" fillId="0" borderId="0"/>
    <xf numFmtId="0" fontId="230" fillId="0" borderId="0"/>
    <xf numFmtId="1" fontId="5" fillId="0" borderId="0" applyNumberFormat="0" applyBorder="0" applyAlignment="0">
      <alignment horizontal="right"/>
    </xf>
    <xf numFmtId="37" fontId="82" fillId="0" borderId="0" applyNumberFormat="0" applyFill="0" applyBorder="0" applyAlignment="0" applyProtection="0">
      <alignment horizontal="right"/>
    </xf>
    <xf numFmtId="37" fontId="82" fillId="0" borderId="0" applyNumberFormat="0" applyFill="0" applyBorder="0" applyAlignment="0" applyProtection="0">
      <alignment horizontal="right"/>
    </xf>
    <xf numFmtId="37" fontId="82" fillId="0" borderId="0" applyNumberFormat="0" applyFill="0" applyBorder="0" applyAlignment="0" applyProtection="0">
      <alignment horizontal="right"/>
    </xf>
    <xf numFmtId="1" fontId="82" fillId="0" borderId="0" applyNumberFormat="0" applyFill="0" applyBorder="0" applyAlignment="0" applyProtection="0">
      <alignment horizontal="right"/>
    </xf>
    <xf numFmtId="212" fontId="5" fillId="28" borderId="0"/>
    <xf numFmtId="212" fontId="5" fillId="28" borderId="0"/>
    <xf numFmtId="212" fontId="5" fillId="28" borderId="0"/>
    <xf numFmtId="3" fontId="32" fillId="13" borderId="0" applyFont="0"/>
    <xf numFmtId="0" fontId="84" fillId="0" borderId="0" applyNumberFormat="0" applyFill="0" applyBorder="0" applyProtection="0">
      <alignment horizontal="left" vertical="center"/>
    </xf>
    <xf numFmtId="0" fontId="84" fillId="0" borderId="0" applyNumberFormat="0" applyFill="0" applyBorder="0" applyProtection="0">
      <alignment horizontal="left" vertical="center"/>
    </xf>
    <xf numFmtId="0" fontId="84" fillId="0" borderId="0" applyNumberFormat="0" applyFill="0" applyBorder="0" applyProtection="0">
      <alignment horizontal="left" vertical="center"/>
    </xf>
    <xf numFmtId="0" fontId="85" fillId="0" borderId="0"/>
    <xf numFmtId="0" fontId="85" fillId="0" borderId="0"/>
    <xf numFmtId="0" fontId="18" fillId="26" borderId="0" applyBorder="0" applyAlignment="0">
      <alignment horizontal="right"/>
    </xf>
    <xf numFmtId="329" fontId="49" fillId="26" borderId="0" applyBorder="0" applyAlignment="0">
      <alignment horizontal="right"/>
    </xf>
    <xf numFmtId="243" fontId="86" fillId="0" borderId="0" applyFill="0" applyBorder="0" applyAlignment="0" applyProtection="0"/>
    <xf numFmtId="0" fontId="69" fillId="0" borderId="0"/>
    <xf numFmtId="0" fontId="69" fillId="0" borderId="0"/>
    <xf numFmtId="0" fontId="69" fillId="0" borderId="0"/>
    <xf numFmtId="0" fontId="87" fillId="0" borderId="0"/>
    <xf numFmtId="0" fontId="87" fillId="0" borderId="0"/>
    <xf numFmtId="0" fontId="87" fillId="0" borderId="0"/>
    <xf numFmtId="0" fontId="88" fillId="0" borderId="0"/>
    <xf numFmtId="0" fontId="88" fillId="0" borderId="0"/>
    <xf numFmtId="0" fontId="88" fillId="0" borderId="0"/>
    <xf numFmtId="330" fontId="16" fillId="0" borderId="0" applyFont="0" applyFill="0" applyBorder="0" applyAlignment="0" applyProtection="0"/>
    <xf numFmtId="331" fontId="5" fillId="0" borderId="0" applyFont="0" applyFill="0" applyBorder="0" applyAlignment="0" applyProtection="0"/>
    <xf numFmtId="250" fontId="5" fillId="0" borderId="0" applyFont="0" applyFill="0" applyBorder="0" applyAlignment="0" applyProtection="0"/>
    <xf numFmtId="245" fontId="21" fillId="0" borderId="0" applyFont="0" applyFill="0" applyBorder="0" applyAlignment="0" applyProtection="0"/>
    <xf numFmtId="245" fontId="21" fillId="0" borderId="0" applyFont="0" applyFill="0" applyBorder="0" applyAlignment="0" applyProtection="0"/>
    <xf numFmtId="245" fontId="21" fillId="0" borderId="0" applyFont="0" applyFill="0" applyBorder="0" applyAlignment="0" applyProtection="0"/>
    <xf numFmtId="169" fontId="5" fillId="0" borderId="0"/>
    <xf numFmtId="169" fontId="5" fillId="0" borderId="0"/>
    <xf numFmtId="169" fontId="5" fillId="0" borderId="0"/>
    <xf numFmtId="0" fontId="5" fillId="0" borderId="12"/>
    <xf numFmtId="0" fontId="5" fillId="0" borderId="12"/>
    <xf numFmtId="332" fontId="5" fillId="0" borderId="0" applyFont="0" applyFill="0" applyBorder="0" applyAlignment="0" applyProtection="0"/>
    <xf numFmtId="333" fontId="5" fillId="0" borderId="0" applyFont="0" applyFill="0" applyBorder="0" applyAlignment="0" applyProtection="0"/>
    <xf numFmtId="334" fontId="5" fillId="0" borderId="0" applyFont="0" applyFill="0" applyBorder="0" applyAlignment="0" applyProtection="0"/>
    <xf numFmtId="335"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248" fontId="5" fillId="0" borderId="0" applyFont="0" applyFill="0" applyBorder="0" applyAlignment="0"/>
    <xf numFmtId="248" fontId="5" fillId="0" borderId="0" applyFont="0" applyFill="0" applyBorder="0" applyAlignment="0"/>
    <xf numFmtId="248" fontId="5" fillId="0" borderId="0" applyFont="0" applyFill="0" applyBorder="0" applyAlignment="0"/>
    <xf numFmtId="336" fontId="5" fillId="0" borderId="0" applyFont="0" applyFill="0" applyBorder="0" applyAlignment="0" applyProtection="0"/>
    <xf numFmtId="337"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0" fontId="235" fillId="0" borderId="0">
      <protection locked="0"/>
    </xf>
    <xf numFmtId="175" fontId="5" fillId="19" borderId="0" applyFont="0" applyBorder="0" applyAlignment="0" applyProtection="0">
      <alignment horizontal="right"/>
      <protection hidden="1"/>
    </xf>
    <xf numFmtId="0" fontId="28" fillId="0" borderId="35" applyBorder="0" applyAlignment="0" applyProtection="0">
      <alignment horizontal="center"/>
    </xf>
    <xf numFmtId="0" fontId="28" fillId="0" borderId="35" applyBorder="0" applyAlignment="0" applyProtection="0">
      <alignment horizontal="center"/>
    </xf>
    <xf numFmtId="0" fontId="28" fillId="0" borderId="35" applyBorder="0" applyAlignment="0" applyProtection="0">
      <alignment horizontal="center"/>
    </xf>
    <xf numFmtId="0" fontId="5" fillId="0" borderId="35" applyBorder="0" applyAlignment="0" applyProtection="0">
      <alignment horizontal="center"/>
    </xf>
    <xf numFmtId="0" fontId="28" fillId="0" borderId="35" applyBorder="0" applyAlignment="0" applyProtection="0">
      <alignment horizontal="center"/>
    </xf>
    <xf numFmtId="0" fontId="152" fillId="0" borderId="35" applyBorder="0" applyAlignment="0" applyProtection="0">
      <alignment horizontal="center"/>
    </xf>
    <xf numFmtId="37" fontId="89" fillId="0" borderId="0"/>
    <xf numFmtId="37" fontId="89" fillId="0" borderId="0"/>
    <xf numFmtId="0" fontId="5" fillId="0" borderId="0"/>
    <xf numFmtId="0" fontId="5" fillId="0" borderId="0"/>
    <xf numFmtId="338" fontId="256" fillId="0" borderId="0"/>
    <xf numFmtId="237" fontId="5" fillId="0" borderId="0" applyFont="0" applyFill="0" applyBorder="0" applyAlignment="0"/>
    <xf numFmtId="237" fontId="5" fillId="0" borderId="0" applyFont="0" applyFill="0" applyBorder="0" applyAlignment="0"/>
    <xf numFmtId="250" fontId="5" fillId="0" borderId="0" applyFont="0" applyFill="0" applyBorder="0" applyAlignment="0"/>
    <xf numFmtId="0" fontId="5" fillId="0" borderId="0"/>
    <xf numFmtId="0" fontId="5" fillId="0" borderId="0"/>
    <xf numFmtId="0" fontId="5" fillId="0" borderId="0"/>
    <xf numFmtId="0" fontId="5" fillId="0" borderId="0"/>
    <xf numFmtId="0" fontId="5" fillId="0" borderId="0"/>
    <xf numFmtId="3" fontId="5" fillId="0" borderId="0"/>
    <xf numFmtId="2" fontId="16" fillId="0" borderId="0" applyBorder="0" applyProtection="0"/>
    <xf numFmtId="0" fontId="116" fillId="10" borderId="0" applyNumberFormat="0" applyFont="0" applyFill="0" applyBorder="0" applyAlignment="0" applyProtection="0">
      <alignment horizontal="left"/>
    </xf>
    <xf numFmtId="3" fontId="5" fillId="0" borderId="0">
      <alignment horizontal="left"/>
    </xf>
    <xf numFmtId="0" fontId="25" fillId="0" borderId="0"/>
    <xf numFmtId="0" fontId="5" fillId="0" borderId="0"/>
    <xf numFmtId="0" fontId="5" fillId="0" borderId="0"/>
    <xf numFmtId="167" fontId="5" fillId="0" borderId="0"/>
    <xf numFmtId="167" fontId="5" fillId="0" borderId="0"/>
    <xf numFmtId="251" fontId="5" fillId="0" borderId="0" applyFont="0" applyFill="0" applyBorder="0" applyAlignment="0" applyProtection="0"/>
    <xf numFmtId="211" fontId="5" fillId="0" borderId="0" applyFont="0" applyFill="0" applyBorder="0" applyAlignment="0" applyProtection="0"/>
    <xf numFmtId="252" fontId="93" fillId="29" borderId="6" applyFont="0" applyBorder="0"/>
    <xf numFmtId="252" fontId="93" fillId="29" borderId="6" applyFont="0" applyBorder="0"/>
    <xf numFmtId="252" fontId="93" fillId="29" borderId="6" applyFont="0" applyBorder="0"/>
    <xf numFmtId="0" fontId="5" fillId="0" borderId="21">
      <alignment vertical="center" wrapText="1"/>
    </xf>
    <xf numFmtId="0" fontId="5" fillId="0" borderId="21">
      <alignment vertical="center" wrapText="1"/>
    </xf>
    <xf numFmtId="1" fontId="5" fillId="0" borderId="0" applyProtection="0">
      <alignment horizontal="right" vertical="center"/>
    </xf>
    <xf numFmtId="1" fontId="5" fillId="0" borderId="0" applyProtection="0">
      <alignment horizontal="right" vertical="center"/>
    </xf>
    <xf numFmtId="0" fontId="5" fillId="0" borderId="0">
      <alignment horizontal="left"/>
    </xf>
    <xf numFmtId="1" fontId="257" fillId="0" borderId="0" applyProtection="0">
      <alignment horizontal="right" vertical="center"/>
    </xf>
    <xf numFmtId="0" fontId="88" fillId="0" borderId="0"/>
    <xf numFmtId="0" fontId="88" fillId="0" borderId="0"/>
    <xf numFmtId="0" fontId="88" fillId="0" borderId="0"/>
    <xf numFmtId="0" fontId="29" fillId="0" borderId="36" applyNumberFormat="0" applyAlignment="0" applyProtection="0"/>
    <xf numFmtId="0" fontId="21" fillId="20" borderId="0" applyNumberFormat="0" applyFont="0" applyBorder="0" applyAlignment="0" applyProtection="0"/>
    <xf numFmtId="0" fontId="21" fillId="0" borderId="37" applyNumberFormat="0" applyAlignment="0" applyProtection="0"/>
    <xf numFmtId="0" fontId="21" fillId="0" borderId="38" applyNumberFormat="0" applyAlignment="0" applyProtection="0"/>
    <xf numFmtId="0" fontId="29" fillId="0" borderId="39" applyNumberFormat="0" applyAlignment="0" applyProtection="0"/>
    <xf numFmtId="14" fontId="48" fillId="0" borderId="0">
      <alignment horizontal="center" wrapText="1"/>
      <protection locked="0"/>
    </xf>
    <xf numFmtId="14" fontId="48" fillId="0" borderId="0">
      <alignment horizontal="center" wrapText="1"/>
      <protection locked="0"/>
    </xf>
    <xf numFmtId="14" fontId="48" fillId="0" borderId="0">
      <alignment horizontal="center" wrapText="1"/>
      <protection locked="0"/>
    </xf>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5" fillId="0" borderId="0" applyFont="0" applyFill="0" applyBorder="0" applyAlignment="0"/>
    <xf numFmtId="242" fontId="5" fillId="0" borderId="0" applyFont="0" applyFill="0" applyBorder="0" applyAlignment="0"/>
    <xf numFmtId="10" fontId="5" fillId="0" borderId="0" applyFont="0" applyFill="0" applyBorder="0" applyAlignment="0" applyProtection="0"/>
    <xf numFmtId="253" fontId="5" fillId="17" borderId="0" applyFont="0" applyFill="0" applyBorder="0" applyAlignment="0" applyProtection="0"/>
    <xf numFmtId="9" fontId="21" fillId="0" borderId="0"/>
    <xf numFmtId="9" fontId="21" fillId="0" borderId="0"/>
    <xf numFmtId="9" fontId="21" fillId="0" borderId="0"/>
    <xf numFmtId="10" fontId="21" fillId="0" borderId="0"/>
    <xf numFmtId="10" fontId="21" fillId="0" borderId="0"/>
    <xf numFmtId="10" fontId="21"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190" fontId="16" fillId="0" borderId="0" applyFill="0" applyBorder="0">
      <alignment horizontal="right"/>
      <protection locked="0"/>
    </xf>
    <xf numFmtId="190" fontId="16" fillId="0" borderId="0" applyFill="0" applyBorder="0">
      <alignment horizontal="right"/>
      <protection locked="0"/>
    </xf>
    <xf numFmtId="0" fontId="16" fillId="0" borderId="0" applyFill="0" applyBorder="0">
      <alignment horizontal="right"/>
      <protection locked="0"/>
    </xf>
    <xf numFmtId="238" fontId="48" fillId="0" borderId="0" applyFont="0" applyFill="0" applyBorder="0" applyAlignment="0" applyProtection="0"/>
    <xf numFmtId="238" fontId="48" fillId="0" borderId="0" applyFont="0" applyFill="0" applyBorder="0" applyAlignment="0" applyProtection="0"/>
    <xf numFmtId="218" fontId="5" fillId="0" borderId="0" applyFont="0" applyFill="0" applyBorder="0" applyAlignment="0" applyProtection="0"/>
    <xf numFmtId="339" fontId="235" fillId="0" borderId="0">
      <protection locked="0"/>
    </xf>
    <xf numFmtId="185" fontId="48" fillId="0" borderId="0" applyFont="0" applyFill="0" applyBorder="0" applyAlignment="0" applyProtection="0"/>
    <xf numFmtId="185" fontId="48" fillId="0" borderId="0" applyFont="0" applyFill="0" applyBorder="0" applyAlignment="0" applyProtection="0"/>
    <xf numFmtId="340" fontId="235" fillId="0" borderId="0">
      <protection locked="0"/>
    </xf>
    <xf numFmtId="237" fontId="48" fillId="0" borderId="0" applyFont="0" applyFill="0" applyBorder="0" applyAlignment="0" applyProtection="0">
      <protection locked="0"/>
    </xf>
    <xf numFmtId="237" fontId="48" fillId="0" borderId="0" applyFont="0" applyFill="0" applyBorder="0" applyAlignment="0" applyProtection="0">
      <protection locked="0"/>
    </xf>
    <xf numFmtId="0" fontId="235" fillId="0" borderId="0">
      <protection locked="0"/>
    </xf>
    <xf numFmtId="169" fontId="33" fillId="0" borderId="0" applyBorder="0" applyAlignment="0" applyProtection="0">
      <protection locked="0"/>
    </xf>
    <xf numFmtId="255" fontId="5" fillId="0" borderId="0" applyFont="0" applyFill="0" applyBorder="0" applyAlignment="0"/>
    <xf numFmtId="255" fontId="5" fillId="0" borderId="0" applyFont="0" applyFill="0" applyBorder="0" applyAlignment="0"/>
    <xf numFmtId="255" fontId="5" fillId="0" borderId="0" applyFont="0" applyFill="0" applyBorder="0" applyAlignment="0"/>
    <xf numFmtId="237" fontId="48" fillId="0" borderId="0" applyFill="0" applyBorder="0" applyAlignment="0" applyProtection="0"/>
    <xf numFmtId="237" fontId="48" fillId="0" borderId="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185" fontId="96" fillId="0" borderId="40">
      <alignment horizontal="right"/>
    </xf>
    <xf numFmtId="185" fontId="96" fillId="0" borderId="40">
      <alignment horizontal="right"/>
    </xf>
    <xf numFmtId="0" fontId="62" fillId="19" borderId="0" applyNumberFormat="0" applyFont="0" applyBorder="0" applyAlignment="0"/>
    <xf numFmtId="0" fontId="16" fillId="0" borderId="0" applyNumberFormat="0" applyFont="0" applyFill="0" applyBorder="0" applyAlignment="0" applyProtection="0">
      <alignment horizontal="left"/>
    </xf>
    <xf numFmtId="0" fontId="5" fillId="0" borderId="0">
      <alignment horizontal="right"/>
    </xf>
    <xf numFmtId="0" fontId="5" fillId="0" borderId="0">
      <alignment horizontal="right"/>
    </xf>
    <xf numFmtId="0" fontId="5" fillId="0" borderId="0">
      <alignment horizontal="right"/>
    </xf>
    <xf numFmtId="0" fontId="5" fillId="0" borderId="0"/>
    <xf numFmtId="0"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25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3" fillId="0" borderId="2">
      <alignment horizontal="right"/>
    </xf>
    <xf numFmtId="191" fontId="16" fillId="0" borderId="0">
      <alignment horizontal="right"/>
      <protection locked="0"/>
    </xf>
    <xf numFmtId="191" fontId="16" fillId="0" borderId="0">
      <alignment horizontal="right"/>
      <protection locked="0"/>
    </xf>
    <xf numFmtId="0" fontId="16" fillId="0" borderId="0">
      <alignment horizontal="right"/>
      <protection locked="0"/>
    </xf>
    <xf numFmtId="237" fontId="62" fillId="0" borderId="0" applyFont="0" applyFill="0" applyBorder="0" applyAlignment="0" applyProtection="0"/>
    <xf numFmtId="237" fontId="62" fillId="0" borderId="0" applyFont="0" applyFill="0" applyBorder="0" applyAlignment="0" applyProtection="0"/>
    <xf numFmtId="38" fontId="258" fillId="0" borderId="0"/>
    <xf numFmtId="0" fontId="5" fillId="0" borderId="0">
      <alignment horizontal="right"/>
    </xf>
    <xf numFmtId="0" fontId="5" fillId="0" borderId="0">
      <alignment horizontal="right"/>
    </xf>
    <xf numFmtId="0" fontId="5" fillId="0" borderId="0">
      <alignment horizontal="right"/>
    </xf>
    <xf numFmtId="0" fontId="5" fillId="0" borderId="0" applyFill="0" applyBorder="0" applyProtection="0">
      <alignment horizontal="right"/>
    </xf>
    <xf numFmtId="0" fontId="5" fillId="0" borderId="0" applyFill="0" applyBorder="0" applyProtection="0">
      <alignment horizontal="right"/>
    </xf>
    <xf numFmtId="0" fontId="5" fillId="0" borderId="0" applyFill="0" applyBorder="0" applyProtection="0">
      <alignment horizontal="right"/>
    </xf>
    <xf numFmtId="0" fontId="5" fillId="0" borderId="0">
      <alignment horizontal="right"/>
    </xf>
    <xf numFmtId="0" fontId="5" fillId="0" borderId="0">
      <alignment horizontal="right"/>
    </xf>
    <xf numFmtId="0" fontId="5" fillId="0" borderId="0">
      <alignment horizontal="right"/>
    </xf>
    <xf numFmtId="0" fontId="5" fillId="0" borderId="0">
      <alignment horizontal="right"/>
    </xf>
    <xf numFmtId="0" fontId="5" fillId="0" borderId="0">
      <alignment horizontal="right"/>
    </xf>
    <xf numFmtId="0" fontId="259" fillId="11" borderId="61" applyNumberFormat="0" applyFont="0" applyAlignment="0" applyProtection="0">
      <alignment horizontal="left"/>
    </xf>
    <xf numFmtId="0" fontId="21" fillId="0" borderId="41" applyNumberFormat="0" applyFont="0" applyFill="0" applyAlignment="0" applyProtection="0"/>
    <xf numFmtId="0" fontId="21" fillId="0" borderId="41" applyNumberFormat="0" applyFont="0" applyFill="0" applyAlignment="0" applyProtection="0"/>
    <xf numFmtId="0" fontId="21" fillId="0" borderId="41" applyNumberFormat="0" applyFont="0" applyFill="0" applyAlignment="0" applyProtection="0"/>
    <xf numFmtId="0" fontId="29" fillId="14" borderId="0" applyNumberFormat="0" applyBorder="0" applyProtection="0">
      <alignment horizontal="left"/>
    </xf>
    <xf numFmtId="0" fontId="29" fillId="14" borderId="0" applyNumberFormat="0" applyBorder="0" applyProtection="0">
      <alignment horizontal="left"/>
    </xf>
    <xf numFmtId="0" fontId="29" fillId="14" borderId="0" applyNumberFormat="0" applyBorder="0" applyProtection="0">
      <alignment horizontal="left"/>
    </xf>
    <xf numFmtId="0" fontId="29" fillId="14" borderId="42" applyNumberFormat="0" applyBorder="0" applyProtection="0">
      <alignment horizontal="left" wrapText="1"/>
    </xf>
    <xf numFmtId="0" fontId="29" fillId="14" borderId="42" applyNumberFormat="0" applyBorder="0" applyProtection="0">
      <alignment horizontal="left" wrapText="1"/>
    </xf>
    <xf numFmtId="0" fontId="29" fillId="14" borderId="42" applyNumberFormat="0" applyBorder="0" applyProtection="0">
      <alignment horizontal="left" wrapText="1"/>
    </xf>
    <xf numFmtId="0" fontId="29" fillId="14" borderId="42" applyNumberFormat="0" applyBorder="0" applyProtection="0">
      <alignment horizontal="left" wrapText="1"/>
    </xf>
    <xf numFmtId="0" fontId="29" fillId="14" borderId="42" applyNumberFormat="0" applyBorder="0" applyProtection="0">
      <alignment horizontal="left" wrapText="1"/>
    </xf>
    <xf numFmtId="0" fontId="29" fillId="14" borderId="42" applyNumberFormat="0" applyBorder="0" applyProtection="0">
      <alignment horizontal="left" wrapText="1"/>
    </xf>
    <xf numFmtId="0" fontId="29" fillId="14" borderId="42" applyNumberFormat="0" applyBorder="0" applyProtection="0">
      <alignment horizontal="left" wrapText="1"/>
    </xf>
    <xf numFmtId="0" fontId="29" fillId="14" borderId="42" applyNumberFormat="0" applyBorder="0" applyProtection="0">
      <alignment horizontal="left" wrapText="1"/>
    </xf>
    <xf numFmtId="0" fontId="29" fillId="14" borderId="42" applyNumberFormat="0" applyBorder="0" applyProtection="0">
      <alignment horizontal="left" wrapText="1"/>
    </xf>
    <xf numFmtId="0" fontId="5" fillId="11" borderId="0" applyNumberFormat="0" applyFont="0" applyAlignment="0"/>
    <xf numFmtId="0" fontId="5" fillId="10" borderId="0" applyNumberFormat="0" applyFont="0" applyFill="0" applyBorder="0" applyAlignment="0" applyProtection="0">
      <alignment horizontal="left" indent="1"/>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00" fillId="8"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00" fillId="8"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00" fillId="8" borderId="0" applyNumberFormat="0" applyFont="0" applyFill="0" applyBorder="0" applyAlignment="0" applyProtection="0"/>
    <xf numFmtId="0" fontId="116" fillId="0" borderId="0" applyNumberFormat="0" applyFont="0" applyFill="0" applyBorder="0" applyAlignment="0" applyProtection="0">
      <alignment vertical="top"/>
    </xf>
    <xf numFmtId="0" fontId="114" fillId="0" borderId="0" applyNumberFormat="0" applyFill="0" applyBorder="0" applyAlignment="0" applyProtection="0">
      <alignment horizontal="left" indent="1"/>
    </xf>
    <xf numFmtId="0" fontId="21" fillId="0" borderId="43" applyNumberFormat="0" applyFont="0" applyFill="0" applyAlignment="0" applyProtection="0"/>
    <xf numFmtId="0" fontId="21" fillId="0" borderId="43" applyNumberFormat="0" applyFont="0" applyFill="0" applyAlignment="0" applyProtection="0"/>
    <xf numFmtId="0" fontId="21" fillId="0" borderId="43" applyNumberFormat="0" applyFont="0" applyFill="0" applyAlignment="0" applyProtection="0"/>
    <xf numFmtId="0" fontId="100" fillId="8" borderId="0"/>
    <xf numFmtId="170" fontId="101" fillId="0" borderId="6" applyNumberFormat="0" applyFill="0" applyBorder="0">
      <protection locked="0"/>
    </xf>
    <xf numFmtId="170" fontId="101" fillId="0" borderId="6" applyNumberFormat="0" applyFill="0" applyBorder="0">
      <protection locked="0"/>
    </xf>
    <xf numFmtId="170" fontId="101" fillId="0" borderId="6" applyNumberFormat="0" applyFill="0" applyBorder="0">
      <protection locked="0"/>
    </xf>
    <xf numFmtId="0" fontId="5" fillId="0" borderId="44">
      <alignment vertical="center"/>
    </xf>
    <xf numFmtId="0" fontId="5" fillId="0" borderId="44">
      <alignment vertical="center"/>
    </xf>
    <xf numFmtId="4" fontId="260" fillId="17" borderId="62" applyNumberFormat="0" applyProtection="0">
      <alignment vertical="center"/>
    </xf>
    <xf numFmtId="4" fontId="261" fillId="17" borderId="62" applyNumberFormat="0" applyProtection="0">
      <alignment vertical="center"/>
    </xf>
    <xf numFmtId="4" fontId="260" fillId="17" borderId="62" applyNumberFormat="0" applyProtection="0">
      <alignment horizontal="left" vertical="center" indent="1"/>
    </xf>
    <xf numFmtId="4" fontId="260" fillId="17" borderId="62" applyNumberFormat="0" applyProtection="0">
      <alignment horizontal="left" vertical="center" indent="1"/>
    </xf>
    <xf numFmtId="0" fontId="5" fillId="96" borderId="62" applyNumberFormat="0" applyProtection="0">
      <alignment horizontal="left" vertical="center" indent="1"/>
    </xf>
    <xf numFmtId="4" fontId="260" fillId="97" borderId="62" applyNumberFormat="0" applyProtection="0">
      <alignment horizontal="right" vertical="center"/>
    </xf>
    <xf numFmtId="4" fontId="260" fillId="98" borderId="62" applyNumberFormat="0" applyProtection="0">
      <alignment horizontal="right" vertical="center"/>
    </xf>
    <xf numFmtId="4" fontId="260" fillId="99" borderId="62" applyNumberFormat="0" applyProtection="0">
      <alignment horizontal="right" vertical="center"/>
    </xf>
    <xf numFmtId="4" fontId="260" fillId="93" borderId="62" applyNumberFormat="0" applyProtection="0">
      <alignment horizontal="right" vertical="center"/>
    </xf>
    <xf numFmtId="4" fontId="260" fillId="100" borderId="62" applyNumberFormat="0" applyProtection="0">
      <alignment horizontal="right" vertical="center"/>
    </xf>
    <xf numFmtId="4" fontId="260" fillId="101" borderId="62" applyNumberFormat="0" applyProtection="0">
      <alignment horizontal="right" vertical="center"/>
    </xf>
    <xf numFmtId="4" fontId="260" fillId="102" borderId="62" applyNumberFormat="0" applyProtection="0">
      <alignment horizontal="right" vertical="center"/>
    </xf>
    <xf numFmtId="4" fontId="260" fillId="103" borderId="62" applyNumberFormat="0" applyProtection="0">
      <alignment horizontal="right" vertical="center"/>
    </xf>
    <xf numFmtId="4" fontId="260" fillId="25" borderId="62" applyNumberFormat="0" applyProtection="0">
      <alignment horizontal="right" vertical="center"/>
    </xf>
    <xf numFmtId="4" fontId="262" fillId="104" borderId="62" applyNumberFormat="0" applyProtection="0">
      <alignment horizontal="left" vertical="center" indent="1"/>
    </xf>
    <xf numFmtId="4" fontId="260" fillId="105" borderId="67" applyNumberFormat="0" applyProtection="0">
      <alignment horizontal="left" vertical="center" indent="1"/>
    </xf>
    <xf numFmtId="4" fontId="263" fillId="32" borderId="0" applyNumberFormat="0" applyProtection="0">
      <alignment horizontal="left" vertical="center" indent="1"/>
    </xf>
    <xf numFmtId="0" fontId="5" fillId="96" borderId="62" applyNumberFormat="0" applyProtection="0">
      <alignment horizontal="left" vertical="center" indent="1"/>
    </xf>
    <xf numFmtId="4" fontId="260" fillId="105" borderId="62" applyNumberFormat="0" applyProtection="0">
      <alignment horizontal="left" vertical="center" indent="1"/>
    </xf>
    <xf numFmtId="4" fontId="260" fillId="106" borderId="62" applyNumberFormat="0" applyProtection="0">
      <alignment horizontal="left" vertical="center" indent="1"/>
    </xf>
    <xf numFmtId="0" fontId="5" fillId="106" borderId="62" applyNumberFormat="0" applyProtection="0">
      <alignment horizontal="left" vertical="center" indent="1"/>
    </xf>
    <xf numFmtId="0" fontId="5" fillId="106" borderId="62" applyNumberFormat="0" applyProtection="0">
      <alignment horizontal="left" vertical="center" indent="1"/>
    </xf>
    <xf numFmtId="0" fontId="5" fillId="107" borderId="62" applyNumberFormat="0" applyProtection="0">
      <alignment horizontal="left" vertical="center" indent="1"/>
    </xf>
    <xf numFmtId="0" fontId="5" fillId="107" borderId="62" applyNumberFormat="0" applyProtection="0">
      <alignment horizontal="left" vertical="center" indent="1"/>
    </xf>
    <xf numFmtId="0" fontId="5" fillId="19" borderId="62" applyNumberFormat="0" applyProtection="0">
      <alignment horizontal="left" vertical="center" indent="1"/>
    </xf>
    <xf numFmtId="0" fontId="5" fillId="19" borderId="62" applyNumberFormat="0" applyProtection="0">
      <alignment horizontal="left" vertical="center" indent="1"/>
    </xf>
    <xf numFmtId="0" fontId="5" fillId="96" borderId="62" applyNumberFormat="0" applyProtection="0">
      <alignment horizontal="left" vertical="center" indent="1"/>
    </xf>
    <xf numFmtId="0" fontId="5" fillId="96" borderId="62" applyNumberFormat="0" applyProtection="0">
      <alignment horizontal="left" vertical="center" indent="1"/>
    </xf>
    <xf numFmtId="4" fontId="260" fillId="10" borderId="62" applyNumberFormat="0" applyProtection="0">
      <alignment vertical="center"/>
    </xf>
    <xf numFmtId="4" fontId="261" fillId="10" borderId="62" applyNumberFormat="0" applyProtection="0">
      <alignment vertical="center"/>
    </xf>
    <xf numFmtId="4" fontId="260" fillId="10" borderId="62" applyNumberFormat="0" applyProtection="0">
      <alignment horizontal="left" vertical="center" indent="1"/>
    </xf>
    <xf numFmtId="4" fontId="260" fillId="10" borderId="62" applyNumberFormat="0" applyProtection="0">
      <alignment horizontal="left" vertical="center" indent="1"/>
    </xf>
    <xf numFmtId="4" fontId="260" fillId="105" borderId="62" applyNumberFormat="0" applyProtection="0">
      <alignment horizontal="right" vertical="center"/>
    </xf>
    <xf numFmtId="4" fontId="261" fillId="105" borderId="62" applyNumberFormat="0" applyProtection="0">
      <alignment horizontal="right" vertical="center"/>
    </xf>
    <xf numFmtId="0" fontId="5" fillId="96" borderId="62" applyNumberFormat="0" applyProtection="0">
      <alignment horizontal="left" vertical="center" indent="1"/>
    </xf>
    <xf numFmtId="0" fontId="5" fillId="96" borderId="62" applyNumberFormat="0" applyProtection="0">
      <alignment horizontal="left" vertical="center" indent="1"/>
    </xf>
    <xf numFmtId="0" fontId="264" fillId="0" borderId="0"/>
    <xf numFmtId="4" fontId="40" fillId="105" borderId="62" applyNumberFormat="0" applyProtection="0">
      <alignment horizontal="right" vertical="center"/>
    </xf>
    <xf numFmtId="312" fontId="26" fillId="0" borderId="0" applyFill="0" applyBorder="0">
      <alignment horizontal="right"/>
      <protection hidden="1"/>
    </xf>
    <xf numFmtId="312" fontId="26" fillId="0" borderId="0" applyFill="0" applyBorder="0">
      <alignment horizontal="right"/>
      <protection hidden="1"/>
    </xf>
    <xf numFmtId="0" fontId="26" fillId="0" borderId="0" applyFill="0" applyBorder="0">
      <alignment horizontal="right"/>
      <protection hidden="1"/>
    </xf>
    <xf numFmtId="312" fontId="26" fillId="0" borderId="0" applyFill="0" applyBorder="0">
      <alignment horizontal="right"/>
      <protection hidden="1"/>
    </xf>
    <xf numFmtId="212" fontId="265" fillId="0" borderId="0">
      <alignment horizontal="left"/>
    </xf>
    <xf numFmtId="0" fontId="102" fillId="0" borderId="0" applyNumberFormat="0" applyFill="0" applyBorder="0" applyProtection="0">
      <alignment horizontal="left" vertical="center"/>
    </xf>
    <xf numFmtId="0" fontId="102" fillId="0" borderId="0" applyNumberFormat="0" applyFill="0" applyBorder="0" applyProtection="0">
      <alignment horizontal="left" vertical="center"/>
    </xf>
    <xf numFmtId="0" fontId="102" fillId="0" borderId="0" applyNumberFormat="0" applyFill="0" applyBorder="0" applyProtection="0">
      <alignment horizontal="left" vertical="center"/>
    </xf>
    <xf numFmtId="0" fontId="27" fillId="16" borderId="21">
      <alignment horizontal="center" vertical="center" wrapText="1"/>
      <protection hidden="1"/>
    </xf>
    <xf numFmtId="0" fontId="27" fillId="16" borderId="21">
      <alignment horizontal="center" vertical="center" wrapText="1"/>
      <protection hidden="1"/>
    </xf>
    <xf numFmtId="341" fontId="5" fillId="0" borderId="0" applyFont="0" applyFill="0" applyBorder="0" applyAlignment="0" applyProtection="0"/>
    <xf numFmtId="40" fontId="16" fillId="0" borderId="0" applyFont="0" applyFill="0" applyBorder="0" applyAlignment="0" applyProtection="0"/>
    <xf numFmtId="223" fontId="48" fillId="0" borderId="0" applyFill="0" applyBorder="0" applyAlignment="0" applyProtection="0">
      <protection locked="0"/>
    </xf>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12" fontId="5" fillId="0" borderId="0">
      <alignment horizontal="left"/>
    </xf>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5" fillId="0" borderId="0"/>
    <xf numFmtId="0" fontId="5" fillId="0" borderId="0"/>
    <xf numFmtId="0" fontId="5" fillId="0" borderId="0" applyFont="0" applyFill="0" applyBorder="0" applyAlignment="0" applyProtection="0"/>
    <xf numFmtId="0" fontId="43" fillId="0" borderId="0" applyNumberFormat="0" applyFill="0" applyBorder="0" applyAlignment="0" applyProtection="0"/>
    <xf numFmtId="0" fontId="33" fillId="0" borderId="0">
      <alignment vertical="top"/>
    </xf>
    <xf numFmtId="0" fontId="5" fillId="0" borderId="0"/>
    <xf numFmtId="0" fontId="5" fillId="0" borderId="0"/>
    <xf numFmtId="0" fontId="103" fillId="0" borderId="0" applyNumberFormat="0" applyFill="0" applyBorder="0" applyProtection="0">
      <alignment horizontal="left" vertical="center"/>
    </xf>
    <xf numFmtId="0" fontId="103" fillId="0" borderId="0" applyNumberFormat="0" applyFill="0" applyBorder="0" applyProtection="0">
      <alignment horizontal="left" vertical="center"/>
    </xf>
    <xf numFmtId="3" fontId="5" fillId="0" borderId="0"/>
    <xf numFmtId="3" fontId="5" fillId="0" borderId="0"/>
    <xf numFmtId="3" fontId="266" fillId="0" borderId="0"/>
    <xf numFmtId="3" fontId="227" fillId="0" borderId="4"/>
    <xf numFmtId="342" fontId="34" fillId="0" borderId="11"/>
    <xf numFmtId="3" fontId="5" fillId="0" borderId="4"/>
    <xf numFmtId="0" fontId="267" fillId="20" borderId="68">
      <alignment horizontal="right" wrapText="1"/>
    </xf>
    <xf numFmtId="0" fontId="267" fillId="20" borderId="68"/>
    <xf numFmtId="0" fontId="267" fillId="20" borderId="0">
      <alignment horizontal="left"/>
    </xf>
    <xf numFmtId="41" fontId="268" fillId="20" borderId="0" applyNumberFormat="0">
      <alignment horizontal="right"/>
    </xf>
    <xf numFmtId="41" fontId="267" fillId="20" borderId="69" applyNumberFormat="0">
      <alignment horizontal="right"/>
    </xf>
    <xf numFmtId="41" fontId="267" fillId="20" borderId="70" applyNumberFormat="0">
      <alignment horizontal="right"/>
    </xf>
    <xf numFmtId="0" fontId="268" fillId="20" borderId="0">
      <alignment horizontal="left" wrapText="1"/>
    </xf>
    <xf numFmtId="0" fontId="267" fillId="20" borderId="0">
      <alignment horizontal="left" wrapText="1"/>
    </xf>
    <xf numFmtId="0" fontId="267" fillId="20" borderId="69">
      <alignment horizontal="left"/>
    </xf>
    <xf numFmtId="0" fontId="267" fillId="20" borderId="70">
      <alignment horizontal="left"/>
    </xf>
    <xf numFmtId="0" fontId="48" fillId="0" borderId="0"/>
    <xf numFmtId="0" fontId="48" fillId="0" borderId="0"/>
    <xf numFmtId="0" fontId="5" fillId="0" borderId="0" applyBorder="0" applyProtection="0">
      <alignment vertical="center"/>
    </xf>
    <xf numFmtId="0" fontId="5" fillId="0" borderId="0" applyBorder="0" applyProtection="0">
      <alignment vertical="center"/>
    </xf>
    <xf numFmtId="0" fontId="5" fillId="0" borderId="0">
      <alignment horizontal="left"/>
    </xf>
    <xf numFmtId="0" fontId="28" fillId="0" borderId="0" applyBorder="0" applyProtection="0">
      <alignment vertical="center"/>
    </xf>
    <xf numFmtId="0" fontId="5" fillId="31" borderId="0" applyBorder="0" applyProtection="0">
      <alignment horizontal="centerContinuous" vertical="center"/>
    </xf>
    <xf numFmtId="0" fontId="5" fillId="31" borderId="0" applyBorder="0" applyProtection="0">
      <alignment horizontal="centerContinuous" vertical="center"/>
    </xf>
    <xf numFmtId="0" fontId="28" fillId="31" borderId="0" applyBorder="0" applyProtection="0">
      <alignment horizontal="centerContinuous" vertical="center"/>
    </xf>
    <xf numFmtId="0" fontId="5" fillId="12" borderId="2" applyBorder="0" applyProtection="0">
      <alignment horizontal="centerContinuous" vertical="center"/>
    </xf>
    <xf numFmtId="0" fontId="5" fillId="12" borderId="2" applyBorder="0" applyProtection="0">
      <alignment horizontal="centerContinuous" vertical="center"/>
    </xf>
    <xf numFmtId="0" fontId="28" fillId="12" borderId="2" applyBorder="0" applyProtection="0">
      <alignment horizontal="centerContinuous" vertical="center"/>
    </xf>
    <xf numFmtId="0" fontId="5" fillId="0" borderId="0">
      <alignment horizontal="left"/>
    </xf>
    <xf numFmtId="0" fontId="5" fillId="0" borderId="0">
      <alignment horizontal="left"/>
    </xf>
    <xf numFmtId="0" fontId="5" fillId="0" borderId="0"/>
    <xf numFmtId="0" fontId="5" fillId="0" borderId="0"/>
    <xf numFmtId="0" fontId="5" fillId="0" borderId="0"/>
    <xf numFmtId="0" fontId="5" fillId="0" borderId="0" applyFill="0" applyBorder="0" applyProtection="0">
      <alignment horizontal="left"/>
    </xf>
    <xf numFmtId="0" fontId="5" fillId="0" borderId="0" applyFill="0" applyBorder="0" applyProtection="0">
      <alignment horizontal="left"/>
    </xf>
    <xf numFmtId="0" fontId="104" fillId="0" borderId="0">
      <alignment horizontal="centerContinuous"/>
    </xf>
    <xf numFmtId="0" fontId="28" fillId="0" borderId="0" applyFill="0" applyBorder="0" applyProtection="0">
      <alignment horizontal="left"/>
    </xf>
    <xf numFmtId="0" fontId="5" fillId="0" borderId="6" applyFill="0" applyBorder="0" applyProtection="0">
      <alignment horizontal="left" vertical="top"/>
    </xf>
    <xf numFmtId="0" fontId="5" fillId="0" borderId="6" applyFill="0" applyBorder="0" applyProtection="0">
      <alignment horizontal="left" vertical="top"/>
    </xf>
    <xf numFmtId="0" fontId="5" fillId="0" borderId="0"/>
    <xf numFmtId="0" fontId="179" fillId="0" borderId="6" applyFill="0" applyBorder="0" applyProtection="0">
      <alignment horizontal="left" vertical="top"/>
    </xf>
    <xf numFmtId="0" fontId="5" fillId="8" borderId="47" applyNumberFormat="0" applyAlignment="0" applyProtection="0">
      <alignment vertical="center"/>
    </xf>
    <xf numFmtId="0" fontId="5" fillId="8" borderId="47" applyNumberFormat="0" applyAlignment="0" applyProtection="0">
      <alignment vertical="center"/>
    </xf>
    <xf numFmtId="0" fontId="5" fillId="8" borderId="47" applyNumberFormat="0" applyAlignment="0" applyProtection="0">
      <alignment vertical="center"/>
    </xf>
    <xf numFmtId="0" fontId="48" fillId="0" borderId="0"/>
    <xf numFmtId="0" fontId="48" fillId="0" borderId="0"/>
    <xf numFmtId="0" fontId="104" fillId="0" borderId="0">
      <alignment horizontal="centerContinuous"/>
    </xf>
    <xf numFmtId="0" fontId="104" fillId="0" borderId="0">
      <alignment horizontal="centerContinuous"/>
    </xf>
    <xf numFmtId="0" fontId="104" fillId="0" borderId="0">
      <alignment horizontal="centerContinuous"/>
    </xf>
    <xf numFmtId="0" fontId="5" fillId="25" borderId="0" applyNumberFormat="0" applyFon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59" fontId="5" fillId="0" borderId="0" applyFill="0" applyBorder="0" applyAlignment="0" applyProtection="0">
      <alignment horizontal="right"/>
    </xf>
    <xf numFmtId="1" fontId="62" fillId="0" borderId="1" applyFill="0" applyBorder="0" applyProtection="0">
      <alignment horizontal="right"/>
    </xf>
    <xf numFmtId="1" fontId="62" fillId="0" borderId="1" applyFill="0" applyBorder="0" applyProtection="0">
      <alignment horizontal="right"/>
    </xf>
    <xf numFmtId="0" fontId="21" fillId="0" borderId="0" applyNumberFormat="0" applyFill="0" applyBorder="0" applyAlignment="0" applyProtection="0"/>
    <xf numFmtId="260" fontId="5" fillId="0" borderId="0"/>
    <xf numFmtId="260" fontId="5" fillId="0" borderId="0"/>
    <xf numFmtId="260" fontId="5" fillId="0" borderId="0"/>
    <xf numFmtId="260" fontId="5" fillId="0" borderId="0"/>
    <xf numFmtId="0" fontId="5" fillId="0" borderId="2" applyFill="0" applyAlignment="0" applyProtection="0"/>
    <xf numFmtId="0" fontId="5" fillId="0" borderId="2" applyFill="0" applyAlignment="0" applyProtection="0"/>
    <xf numFmtId="0" fontId="5" fillId="0" borderId="2" applyFill="0" applyAlignment="0" applyProtection="0"/>
    <xf numFmtId="0" fontId="5" fillId="0" borderId="2" applyFill="0" applyAlignment="0" applyProtection="0"/>
    <xf numFmtId="0" fontId="269" fillId="0" borderId="0" applyNumberFormat="0" applyFill="0" applyBorder="0" applyAlignment="0" applyProtection="0"/>
    <xf numFmtId="0" fontId="270" fillId="0" borderId="0" applyNumberFormat="0" applyFill="0" applyBorder="0" applyAlignment="0" applyProtection="0"/>
    <xf numFmtId="0" fontId="29" fillId="14" borderId="12" applyNumberFormat="0" applyProtection="0">
      <alignment horizontal="left" vertical="center"/>
    </xf>
    <xf numFmtId="0" fontId="29" fillId="14" borderId="12" applyNumberFormat="0" applyProtection="0">
      <alignment horizontal="left" vertical="center"/>
    </xf>
    <xf numFmtId="0" fontId="29" fillId="14" borderId="12" applyNumberFormat="0" applyProtection="0">
      <alignment horizontal="left" vertical="center"/>
    </xf>
    <xf numFmtId="0" fontId="62" fillId="0" borderId="0" applyFill="0" applyBorder="0" applyProtection="0"/>
    <xf numFmtId="0" fontId="62" fillId="0" borderId="0" applyFill="0" applyBorder="0" applyProtection="0"/>
    <xf numFmtId="0" fontId="5" fillId="0" borderId="48"/>
    <xf numFmtId="237" fontId="105" fillId="0" borderId="49"/>
    <xf numFmtId="237" fontId="96" fillId="0" borderId="0" applyNumberFormat="0" applyFill="0" applyBorder="0" applyAlignment="0" applyProtection="0"/>
    <xf numFmtId="237" fontId="96" fillId="0" borderId="0" applyNumberFormat="0" applyFill="0" applyBorder="0" applyAlignment="0" applyProtection="0"/>
    <xf numFmtId="0" fontId="16" fillId="0" borderId="0" applyBorder="0"/>
    <xf numFmtId="0" fontId="16" fillId="0" borderId="0" applyBorder="0"/>
    <xf numFmtId="212" fontId="271" fillId="29" borderId="0" applyFill="0" applyBorder="0" applyAlignment="0" applyProtection="0">
      <alignment horizontal="left"/>
    </xf>
    <xf numFmtId="212" fontId="5" fillId="0" borderId="0" applyFill="0" applyBorder="0" applyAlignment="0" applyProtection="0">
      <alignment horizontal="left"/>
    </xf>
    <xf numFmtId="343" fontId="236" fillId="0" borderId="0">
      <protection locked="0"/>
    </xf>
    <xf numFmtId="343" fontId="236" fillId="0" borderId="0">
      <protection locked="0"/>
    </xf>
    <xf numFmtId="0" fontId="34" fillId="0" borderId="0"/>
    <xf numFmtId="0" fontId="5" fillId="0" borderId="0"/>
    <xf numFmtId="0" fontId="5" fillId="0" borderId="0"/>
    <xf numFmtId="0" fontId="5" fillId="0" borderId="0"/>
    <xf numFmtId="0" fontId="5" fillId="0" borderId="0"/>
    <xf numFmtId="0" fontId="5" fillId="0" borderId="0" applyNumberFormat="0" applyFont="0" applyFill="0" applyBorder="0" applyAlignment="0">
      <alignment horizontal="left" vertical="center"/>
    </xf>
    <xf numFmtId="0" fontId="36" fillId="20" borderId="0" applyNumberFormat="0" applyAlignment="0" applyProtection="0">
      <alignment horizontal="left" vertical="center" wrapText="1"/>
    </xf>
    <xf numFmtId="176" fontId="106" fillId="0" borderId="2" applyAlignment="0">
      <alignment horizontal="left"/>
      <protection locked="0"/>
    </xf>
    <xf numFmtId="176" fontId="106" fillId="0" borderId="2" applyAlignment="0">
      <alignment horizontal="left"/>
      <protection locked="0"/>
    </xf>
    <xf numFmtId="0" fontId="5" fillId="0" borderId="0"/>
    <xf numFmtId="0" fontId="5" fillId="0" borderId="0"/>
    <xf numFmtId="0" fontId="107" fillId="0" borderId="0"/>
    <xf numFmtId="0" fontId="107" fillId="0" borderId="0"/>
    <xf numFmtId="262" fontId="5" fillId="0" borderId="0" applyNumberFormat="0"/>
    <xf numFmtId="262" fontId="5" fillId="0" borderId="0" applyNumberFormat="0"/>
    <xf numFmtId="183" fontId="16" fillId="0" borderId="0" applyFont="0" applyFill="0" applyBorder="0" applyAlignment="0" applyProtection="0"/>
    <xf numFmtId="0" fontId="128" fillId="0" borderId="0" applyNumberFormat="0" applyFill="0" applyBorder="0" applyAlignment="0" applyProtection="0"/>
    <xf numFmtId="0" fontId="61" fillId="11" borderId="4" applyNumberFormat="0" applyFont="0" applyAlignment="0" applyProtection="0">
      <protection locked="0"/>
    </xf>
    <xf numFmtId="1" fontId="48" fillId="0" borderId="0" applyFont="0" applyFill="0" applyBorder="0" applyAlignment="0" applyProtection="0"/>
    <xf numFmtId="1" fontId="48" fillId="0" borderId="0" applyFont="0" applyFill="0" applyBorder="0" applyAlignment="0" applyProtection="0"/>
    <xf numFmtId="0" fontId="21" fillId="14" borderId="0" applyNumberFormat="0" applyBorder="0" applyProtection="0">
      <alignment horizontal="left"/>
    </xf>
    <xf numFmtId="0" fontId="21" fillId="14" borderId="0" applyNumberFormat="0" applyBorder="0" applyProtection="0">
      <alignment horizontal="left"/>
    </xf>
    <xf numFmtId="0" fontId="21" fillId="14" borderId="0" applyNumberFormat="0" applyBorder="0" applyProtection="0">
      <alignment horizontal="left"/>
    </xf>
    <xf numFmtId="1" fontId="5" fillId="91" borderId="0"/>
    <xf numFmtId="0" fontId="5" fillId="0" borderId="0">
      <alignment horizontal="right"/>
    </xf>
    <xf numFmtId="0" fontId="5" fillId="0" borderId="0"/>
    <xf numFmtId="0" fontId="272" fillId="0" borderId="0"/>
    <xf numFmtId="43" fontId="6" fillId="0" borderId="0" applyFont="0" applyFill="0" applyBorder="0" applyAlignment="0" applyProtection="0"/>
    <xf numFmtId="0" fontId="5" fillId="0" borderId="0" applyProtection="0">
      <alignment horizontal="left"/>
    </xf>
    <xf numFmtId="16" fontId="5" fillId="0" borderId="0" applyNumberFormat="0" applyFill="0" applyBorder="0" applyAlignment="0" applyProtection="0">
      <alignment horizontal="right"/>
    </xf>
    <xf numFmtId="9" fontId="6" fillId="0" borderId="0" applyFont="0" applyFill="0" applyBorder="0" applyAlignment="0" applyProtection="0"/>
    <xf numFmtId="0" fontId="5" fillId="0" borderId="0"/>
    <xf numFmtId="0" fontId="33" fillId="11" borderId="0"/>
    <xf numFmtId="0" fontId="32" fillId="0" borderId="0"/>
    <xf numFmtId="344" fontId="5" fillId="0" borderId="0" applyFont="0" applyFill="0" applyBorder="0" applyAlignment="0" applyProtection="0"/>
    <xf numFmtId="0" fontId="5" fillId="0" borderId="0"/>
    <xf numFmtId="0" fontId="16" fillId="0" borderId="0"/>
    <xf numFmtId="0" fontId="275" fillId="0" borderId="0" applyNumberFormat="0" applyFill="0" applyBorder="0" applyAlignment="0" applyProtection="0"/>
    <xf numFmtId="0" fontId="5" fillId="0" borderId="0"/>
  </cellStyleXfs>
  <cellXfs count="1141">
    <xf numFmtId="0" fontId="0" fillId="0" borderId="0" xfId="0"/>
    <xf numFmtId="0" fontId="3" fillId="0" borderId="0" xfId="0" applyFont="1"/>
    <xf numFmtId="168" fontId="3" fillId="0" borderId="0" xfId="1" applyNumberFormat="1" applyFont="1"/>
    <xf numFmtId="9" fontId="3" fillId="0" borderId="0" xfId="2" applyFont="1"/>
    <xf numFmtId="0" fontId="4" fillId="0" borderId="0" xfId="0" applyFont="1"/>
    <xf numFmtId="43" fontId="3" fillId="0" borderId="0" xfId="1" applyFont="1"/>
    <xf numFmtId="168" fontId="3" fillId="0" borderId="0" xfId="0" applyNumberFormat="1" applyFont="1"/>
    <xf numFmtId="0" fontId="9" fillId="0" borderId="0" xfId="4" applyFont="1"/>
    <xf numFmtId="0" fontId="6" fillId="0" borderId="0" xfId="5"/>
    <xf numFmtId="0" fontId="6" fillId="0" borderId="0" xfId="4"/>
    <xf numFmtId="17" fontId="0" fillId="0" borderId="0" xfId="4" applyNumberFormat="1" applyFont="1"/>
    <xf numFmtId="1" fontId="6" fillId="0" borderId="0" xfId="4" applyNumberFormat="1"/>
    <xf numFmtId="0" fontId="3" fillId="0" borderId="0" xfId="0" applyFont="1" applyAlignment="1">
      <alignment horizontal="center"/>
    </xf>
    <xf numFmtId="168" fontId="3" fillId="0" borderId="0" xfId="1" applyNumberFormat="1" applyFont="1" applyAlignment="1">
      <alignment horizontal="center"/>
    </xf>
    <xf numFmtId="43" fontId="3" fillId="0" borderId="0" xfId="0" applyNumberFormat="1" applyFont="1" applyAlignment="1">
      <alignment horizontal="center"/>
    </xf>
    <xf numFmtId="9" fontId="3" fillId="0" borderId="0" xfId="2" applyFont="1" applyAlignment="1">
      <alignment horizontal="center"/>
    </xf>
    <xf numFmtId="176" fontId="3" fillId="0" borderId="0" xfId="1" applyNumberFormat="1" applyFont="1" applyAlignment="1">
      <alignment horizontal="center"/>
    </xf>
    <xf numFmtId="3" fontId="3" fillId="0" borderId="0" xfId="1" applyNumberFormat="1" applyFont="1" applyAlignment="1">
      <alignment horizontal="center"/>
    </xf>
    <xf numFmtId="0" fontId="3" fillId="0" borderId="12" xfId="0" applyFont="1" applyBorder="1"/>
    <xf numFmtId="0" fontId="3" fillId="0" borderId="12" xfId="0" applyFont="1" applyBorder="1" applyAlignment="1">
      <alignment horizontal="center"/>
    </xf>
    <xf numFmtId="3" fontId="3" fillId="0" borderId="0" xfId="0" applyNumberFormat="1" applyFont="1" applyAlignment="1">
      <alignment horizontal="center"/>
    </xf>
    <xf numFmtId="0" fontId="3" fillId="0" borderId="11" xfId="0" applyFont="1" applyBorder="1"/>
    <xf numFmtId="3" fontId="3" fillId="0" borderId="11" xfId="0" applyNumberFormat="1" applyFont="1" applyBorder="1" applyAlignment="1">
      <alignment horizontal="center"/>
    </xf>
    <xf numFmtId="175" fontId="3" fillId="0" borderId="11" xfId="0" applyNumberFormat="1" applyFont="1" applyBorder="1" applyAlignment="1">
      <alignment horizontal="center"/>
    </xf>
    <xf numFmtId="9" fontId="3" fillId="0" borderId="11" xfId="2" applyFont="1" applyBorder="1" applyAlignment="1">
      <alignment horizontal="center"/>
    </xf>
    <xf numFmtId="0" fontId="3" fillId="0" borderId="2" xfId="0" applyFont="1" applyBorder="1"/>
    <xf numFmtId="0" fontId="3" fillId="0" borderId="2" xfId="0" applyFont="1" applyBorder="1" applyAlignment="1">
      <alignment horizontal="center" wrapText="1"/>
    </xf>
    <xf numFmtId="167" fontId="3" fillId="0" borderId="0" xfId="1" applyNumberFormat="1" applyFont="1"/>
    <xf numFmtId="168" fontId="0" fillId="0" borderId="0" xfId="1" applyNumberFormat="1" applyFont="1"/>
    <xf numFmtId="43" fontId="0" fillId="0" borderId="0" xfId="0" applyNumberFormat="1"/>
    <xf numFmtId="43" fontId="3" fillId="0" borderId="0" xfId="0" applyNumberFormat="1" applyFont="1"/>
    <xf numFmtId="0" fontId="4" fillId="0" borderId="2" xfId="0" applyFont="1" applyBorder="1"/>
    <xf numFmtId="0" fontId="4" fillId="0" borderId="2" xfId="0" applyFont="1" applyBorder="1" applyAlignment="1">
      <alignment horizontal="center"/>
    </xf>
    <xf numFmtId="168" fontId="3" fillId="0" borderId="0" xfId="0" applyNumberFormat="1" applyFont="1" applyAlignment="1">
      <alignment horizontal="center"/>
    </xf>
    <xf numFmtId="9" fontId="3" fillId="0" borderId="0" xfId="0" applyNumberFormat="1" applyFont="1"/>
    <xf numFmtId="43" fontId="3" fillId="0" borderId="0" xfId="1" applyFont="1" applyAlignment="1">
      <alignment horizontal="center"/>
    </xf>
    <xf numFmtId="0" fontId="11" fillId="0" borderId="0" xfId="0" applyFont="1"/>
    <xf numFmtId="168" fontId="11" fillId="0" borderId="0" xfId="1" applyNumberFormat="1" applyFont="1"/>
    <xf numFmtId="0" fontId="12" fillId="0" borderId="0" xfId="0" applyFont="1"/>
    <xf numFmtId="9" fontId="11" fillId="0" borderId="0" xfId="2" applyFont="1"/>
    <xf numFmtId="168" fontId="4" fillId="0" borderId="0" xfId="0" applyNumberFormat="1" applyFont="1"/>
    <xf numFmtId="0" fontId="3" fillId="0" borderId="6" xfId="0" applyFont="1" applyBorder="1"/>
    <xf numFmtId="177" fontId="6" fillId="0" borderId="0" xfId="0" applyNumberFormat="1" applyFont="1"/>
    <xf numFmtId="177" fontId="9" fillId="0" borderId="0" xfId="0" applyNumberFormat="1" applyFont="1"/>
    <xf numFmtId="177" fontId="9" fillId="0" borderId="0" xfId="0" applyNumberFormat="1" applyFont="1" applyAlignment="1">
      <alignment horizontal="center"/>
    </xf>
    <xf numFmtId="177" fontId="6" fillId="0" borderId="0" xfId="0" applyNumberFormat="1" applyFont="1" applyAlignment="1">
      <alignment horizontal="center"/>
    </xf>
    <xf numFmtId="169" fontId="0" fillId="0" borderId="0" xfId="2" applyNumberFormat="1" applyFont="1"/>
    <xf numFmtId="169" fontId="0" fillId="0" borderId="0" xfId="0" applyNumberFormat="1"/>
    <xf numFmtId="0" fontId="11" fillId="0" borderId="22" xfId="0" applyFont="1" applyBorder="1"/>
    <xf numFmtId="0" fontId="12" fillId="0" borderId="1" xfId="0" applyFont="1" applyBorder="1"/>
    <xf numFmtId="0" fontId="11" fillId="0" borderId="6" xfId="0" applyFont="1" applyBorder="1"/>
    <xf numFmtId="0" fontId="11" fillId="0" borderId="8" xfId="0" applyFont="1" applyBorder="1"/>
    <xf numFmtId="0" fontId="12" fillId="0" borderId="21" xfId="0" applyFont="1" applyBorder="1"/>
    <xf numFmtId="0" fontId="11" fillId="0" borderId="25" xfId="0" applyFont="1" applyBorder="1"/>
    <xf numFmtId="9" fontId="11" fillId="0" borderId="24" xfId="2" applyFont="1" applyBorder="1" applyAlignment="1">
      <alignment horizontal="center"/>
    </xf>
    <xf numFmtId="9" fontId="11" fillId="0" borderId="25" xfId="2" applyFont="1" applyBorder="1" applyAlignment="1">
      <alignment horizontal="center"/>
    </xf>
    <xf numFmtId="3" fontId="11" fillId="0" borderId="24" xfId="1" applyNumberFormat="1" applyFont="1" applyBorder="1" applyAlignment="1">
      <alignment horizontal="center"/>
    </xf>
    <xf numFmtId="3" fontId="11" fillId="0" borderId="25" xfId="1" applyNumberFormat="1" applyFont="1" applyBorder="1" applyAlignment="1">
      <alignment horizontal="center"/>
    </xf>
    <xf numFmtId="3" fontId="11" fillId="0" borderId="0" xfId="1" applyNumberFormat="1" applyFont="1" applyBorder="1" applyAlignment="1">
      <alignment horizontal="center"/>
    </xf>
    <xf numFmtId="3" fontId="11" fillId="0" borderId="2" xfId="1" applyNumberFormat="1" applyFont="1" applyBorder="1" applyAlignment="1">
      <alignment horizontal="center"/>
    </xf>
    <xf numFmtId="176" fontId="11" fillId="0" borderId="24" xfId="1" applyNumberFormat="1" applyFont="1" applyBorder="1" applyAlignment="1">
      <alignment horizontal="center"/>
    </xf>
    <xf numFmtId="176" fontId="11" fillId="0" borderId="25" xfId="1" applyNumberFormat="1" applyFont="1" applyBorder="1" applyAlignment="1">
      <alignment horizontal="center"/>
    </xf>
    <xf numFmtId="3" fontId="12" fillId="0" borderId="2" xfId="0" applyNumberFormat="1" applyFont="1" applyBorder="1" applyAlignment="1">
      <alignment horizontal="center"/>
    </xf>
    <xf numFmtId="176" fontId="12" fillId="0" borderId="25" xfId="0" applyNumberFormat="1" applyFont="1" applyBorder="1" applyAlignment="1">
      <alignment horizontal="center"/>
    </xf>
    <xf numFmtId="0" fontId="9" fillId="0" borderId="0" xfId="4" applyFont="1" applyAlignment="1">
      <alignment horizontal="left" vertical="center"/>
    </xf>
    <xf numFmtId="0" fontId="9" fillId="0" borderId="0" xfId="14" applyFont="1" applyAlignment="1">
      <alignment horizontal="left" vertical="center"/>
    </xf>
    <xf numFmtId="9" fontId="3" fillId="0" borderId="24" xfId="2" applyFont="1" applyBorder="1"/>
    <xf numFmtId="9" fontId="3" fillId="0" borderId="6" xfId="0" applyNumberFormat="1" applyFont="1" applyBorder="1"/>
    <xf numFmtId="0" fontId="4" fillId="0" borderId="74" xfId="0" applyFont="1" applyBorder="1"/>
    <xf numFmtId="0" fontId="4" fillId="0" borderId="22" xfId="0" applyFont="1" applyBorder="1"/>
    <xf numFmtId="259" fontId="3" fillId="0" borderId="0" xfId="0" applyNumberFormat="1" applyFont="1"/>
    <xf numFmtId="169" fontId="273" fillId="11" borderId="7" xfId="2388" applyNumberFormat="1" applyFont="1" applyBorder="1"/>
    <xf numFmtId="0" fontId="34" fillId="11" borderId="6" xfId="2388" quotePrefix="1" applyFont="1" applyBorder="1" applyAlignment="1">
      <alignment horizontal="left"/>
    </xf>
    <xf numFmtId="169" fontId="34" fillId="11" borderId="7" xfId="2388" applyNumberFormat="1" applyFont="1" applyBorder="1"/>
    <xf numFmtId="0" fontId="5" fillId="11" borderId="6" xfId="2388" applyFont="1" applyBorder="1"/>
    <xf numFmtId="0" fontId="6" fillId="11" borderId="7" xfId="2387" applyFont="1" applyFill="1" applyBorder="1"/>
    <xf numFmtId="168" fontId="6" fillId="0" borderId="2" xfId="1" applyNumberFormat="1" applyFont="1" applyFill="1" applyBorder="1" applyAlignment="1">
      <alignment horizontal="center" vertical="center"/>
    </xf>
    <xf numFmtId="168" fontId="6" fillId="0" borderId="0" xfId="1" applyNumberFormat="1" applyFont="1" applyFill="1" applyBorder="1" applyAlignment="1">
      <alignment horizontal="center" vertical="center"/>
    </xf>
    <xf numFmtId="9" fontId="4" fillId="0" borderId="80" xfId="0" applyNumberFormat="1" applyFont="1" applyBorder="1"/>
    <xf numFmtId="218" fontId="3" fillId="0" borderId="0" xfId="0" applyNumberFormat="1" applyFont="1"/>
    <xf numFmtId="0" fontId="5" fillId="11" borderId="8" xfId="2388" quotePrefix="1" applyFont="1" applyBorder="1" applyAlignment="1">
      <alignment horizontal="left"/>
    </xf>
    <xf numFmtId="169" fontId="40" fillId="11" borderId="7" xfId="2388" applyNumberFormat="1" applyFont="1" applyBorder="1"/>
    <xf numFmtId="0" fontId="5" fillId="11" borderId="6" xfId="2388" applyFont="1" applyBorder="1" applyAlignment="1">
      <alignment horizontal="left"/>
    </xf>
    <xf numFmtId="0" fontId="3" fillId="0" borderId="7" xfId="0" applyFont="1" applyBorder="1"/>
    <xf numFmtId="9" fontId="34" fillId="11" borderId="23" xfId="2388" applyNumberFormat="1" applyFont="1" applyBorder="1"/>
    <xf numFmtId="169" fontId="39" fillId="11" borderId="7" xfId="2388" applyNumberFormat="1" applyFont="1" applyBorder="1"/>
    <xf numFmtId="0" fontId="5" fillId="11" borderId="6" xfId="2388" quotePrefix="1" applyFont="1" applyBorder="1" applyAlignment="1">
      <alignment horizontal="left"/>
    </xf>
    <xf numFmtId="0" fontId="4" fillId="0" borderId="73" xfId="0" applyFont="1" applyBorder="1" applyAlignment="1">
      <alignment horizontal="left"/>
    </xf>
    <xf numFmtId="9" fontId="4" fillId="0" borderId="79" xfId="0" applyNumberFormat="1" applyFont="1" applyBorder="1"/>
    <xf numFmtId="9" fontId="3" fillId="0" borderId="78" xfId="0" applyNumberFormat="1" applyFont="1" applyBorder="1"/>
    <xf numFmtId="9" fontId="3" fillId="0" borderId="24" xfId="0" applyNumberFormat="1" applyFont="1" applyBorder="1"/>
    <xf numFmtId="168" fontId="3" fillId="0" borderId="24" xfId="1" applyNumberFormat="1" applyFont="1" applyBorder="1"/>
    <xf numFmtId="0" fontId="4" fillId="0" borderId="77" xfId="0" applyFont="1" applyBorder="1" applyAlignment="1">
      <alignment horizontal="right"/>
    </xf>
    <xf numFmtId="9" fontId="3" fillId="0" borderId="76" xfId="0" applyNumberFormat="1" applyFont="1" applyBorder="1"/>
    <xf numFmtId="9" fontId="3" fillId="0" borderId="6" xfId="2" applyFont="1" applyBorder="1"/>
    <xf numFmtId="168" fontId="3" fillId="0" borderId="6" xfId="1" applyNumberFormat="1" applyFont="1" applyBorder="1"/>
    <xf numFmtId="0" fontId="4" fillId="0" borderId="75" xfId="0" applyFont="1" applyBorder="1" applyAlignment="1">
      <alignment horizontal="right"/>
    </xf>
    <xf numFmtId="0" fontId="3" fillId="0" borderId="9" xfId="0" applyFont="1" applyBorder="1"/>
    <xf numFmtId="175" fontId="5" fillId="11" borderId="9" xfId="2388" applyNumberFormat="1" applyFont="1" applyBorder="1"/>
    <xf numFmtId="0" fontId="6" fillId="11" borderId="9" xfId="2387" applyFont="1" applyFill="1" applyBorder="1"/>
    <xf numFmtId="9" fontId="40" fillId="11" borderId="7" xfId="2388" applyNumberFormat="1" applyFont="1" applyBorder="1"/>
    <xf numFmtId="218" fontId="40" fillId="11" borderId="7" xfId="2388" applyNumberFormat="1" applyFont="1" applyBorder="1"/>
    <xf numFmtId="0" fontId="34" fillId="11" borderId="6" xfId="2388" applyFont="1" applyBorder="1" applyAlignment="1">
      <alignment horizontal="left"/>
    </xf>
    <xf numFmtId="2" fontId="40" fillId="11" borderId="7" xfId="2388" applyNumberFormat="1" applyFont="1" applyBorder="1"/>
    <xf numFmtId="0" fontId="6" fillId="11" borderId="23" xfId="2387" applyFont="1" applyFill="1" applyBorder="1"/>
    <xf numFmtId="0" fontId="34" fillId="11" borderId="22" xfId="2388" applyFont="1" applyBorder="1" applyAlignment="1">
      <alignment horizontal="left"/>
    </xf>
    <xf numFmtId="0" fontId="9" fillId="0" borderId="2" xfId="14" applyFont="1" applyBorder="1" applyAlignment="1">
      <alignment horizontal="left" vertical="center"/>
    </xf>
    <xf numFmtId="168" fontId="6" fillId="0" borderId="0" xfId="1" applyNumberFormat="1" applyFont="1" applyFill="1" applyAlignment="1">
      <alignment horizontal="center" vertical="center"/>
    </xf>
    <xf numFmtId="9" fontId="0" fillId="0" borderId="0" xfId="0" applyNumberFormat="1"/>
    <xf numFmtId="10" fontId="0" fillId="0" borderId="0" xfId="0" applyNumberFormat="1"/>
    <xf numFmtId="0" fontId="9" fillId="0" borderId="1" xfId="2387" applyFont="1" applyBorder="1"/>
    <xf numFmtId="0" fontId="6" fillId="0" borderId="0" xfId="2387" applyFont="1"/>
    <xf numFmtId="168" fontId="6" fillId="0" borderId="0" xfId="2387" applyNumberFormat="1" applyFont="1"/>
    <xf numFmtId="43" fontId="6" fillId="0" borderId="0" xfId="1" applyFont="1"/>
    <xf numFmtId="0" fontId="2" fillId="0" borderId="0" xfId="0" applyFont="1"/>
    <xf numFmtId="0" fontId="4" fillId="0" borderId="71" xfId="0" applyFont="1" applyBorder="1"/>
    <xf numFmtId="168" fontId="4" fillId="0" borderId="10" xfId="0" applyNumberFormat="1" applyFont="1" applyBorder="1"/>
    <xf numFmtId="169" fontId="4" fillId="0" borderId="0" xfId="2" applyNumberFormat="1" applyFont="1"/>
    <xf numFmtId="168" fontId="3" fillId="0" borderId="0" xfId="2" applyNumberFormat="1" applyFont="1"/>
    <xf numFmtId="43" fontId="4" fillId="0" borderId="10" xfId="0" applyNumberFormat="1" applyFont="1" applyBorder="1"/>
    <xf numFmtId="0" fontId="5" fillId="3" borderId="0" xfId="455" applyFont="1" applyFill="1"/>
    <xf numFmtId="0" fontId="276" fillId="3" borderId="0" xfId="455" applyFont="1" applyFill="1"/>
    <xf numFmtId="0" fontId="5" fillId="113" borderId="0" xfId="14" applyFont="1" applyFill="1"/>
    <xf numFmtId="0" fontId="277" fillId="113" borderId="0" xfId="14" applyFont="1" applyFill="1"/>
    <xf numFmtId="0" fontId="223" fillId="113" borderId="0" xfId="14" applyFont="1" applyFill="1" applyAlignment="1">
      <alignment horizontal="right"/>
    </xf>
    <xf numFmtId="0" fontId="278" fillId="3" borderId="81" xfId="14" applyFont="1" applyFill="1" applyBorder="1"/>
    <xf numFmtId="0" fontId="34" fillId="3" borderId="0" xfId="14" applyFont="1" applyFill="1"/>
    <xf numFmtId="175" fontId="34" fillId="3" borderId="0" xfId="14" applyNumberFormat="1" applyFont="1" applyFill="1"/>
    <xf numFmtId="2" fontId="34" fillId="3" borderId="0" xfId="14" applyNumberFormat="1" applyFont="1" applyFill="1"/>
    <xf numFmtId="0" fontId="5" fillId="3" borderId="0" xfId="14" applyFont="1" applyFill="1"/>
    <xf numFmtId="168" fontId="5" fillId="3" borderId="0" xfId="11" applyNumberFormat="1" applyFont="1" applyFill="1"/>
    <xf numFmtId="169" fontId="5" fillId="3" borderId="0" xfId="14" applyNumberFormat="1" applyFont="1" applyFill="1"/>
    <xf numFmtId="168" fontId="34" fillId="3" borderId="0" xfId="11" applyNumberFormat="1" applyFont="1" applyFill="1"/>
    <xf numFmtId="169" fontId="5" fillId="3" borderId="0" xfId="746" applyNumberFormat="1" applyFont="1" applyFill="1"/>
    <xf numFmtId="168" fontId="34" fillId="3" borderId="0" xfId="11" applyNumberFormat="1" applyFont="1" applyFill="1" applyAlignment="1">
      <alignment horizontal="right"/>
    </xf>
    <xf numFmtId="169" fontId="5" fillId="3" borderId="0" xfId="11" applyNumberFormat="1" applyFont="1" applyFill="1" applyAlignment="1">
      <alignment horizontal="right"/>
    </xf>
    <xf numFmtId="0" fontId="279" fillId="3" borderId="0" xfId="14" applyFont="1" applyFill="1"/>
    <xf numFmtId="0" fontId="2" fillId="0" borderId="0" xfId="0" applyFont="1" applyAlignment="1">
      <alignment horizontal="center"/>
    </xf>
    <xf numFmtId="0" fontId="0" fillId="0" borderId="0" xfId="0" applyAlignment="1">
      <alignment horizontal="center"/>
    </xf>
    <xf numFmtId="17" fontId="0" fillId="0" borderId="0" xfId="0" applyNumberFormat="1"/>
    <xf numFmtId="0" fontId="280" fillId="3" borderId="71" xfId="0" applyFont="1" applyFill="1" applyBorder="1"/>
    <xf numFmtId="17" fontId="280" fillId="3" borderId="71" xfId="0" applyNumberFormat="1" applyFont="1" applyFill="1" applyBorder="1" applyAlignment="1">
      <alignment horizontal="center"/>
    </xf>
    <xf numFmtId="0" fontId="281" fillId="3" borderId="71" xfId="0" applyFont="1" applyFill="1" applyBorder="1"/>
    <xf numFmtId="0" fontId="281" fillId="118" borderId="0" xfId="0" applyFont="1" applyFill="1"/>
    <xf numFmtId="175" fontId="281" fillId="118" borderId="0" xfId="0" applyNumberFormat="1" applyFont="1" applyFill="1" applyAlignment="1">
      <alignment horizontal="center"/>
    </xf>
    <xf numFmtId="169" fontId="281" fillId="118" borderId="0" xfId="2" applyNumberFormat="1" applyFont="1" applyFill="1"/>
    <xf numFmtId="0" fontId="281" fillId="3" borderId="0" xfId="0" applyFont="1" applyFill="1"/>
    <xf numFmtId="175" fontId="281" fillId="3" borderId="0" xfId="0" applyNumberFormat="1" applyFont="1" applyFill="1" applyAlignment="1">
      <alignment horizontal="center"/>
    </xf>
    <xf numFmtId="169" fontId="281" fillId="3" borderId="0" xfId="2" applyNumberFormat="1" applyFont="1" applyFill="1"/>
    <xf numFmtId="0" fontId="280" fillId="3" borderId="4" xfId="0" applyFont="1" applyFill="1" applyBorder="1"/>
    <xf numFmtId="175" fontId="280" fillId="3" borderId="4" xfId="0" applyNumberFormat="1" applyFont="1" applyFill="1" applyBorder="1" applyAlignment="1">
      <alignment horizontal="center"/>
    </xf>
    <xf numFmtId="17" fontId="11" fillId="0" borderId="0" xfId="0" applyNumberFormat="1" applyFont="1" applyAlignment="1">
      <alignment horizontal="left"/>
    </xf>
    <xf numFmtId="9" fontId="11" fillId="0" borderId="0" xfId="0" applyNumberFormat="1" applyFont="1"/>
    <xf numFmtId="0" fontId="282" fillId="0" borderId="0" xfId="0" applyFont="1"/>
    <xf numFmtId="0" fontId="281" fillId="0" borderId="0" xfId="0" applyFont="1"/>
    <xf numFmtId="0" fontId="281" fillId="0" borderId="0" xfId="0" applyFont="1" applyAlignment="1">
      <alignment horizontal="right"/>
    </xf>
    <xf numFmtId="3" fontId="281" fillId="0" borderId="0" xfId="0" applyNumberFormat="1" applyFont="1" applyAlignment="1">
      <alignment horizontal="right"/>
    </xf>
    <xf numFmtId="169" fontId="281" fillId="0" borderId="0" xfId="0" applyNumberFormat="1" applyFont="1"/>
    <xf numFmtId="168" fontId="287" fillId="2" borderId="0" xfId="1" applyNumberFormat="1" applyFont="1" applyFill="1" applyAlignment="1">
      <alignment horizontal="right"/>
    </xf>
    <xf numFmtId="9" fontId="281" fillId="0" borderId="0" xfId="2" applyFont="1"/>
    <xf numFmtId="0" fontId="280" fillId="0" borderId="0" xfId="0" applyFont="1"/>
    <xf numFmtId="0" fontId="280" fillId="0" borderId="0" xfId="0" applyFont="1" applyAlignment="1">
      <alignment horizontal="right"/>
    </xf>
    <xf numFmtId="9" fontId="281" fillId="0" borderId="0" xfId="0" applyNumberFormat="1" applyFont="1" applyAlignment="1">
      <alignment horizontal="right"/>
    </xf>
    <xf numFmtId="0" fontId="290" fillId="121" borderId="0" xfId="0" applyFont="1" applyFill="1"/>
    <xf numFmtId="0" fontId="287" fillId="121" borderId="0" xfId="0" applyFont="1" applyFill="1" applyAlignment="1">
      <alignment horizontal="right"/>
    </xf>
    <xf numFmtId="9" fontId="281" fillId="0" borderId="0" xfId="0" applyNumberFormat="1" applyFont="1"/>
    <xf numFmtId="0" fontId="285" fillId="0" borderId="0" xfId="0" applyFont="1" applyAlignment="1">
      <alignment horizontal="right"/>
    </xf>
    <xf numFmtId="3" fontId="281" fillId="0" borderId="0" xfId="0" applyNumberFormat="1" applyFont="1"/>
    <xf numFmtId="3" fontId="280" fillId="0" borderId="0" xfId="0" applyNumberFormat="1" applyFont="1"/>
    <xf numFmtId="0" fontId="287" fillId="0" borderId="0" xfId="5" applyFont="1"/>
    <xf numFmtId="9" fontId="287" fillId="0" borderId="0" xfId="5" applyNumberFormat="1" applyFont="1"/>
    <xf numFmtId="0" fontId="287" fillId="0" borderId="0" xfId="4" applyFont="1"/>
    <xf numFmtId="0" fontId="287" fillId="0" borderId="0" xfId="4" applyFont="1" applyAlignment="1">
      <alignment horizontal="left"/>
    </xf>
    <xf numFmtId="0" fontId="290" fillId="0" borderId="0" xfId="4" applyFont="1"/>
    <xf numFmtId="0" fontId="290" fillId="0" borderId="0" xfId="4" applyFont="1" applyAlignment="1">
      <alignment horizontal="right"/>
    </xf>
    <xf numFmtId="168" fontId="287" fillId="0" borderId="0" xfId="1" applyNumberFormat="1" applyFont="1" applyBorder="1" applyAlignment="1">
      <alignment horizontal="right"/>
    </xf>
    <xf numFmtId="0" fontId="290" fillId="0" borderId="4" xfId="4" applyFont="1" applyBorder="1"/>
    <xf numFmtId="168" fontId="290" fillId="0" borderId="4" xfId="4" applyNumberFormat="1" applyFont="1" applyBorder="1" applyAlignment="1">
      <alignment horizontal="right"/>
    </xf>
    <xf numFmtId="169" fontId="287" fillId="0" borderId="0" xfId="4" applyNumberFormat="1" applyFont="1" applyAlignment="1">
      <alignment horizontal="right"/>
    </xf>
    <xf numFmtId="169" fontId="290" fillId="0" borderId="0" xfId="4" applyNumberFormat="1" applyFont="1" applyAlignment="1">
      <alignment horizontal="right"/>
    </xf>
    <xf numFmtId="171" fontId="287" fillId="0" borderId="0" xfId="4" applyNumberFormat="1" applyFont="1" applyAlignment="1">
      <alignment horizontal="right"/>
    </xf>
    <xf numFmtId="43" fontId="287" fillId="0" borderId="0" xfId="5" applyNumberFormat="1" applyFont="1"/>
    <xf numFmtId="168" fontId="289" fillId="0" borderId="4" xfId="4" applyNumberFormat="1" applyFont="1" applyBorder="1" applyAlignment="1">
      <alignment horizontal="right"/>
    </xf>
    <xf numFmtId="0" fontId="287" fillId="0" borderId="0" xfId="5" applyFont="1" applyAlignment="1">
      <alignment horizontal="right"/>
    </xf>
    <xf numFmtId="171" fontId="290" fillId="0" borderId="0" xfId="4" applyNumberFormat="1" applyFont="1" applyAlignment="1">
      <alignment horizontal="right"/>
    </xf>
    <xf numFmtId="9" fontId="287" fillId="0" borderId="0" xfId="4" applyNumberFormat="1" applyFont="1" applyAlignment="1">
      <alignment horizontal="right"/>
    </xf>
    <xf numFmtId="0" fontId="290" fillId="0" borderId="1" xfId="4" applyFont="1" applyBorder="1"/>
    <xf numFmtId="0" fontId="290" fillId="0" borderId="1" xfId="4" applyFont="1" applyBorder="1" applyAlignment="1">
      <alignment horizontal="right"/>
    </xf>
    <xf numFmtId="168" fontId="290" fillId="0" borderId="0" xfId="4" applyNumberFormat="1" applyFont="1" applyAlignment="1">
      <alignment horizontal="right"/>
    </xf>
    <xf numFmtId="168" fontId="290" fillId="0" borderId="0" xfId="4" applyNumberFormat="1" applyFont="1"/>
    <xf numFmtId="168" fontId="287" fillId="0" borderId="0" xfId="5" applyNumberFormat="1" applyFont="1" applyAlignment="1">
      <alignment horizontal="right"/>
    </xf>
    <xf numFmtId="0" fontId="281" fillId="0" borderId="0" xfId="4" applyFont="1"/>
    <xf numFmtId="168" fontId="281" fillId="0" borderId="0" xfId="4" applyNumberFormat="1" applyFont="1"/>
    <xf numFmtId="171" fontId="287" fillId="2" borderId="0" xfId="4" applyNumberFormat="1" applyFont="1" applyFill="1" applyAlignment="1">
      <alignment horizontal="right"/>
    </xf>
    <xf numFmtId="0" fontId="292" fillId="0" borderId="0" xfId="5" applyFont="1"/>
    <xf numFmtId="0" fontId="292" fillId="0" borderId="0" xfId="5" applyFont="1" applyAlignment="1">
      <alignment horizontal="right"/>
    </xf>
    <xf numFmtId="168" fontId="292" fillId="0" borderId="0" xfId="5" applyNumberFormat="1" applyFont="1" applyAlignment="1">
      <alignment horizontal="right"/>
    </xf>
    <xf numFmtId="171" fontId="292" fillId="0" borderId="0" xfId="4" applyNumberFormat="1" applyFont="1" applyAlignment="1">
      <alignment horizontal="right"/>
    </xf>
    <xf numFmtId="171" fontId="288" fillId="0" borderId="0" xfId="4" applyNumberFormat="1" applyFont="1" applyAlignment="1">
      <alignment horizontal="right"/>
    </xf>
    <xf numFmtId="168" fontId="287" fillId="0" borderId="0" xfId="5" applyNumberFormat="1" applyFont="1"/>
    <xf numFmtId="171" fontId="287" fillId="0" borderId="0" xfId="5" applyNumberFormat="1" applyFont="1" applyAlignment="1">
      <alignment horizontal="right"/>
    </xf>
    <xf numFmtId="168" fontId="281" fillId="0" borderId="0" xfId="4" applyNumberFormat="1" applyFont="1" applyAlignment="1">
      <alignment horizontal="right"/>
    </xf>
    <xf numFmtId="0" fontId="290" fillId="0" borderId="11" xfId="4" applyFont="1" applyBorder="1"/>
    <xf numFmtId="171" fontId="290" fillId="0" borderId="11" xfId="4" applyNumberFormat="1" applyFont="1" applyBorder="1" applyAlignment="1">
      <alignment horizontal="right"/>
    </xf>
    <xf numFmtId="0" fontId="287" fillId="0" borderId="3" xfId="5" applyFont="1" applyBorder="1"/>
    <xf numFmtId="43" fontId="281" fillId="0" borderId="4" xfId="6" applyFont="1" applyBorder="1" applyAlignment="1">
      <alignment horizontal="right"/>
    </xf>
    <xf numFmtId="174" fontId="287" fillId="0" borderId="4" xfId="4" applyNumberFormat="1" applyFont="1" applyBorder="1" applyAlignment="1">
      <alignment horizontal="right"/>
    </xf>
    <xf numFmtId="174" fontId="287" fillId="0" borderId="5" xfId="4" applyNumberFormat="1" applyFont="1" applyBorder="1" applyAlignment="1">
      <alignment horizontal="right"/>
    </xf>
    <xf numFmtId="168" fontId="281" fillId="0" borderId="0" xfId="6" applyNumberFormat="1" applyFont="1" applyBorder="1"/>
    <xf numFmtId="0" fontId="287" fillId="0" borderId="6" xfId="5" applyFont="1" applyBorder="1"/>
    <xf numFmtId="43" fontId="281" fillId="0" borderId="0" xfId="4" applyNumberFormat="1" applyFont="1" applyAlignment="1">
      <alignment horizontal="right"/>
    </xf>
    <xf numFmtId="174" fontId="287" fillId="0" borderId="0" xfId="4" applyNumberFormat="1" applyFont="1" applyAlignment="1">
      <alignment horizontal="right"/>
    </xf>
    <xf numFmtId="174" fontId="287" fillId="0" borderId="7" xfId="4" applyNumberFormat="1" applyFont="1" applyBorder="1" applyAlignment="1">
      <alignment horizontal="right"/>
    </xf>
    <xf numFmtId="0" fontId="287" fillId="0" borderId="8" xfId="5" applyFont="1" applyBorder="1"/>
    <xf numFmtId="43" fontId="281" fillId="0" borderId="71" xfId="6" applyFont="1" applyBorder="1" applyAlignment="1">
      <alignment horizontal="right"/>
    </xf>
    <xf numFmtId="174" fontId="287" fillId="0" borderId="71" xfId="4" applyNumberFormat="1" applyFont="1" applyBorder="1" applyAlignment="1">
      <alignment horizontal="right"/>
    </xf>
    <xf numFmtId="174" fontId="287" fillId="0" borderId="9" xfId="4" applyNumberFormat="1" applyFont="1" applyBorder="1" applyAlignment="1">
      <alignment horizontal="right"/>
    </xf>
    <xf numFmtId="43" fontId="281" fillId="0" borderId="0" xfId="6" applyFont="1" applyAlignment="1">
      <alignment horizontal="right"/>
    </xf>
    <xf numFmtId="9" fontId="281" fillId="0" borderId="0" xfId="4" applyNumberFormat="1" applyFont="1" applyAlignment="1">
      <alignment horizontal="right"/>
    </xf>
    <xf numFmtId="171" fontId="289" fillId="0" borderId="0" xfId="4" applyNumberFormat="1" applyFont="1" applyAlignment="1">
      <alignment horizontal="right"/>
    </xf>
    <xf numFmtId="168" fontId="287" fillId="0" borderId="0" xfId="4" applyNumberFormat="1" applyFont="1"/>
    <xf numFmtId="171" fontId="287" fillId="0" borderId="2" xfId="4" applyNumberFormat="1" applyFont="1" applyBorder="1" applyAlignment="1">
      <alignment horizontal="right"/>
    </xf>
    <xf numFmtId="171" fontId="290" fillId="0" borderId="4" xfId="4" applyNumberFormat="1" applyFont="1" applyBorder="1" applyAlignment="1">
      <alignment horizontal="right"/>
    </xf>
    <xf numFmtId="171" fontId="287" fillId="0" borderId="0" xfId="7" applyNumberFormat="1" applyFont="1" applyAlignment="1">
      <alignment horizontal="right"/>
    </xf>
    <xf numFmtId="0" fontId="290" fillId="0" borderId="0" xfId="5" applyFont="1"/>
    <xf numFmtId="172" fontId="281" fillId="0" borderId="0" xfId="4" applyNumberFormat="1" applyFont="1"/>
    <xf numFmtId="171" fontId="281" fillId="0" borderId="0" xfId="4" applyNumberFormat="1" applyFont="1" applyAlignment="1">
      <alignment horizontal="right"/>
    </xf>
    <xf numFmtId="171" fontId="288" fillId="0" borderId="0" xfId="5" applyNumberFormat="1" applyFont="1" applyAlignment="1">
      <alignment horizontal="right"/>
    </xf>
    <xf numFmtId="171" fontId="287" fillId="2" borderId="0" xfId="5" applyNumberFormat="1" applyFont="1" applyFill="1" applyAlignment="1">
      <alignment horizontal="right"/>
    </xf>
    <xf numFmtId="171" fontId="290" fillId="0" borderId="10" xfId="4" applyNumberFormat="1" applyFont="1" applyBorder="1" applyAlignment="1">
      <alignment horizontal="right"/>
    </xf>
    <xf numFmtId="167" fontId="290" fillId="0" borderId="0" xfId="5" applyNumberFormat="1" applyFont="1" applyAlignment="1">
      <alignment horizontal="right"/>
    </xf>
    <xf numFmtId="168" fontId="287" fillId="0" borderId="0" xfId="6" applyNumberFormat="1" applyFont="1" applyFill="1" applyAlignment="1">
      <alignment horizontal="right"/>
    </xf>
    <xf numFmtId="168" fontId="288" fillId="0" borderId="0" xfId="6" applyNumberFormat="1" applyFont="1" applyFill="1" applyAlignment="1">
      <alignment horizontal="right"/>
    </xf>
    <xf numFmtId="168" fontId="287" fillId="4" borderId="0" xfId="6" applyNumberFormat="1" applyFont="1" applyFill="1" applyAlignment="1">
      <alignment horizontal="right"/>
    </xf>
    <xf numFmtId="168" fontId="287" fillId="0" borderId="0" xfId="4" applyNumberFormat="1" applyFont="1" applyAlignment="1">
      <alignment horizontal="right"/>
    </xf>
    <xf numFmtId="167" fontId="287" fillId="0" borderId="0" xfId="6" applyNumberFormat="1" applyFont="1" applyAlignment="1">
      <alignment horizontal="right"/>
    </xf>
    <xf numFmtId="169" fontId="287" fillId="4" borderId="0" xfId="8" applyNumberFormat="1" applyFont="1" applyFill="1" applyAlignment="1">
      <alignment horizontal="right"/>
    </xf>
    <xf numFmtId="168" fontId="288" fillId="0" borderId="0" xfId="4" applyNumberFormat="1" applyFont="1" applyAlignment="1">
      <alignment horizontal="right"/>
    </xf>
    <xf numFmtId="168" fontId="287" fillId="2" borderId="0" xfId="4" applyNumberFormat="1" applyFont="1" applyFill="1" applyAlignment="1">
      <alignment horizontal="right"/>
    </xf>
    <xf numFmtId="167" fontId="287" fillId="0" borderId="0" xfId="6" applyNumberFormat="1" applyFont="1" applyFill="1" applyAlignment="1">
      <alignment horizontal="right"/>
    </xf>
    <xf numFmtId="168" fontId="281" fillId="0" borderId="0" xfId="6" applyNumberFormat="1" applyFont="1" applyFill="1" applyAlignment="1">
      <alignment horizontal="right"/>
    </xf>
    <xf numFmtId="173" fontId="288" fillId="0" borderId="0" xfId="4" applyNumberFormat="1" applyFont="1" applyAlignment="1">
      <alignment horizontal="right"/>
    </xf>
    <xf numFmtId="173" fontId="288" fillId="0" borderId="0" xfId="1" applyNumberFormat="1" applyFont="1" applyFill="1" applyAlignment="1">
      <alignment horizontal="right"/>
    </xf>
    <xf numFmtId="168" fontId="287" fillId="0" borderId="0" xfId="1" applyNumberFormat="1" applyFont="1" applyFill="1" applyAlignment="1">
      <alignment horizontal="right"/>
    </xf>
    <xf numFmtId="169" fontId="281" fillId="0" borderId="0" xfId="4" applyNumberFormat="1" applyFont="1" applyAlignment="1">
      <alignment horizontal="right"/>
    </xf>
    <xf numFmtId="169" fontId="287" fillId="0" borderId="0" xfId="8" applyNumberFormat="1" applyFont="1" applyFill="1" applyAlignment="1">
      <alignment horizontal="right"/>
    </xf>
    <xf numFmtId="43" fontId="287" fillId="0" borderId="0" xfId="5" applyNumberFormat="1" applyFont="1" applyAlignment="1">
      <alignment horizontal="right"/>
    </xf>
    <xf numFmtId="168" fontId="281" fillId="0" borderId="2" xfId="6" applyNumberFormat="1" applyFont="1" applyFill="1" applyBorder="1" applyAlignment="1">
      <alignment horizontal="right"/>
    </xf>
    <xf numFmtId="0" fontId="281" fillId="0" borderId="0" xfId="4" quotePrefix="1" applyFont="1"/>
    <xf numFmtId="168" fontId="281" fillId="2" borderId="0" xfId="6" applyNumberFormat="1" applyFont="1" applyFill="1" applyAlignment="1">
      <alignment horizontal="right"/>
    </xf>
    <xf numFmtId="169" fontId="287" fillId="4" borderId="0" xfId="4" applyNumberFormat="1" applyFont="1" applyFill="1" applyAlignment="1">
      <alignment horizontal="right"/>
    </xf>
    <xf numFmtId="0" fontId="287" fillId="0" borderId="0" xfId="4" applyFont="1" applyAlignment="1">
      <alignment horizontal="right"/>
    </xf>
    <xf numFmtId="168" fontId="288" fillId="0" borderId="0" xfId="1" applyNumberFormat="1" applyFont="1" applyFill="1" applyAlignment="1">
      <alignment horizontal="right"/>
    </xf>
    <xf numFmtId="168" fontId="281" fillId="0" borderId="0" xfId="1" applyNumberFormat="1" applyFont="1" applyFill="1" applyAlignment="1">
      <alignment horizontal="right"/>
    </xf>
    <xf numFmtId="9" fontId="287" fillId="0" borderId="0" xfId="8" applyFont="1" applyAlignment="1">
      <alignment horizontal="right"/>
    </xf>
    <xf numFmtId="9" fontId="287" fillId="4" borderId="0" xfId="4" applyNumberFormat="1" applyFont="1" applyFill="1" applyAlignment="1">
      <alignment horizontal="right"/>
    </xf>
    <xf numFmtId="9" fontId="287" fillId="2" borderId="0" xfId="2" applyFont="1" applyFill="1" applyBorder="1" applyAlignment="1">
      <alignment horizontal="right"/>
    </xf>
    <xf numFmtId="168" fontId="287" fillId="0" borderId="0" xfId="1" applyNumberFormat="1" applyFont="1"/>
    <xf numFmtId="171" fontId="290" fillId="0" borderId="4" xfId="5" applyNumberFormat="1" applyFont="1" applyBorder="1" applyAlignment="1">
      <alignment horizontal="right"/>
    </xf>
    <xf numFmtId="167" fontId="281" fillId="0" borderId="0" xfId="6" applyNumberFormat="1" applyFont="1" applyFill="1" applyAlignment="1">
      <alignment horizontal="right"/>
    </xf>
    <xf numFmtId="167" fontId="288" fillId="0" borderId="0" xfId="6" applyNumberFormat="1" applyFont="1" applyFill="1" applyAlignment="1">
      <alignment horizontal="right"/>
    </xf>
    <xf numFmtId="167" fontId="281" fillId="2" borderId="0" xfId="6" applyNumberFormat="1" applyFont="1" applyFill="1" applyAlignment="1">
      <alignment horizontal="right"/>
    </xf>
    <xf numFmtId="167" fontId="287" fillId="2" borderId="0" xfId="6" applyNumberFormat="1" applyFont="1" applyFill="1" applyAlignment="1">
      <alignment horizontal="right"/>
    </xf>
    <xf numFmtId="168" fontId="287" fillId="0" borderId="0" xfId="6" applyNumberFormat="1" applyFont="1" applyAlignment="1">
      <alignment horizontal="right"/>
    </xf>
    <xf numFmtId="43" fontId="287" fillId="0" borderId="0" xfId="6" applyFont="1" applyAlignment="1">
      <alignment horizontal="right"/>
    </xf>
    <xf numFmtId="9" fontId="287" fillId="0" borderId="0" xfId="8" applyFont="1" applyFill="1" applyAlignment="1">
      <alignment horizontal="right"/>
    </xf>
    <xf numFmtId="9" fontId="287" fillId="2" borderId="0" xfId="8" applyFont="1" applyFill="1" applyAlignment="1">
      <alignment horizontal="right"/>
    </xf>
    <xf numFmtId="43" fontId="287" fillId="0" borderId="0" xfId="6" applyFont="1" applyFill="1" applyAlignment="1">
      <alignment horizontal="right"/>
    </xf>
    <xf numFmtId="9" fontId="281" fillId="0" borderId="0" xfId="8" applyFont="1" applyFill="1" applyAlignment="1">
      <alignment horizontal="right"/>
    </xf>
    <xf numFmtId="9" fontId="281" fillId="4" borderId="0" xfId="8" applyFont="1" applyFill="1" applyAlignment="1">
      <alignment horizontal="right"/>
    </xf>
    <xf numFmtId="9" fontId="290" fillId="0" borderId="0" xfId="4" applyNumberFormat="1" applyFont="1" applyAlignment="1">
      <alignment horizontal="right"/>
    </xf>
    <xf numFmtId="0" fontId="290" fillId="0" borderId="1" xfId="5" applyFont="1" applyBorder="1" applyAlignment="1">
      <alignment horizontal="right"/>
    </xf>
    <xf numFmtId="0" fontId="290" fillId="0" borderId="11" xfId="5" applyFont="1" applyBorder="1" applyAlignment="1">
      <alignment horizontal="right"/>
    </xf>
    <xf numFmtId="168" fontId="290" fillId="0" borderId="11" xfId="5" applyNumberFormat="1" applyFont="1" applyBorder="1" applyAlignment="1">
      <alignment horizontal="right"/>
    </xf>
    <xf numFmtId="9" fontId="287" fillId="0" borderId="0" xfId="2" applyFont="1" applyAlignment="1">
      <alignment horizontal="right"/>
    </xf>
    <xf numFmtId="0" fontId="290" fillId="0" borderId="11" xfId="5" applyFont="1" applyBorder="1"/>
    <xf numFmtId="9" fontId="290" fillId="0" borderId="11" xfId="2" applyFont="1" applyBorder="1" applyAlignment="1">
      <alignment horizontal="right"/>
    </xf>
    <xf numFmtId="0" fontId="290" fillId="112" borderId="0" xfId="5" applyFont="1" applyFill="1"/>
    <xf numFmtId="0" fontId="288" fillId="0" borderId="0" xfId="5" applyFont="1" applyAlignment="1">
      <alignment horizontal="right"/>
    </xf>
    <xf numFmtId="9" fontId="281" fillId="108" borderId="0" xfId="2" applyFont="1" applyFill="1" applyAlignment="1">
      <alignment horizontal="right"/>
    </xf>
    <xf numFmtId="168" fontId="288" fillId="0" borderId="0" xfId="1" applyNumberFormat="1" applyFont="1" applyBorder="1" applyAlignment="1">
      <alignment horizontal="right"/>
    </xf>
    <xf numFmtId="0" fontId="290" fillId="0" borderId="4" xfId="5" applyFont="1" applyBorder="1"/>
    <xf numFmtId="9" fontId="290" fillId="0" borderId="0" xfId="2" applyFont="1" applyBorder="1" applyAlignment="1">
      <alignment horizontal="right"/>
    </xf>
    <xf numFmtId="167" fontId="287" fillId="0" borderId="0" xfId="5" applyNumberFormat="1" applyFont="1" applyAlignment="1">
      <alignment horizontal="right"/>
    </xf>
    <xf numFmtId="0" fontId="284" fillId="122" borderId="0" xfId="5" applyFont="1" applyFill="1"/>
    <xf numFmtId="168" fontId="287" fillId="122" borderId="0" xfId="5" applyNumberFormat="1" applyFont="1" applyFill="1" applyAlignment="1">
      <alignment horizontal="right"/>
    </xf>
    <xf numFmtId="177" fontId="284" fillId="0" borderId="0" xfId="0" applyNumberFormat="1" applyFont="1" applyAlignment="1">
      <alignment horizontal="left"/>
    </xf>
    <xf numFmtId="177" fontId="287" fillId="0" borderId="0" xfId="0" applyNumberFormat="1" applyFont="1" applyAlignment="1">
      <alignment horizontal="center"/>
    </xf>
    <xf numFmtId="177" fontId="285" fillId="0" borderId="0" xfId="0" applyNumberFormat="1" applyFont="1" applyAlignment="1">
      <alignment horizontal="left"/>
    </xf>
    <xf numFmtId="177" fontId="287" fillId="0" borderId="0" xfId="0" applyNumberFormat="1" applyFont="1"/>
    <xf numFmtId="177" fontId="290" fillId="0" borderId="0" xfId="0" applyNumberFormat="1" applyFont="1"/>
    <xf numFmtId="177" fontId="290" fillId="0" borderId="1" xfId="0" applyNumberFormat="1" applyFont="1" applyBorder="1"/>
    <xf numFmtId="178" fontId="290" fillId="0" borderId="1" xfId="0" applyNumberFormat="1" applyFont="1" applyBorder="1" applyAlignment="1">
      <alignment horizontal="right"/>
    </xf>
    <xf numFmtId="177" fontId="290" fillId="0" borderId="0" xfId="0" applyNumberFormat="1" applyFont="1" applyAlignment="1">
      <alignment horizontal="center"/>
    </xf>
    <xf numFmtId="179" fontId="294" fillId="0" borderId="0" xfId="18" applyNumberFormat="1" applyFont="1" applyFill="1" applyAlignment="1">
      <alignment horizontal="center"/>
    </xf>
    <xf numFmtId="179" fontId="290" fillId="2" borderId="0" xfId="18" applyNumberFormat="1" applyFont="1" applyFill="1" applyAlignment="1">
      <alignment horizontal="center"/>
    </xf>
    <xf numFmtId="181" fontId="287" fillId="0" borderId="0" xfId="19" applyNumberFormat="1" applyFont="1" applyFill="1" applyBorder="1" applyAlignment="1">
      <alignment horizontal="center"/>
    </xf>
    <xf numFmtId="3" fontId="287" fillId="0" borderId="0" xfId="0" applyNumberFormat="1" applyFont="1" applyAlignment="1">
      <alignment horizontal="center"/>
    </xf>
    <xf numFmtId="177" fontId="290" fillId="0" borderId="0" xfId="16" applyNumberFormat="1" applyFont="1" applyFill="1" applyBorder="1" applyAlignment="1">
      <alignment horizontal="center"/>
    </xf>
    <xf numFmtId="177" fontId="287" fillId="0" borderId="0" xfId="16" applyNumberFormat="1" applyFont="1" applyFill="1" applyAlignment="1">
      <alignment horizontal="center"/>
    </xf>
    <xf numFmtId="177" fontId="290" fillId="0" borderId="4" xfId="16" applyNumberFormat="1" applyFont="1" applyFill="1" applyBorder="1" applyAlignment="1">
      <alignment horizontal="center"/>
    </xf>
    <xf numFmtId="9" fontId="290" fillId="0" borderId="0" xfId="2" applyFont="1" applyFill="1" applyBorder="1" applyAlignment="1">
      <alignment horizontal="right"/>
    </xf>
    <xf numFmtId="177" fontId="287" fillId="0" borderId="0" xfId="20" applyNumberFormat="1" applyFont="1" applyFill="1" applyAlignment="1">
      <alignment horizontal="center"/>
    </xf>
    <xf numFmtId="182" fontId="290" fillId="0" borderId="0" xfId="16" applyNumberFormat="1" applyFont="1" applyFill="1" applyBorder="1" applyAlignment="1">
      <alignment horizontal="center"/>
    </xf>
    <xf numFmtId="176" fontId="287" fillId="2" borderId="0" xfId="18" applyNumberFormat="1" applyFont="1" applyFill="1" applyAlignment="1">
      <alignment horizontal="center"/>
    </xf>
    <xf numFmtId="346" fontId="287" fillId="0" borderId="0" xfId="17" applyNumberFormat="1" applyFont="1" applyFill="1" applyAlignment="1">
      <alignment horizontal="center"/>
    </xf>
    <xf numFmtId="177" fontId="290" fillId="0" borderId="1" xfId="0" applyNumberFormat="1" applyFont="1" applyBorder="1" applyAlignment="1">
      <alignment horizontal="left"/>
    </xf>
    <xf numFmtId="177" fontId="291" fillId="0" borderId="0" xfId="0" applyNumberFormat="1" applyFont="1"/>
    <xf numFmtId="177" fontId="287" fillId="2" borderId="0" xfId="16" applyNumberFormat="1" applyFont="1" applyFill="1" applyAlignment="1">
      <alignment horizontal="center"/>
    </xf>
    <xf numFmtId="0" fontId="296" fillId="123" borderId="0" xfId="9" applyFont="1" applyFill="1"/>
    <xf numFmtId="0" fontId="297" fillId="123" borderId="0" xfId="9" applyFont="1" applyFill="1"/>
    <xf numFmtId="0" fontId="286" fillId="3" borderId="0" xfId="9" applyFont="1" applyFill="1"/>
    <xf numFmtId="0" fontId="296" fillId="3" borderId="0" xfId="9" applyFont="1" applyFill="1"/>
    <xf numFmtId="0" fontId="297" fillId="3" borderId="0" xfId="9" applyFont="1" applyFill="1"/>
    <xf numFmtId="0" fontId="286" fillId="3" borderId="0" xfId="2021" applyFont="1" applyFill="1"/>
    <xf numFmtId="0" fontId="299" fillId="3" borderId="0" xfId="9" applyFont="1" applyFill="1"/>
    <xf numFmtId="0" fontId="293" fillId="3" borderId="0" xfId="9" applyFont="1" applyFill="1"/>
    <xf numFmtId="175" fontId="293" fillId="3" borderId="0" xfId="9" applyNumberFormat="1" applyFont="1" applyFill="1"/>
    <xf numFmtId="9" fontId="296" fillId="3" borderId="0" xfId="9" applyNumberFormat="1" applyFont="1" applyFill="1"/>
    <xf numFmtId="0" fontId="298" fillId="3" borderId="0" xfId="9" applyFont="1" applyFill="1"/>
    <xf numFmtId="168" fontId="298" fillId="3" borderId="0" xfId="626" applyNumberFormat="1" applyFont="1" applyFill="1"/>
    <xf numFmtId="169" fontId="298" fillId="3" borderId="0" xfId="308" applyNumberFormat="1" applyFont="1" applyFill="1" applyAlignment="1">
      <alignment horizontal="right"/>
    </xf>
    <xf numFmtId="168" fontId="298" fillId="3" borderId="0" xfId="626" applyNumberFormat="1" applyFont="1" applyFill="1" applyAlignment="1">
      <alignment horizontal="right"/>
    </xf>
    <xf numFmtId="9" fontId="296" fillId="3" borderId="0" xfId="308" applyFont="1" applyFill="1"/>
    <xf numFmtId="0" fontId="283" fillId="123" borderId="0" xfId="0" applyFont="1" applyFill="1"/>
    <xf numFmtId="0" fontId="286" fillId="3" borderId="0" xfId="0" applyFont="1" applyFill="1"/>
    <xf numFmtId="1" fontId="0" fillId="0" borderId="0" xfId="0" applyNumberFormat="1"/>
    <xf numFmtId="1" fontId="2" fillId="0" borderId="0" xfId="0" applyNumberFormat="1" applyFont="1"/>
    <xf numFmtId="0" fontId="0" fillId="0" borderId="4" xfId="0" applyBorder="1"/>
    <xf numFmtId="9" fontId="0" fillId="0" borderId="0" xfId="0" applyNumberFormat="1" applyAlignment="1">
      <alignment horizontal="center"/>
    </xf>
    <xf numFmtId="9" fontId="0" fillId="0" borderId="0" xfId="2" applyFont="1"/>
    <xf numFmtId="3" fontId="0" fillId="0" borderId="0" xfId="0" applyNumberFormat="1"/>
    <xf numFmtId="0" fontId="0" fillId="3" borderId="0" xfId="0" applyFill="1"/>
    <xf numFmtId="175" fontId="281" fillId="0" borderId="0" xfId="0" applyNumberFormat="1" applyFont="1" applyAlignment="1">
      <alignment horizontal="right"/>
    </xf>
    <xf numFmtId="0" fontId="280" fillId="3" borderId="71" xfId="0" applyFont="1" applyFill="1" applyBorder="1" applyAlignment="1">
      <alignment horizontal="right"/>
    </xf>
    <xf numFmtId="0" fontId="280" fillId="0" borderId="71" xfId="0" applyFont="1" applyBorder="1" applyAlignment="1">
      <alignment horizontal="right"/>
    </xf>
    <xf numFmtId="3" fontId="281" fillId="3" borderId="0" xfId="0" applyNumberFormat="1" applyFont="1" applyFill="1" applyAlignment="1">
      <alignment horizontal="right"/>
    </xf>
    <xf numFmtId="0" fontId="281" fillId="121" borderId="0" xfId="0" applyFont="1" applyFill="1"/>
    <xf numFmtId="3" fontId="281" fillId="121" borderId="0" xfId="0" applyNumberFormat="1" applyFont="1" applyFill="1" applyAlignment="1">
      <alignment horizontal="right"/>
    </xf>
    <xf numFmtId="0" fontId="281" fillId="121" borderId="4" xfId="0" applyFont="1" applyFill="1" applyBorder="1"/>
    <xf numFmtId="3" fontId="281" fillId="121" borderId="4" xfId="0" applyNumberFormat="1" applyFont="1" applyFill="1" applyBorder="1" applyAlignment="1">
      <alignment horizontal="right"/>
    </xf>
    <xf numFmtId="3" fontId="281" fillId="0" borderId="4" xfId="0" applyNumberFormat="1" applyFont="1" applyBorder="1" applyAlignment="1">
      <alignment horizontal="right"/>
    </xf>
    <xf numFmtId="0" fontId="280" fillId="3" borderId="0" xfId="0" applyFont="1" applyFill="1"/>
    <xf numFmtId="176" fontId="280" fillId="3" borderId="0" xfId="0" applyNumberFormat="1" applyFont="1" applyFill="1" applyAlignment="1">
      <alignment horizontal="right"/>
    </xf>
    <xf numFmtId="176" fontId="280" fillId="0" borderId="0" xfId="0" applyNumberFormat="1" applyFont="1" applyAlignment="1">
      <alignment horizontal="right"/>
    </xf>
    <xf numFmtId="176" fontId="281" fillId="121" borderId="0" xfId="0" applyNumberFormat="1" applyFont="1" applyFill="1" applyAlignment="1">
      <alignment horizontal="right"/>
    </xf>
    <xf numFmtId="176" fontId="281" fillId="0" borderId="0" xfId="0" applyNumberFormat="1" applyFont="1" applyAlignment="1">
      <alignment horizontal="right"/>
    </xf>
    <xf numFmtId="176" fontId="281" fillId="0" borderId="0" xfId="0" applyNumberFormat="1" applyFont="1"/>
    <xf numFmtId="3" fontId="281" fillId="3" borderId="0" xfId="0" applyNumberFormat="1" applyFont="1" applyFill="1"/>
    <xf numFmtId="3" fontId="0" fillId="3" borderId="0" xfId="0" applyNumberFormat="1" applyFill="1"/>
    <xf numFmtId="0" fontId="280" fillId="121" borderId="75" xfId="0" applyFont="1" applyFill="1" applyBorder="1"/>
    <xf numFmtId="176" fontId="280" fillId="121" borderId="72" xfId="0" applyNumberFormat="1" applyFont="1" applyFill="1" applyBorder="1" applyAlignment="1">
      <alignment horizontal="right"/>
    </xf>
    <xf numFmtId="176" fontId="280" fillId="121" borderId="73" xfId="0" applyNumberFormat="1" applyFont="1" applyFill="1" applyBorder="1" applyAlignment="1">
      <alignment horizontal="right"/>
    </xf>
    <xf numFmtId="176" fontId="281" fillId="3" borderId="0" xfId="0" applyNumberFormat="1" applyFont="1" applyFill="1" applyAlignment="1">
      <alignment horizontal="right"/>
    </xf>
    <xf numFmtId="0" fontId="281" fillId="121" borderId="75" xfId="0" applyFont="1" applyFill="1" applyBorder="1"/>
    <xf numFmtId="3" fontId="281" fillId="121" borderId="72" xfId="0" applyNumberFormat="1" applyFont="1" applyFill="1" applyBorder="1" applyAlignment="1">
      <alignment horizontal="right"/>
    </xf>
    <xf numFmtId="3" fontId="281" fillId="121" borderId="73" xfId="0" applyNumberFormat="1" applyFont="1" applyFill="1" applyBorder="1" applyAlignment="1">
      <alignment horizontal="right"/>
    </xf>
    <xf numFmtId="3" fontId="281" fillId="2" borderId="0" xfId="0" applyNumberFormat="1" applyFont="1" applyFill="1" applyAlignment="1">
      <alignment horizontal="right"/>
    </xf>
    <xf numFmtId="9" fontId="2" fillId="0" borderId="77" xfId="0" applyNumberFormat="1" applyFont="1" applyBorder="1"/>
    <xf numFmtId="3" fontId="0" fillId="0" borderId="0" xfId="0" applyNumberFormat="1" applyAlignment="1">
      <alignment horizontal="center"/>
    </xf>
    <xf numFmtId="0" fontId="287" fillId="121" borderId="0" xfId="0" applyFont="1" applyFill="1"/>
    <xf numFmtId="9" fontId="287" fillId="121" borderId="0" xfId="0" applyNumberFormat="1" applyFont="1" applyFill="1" applyAlignment="1">
      <alignment horizontal="center"/>
    </xf>
    <xf numFmtId="0" fontId="287" fillId="121" borderId="0" xfId="0" applyFont="1" applyFill="1" applyAlignment="1">
      <alignment horizontal="center"/>
    </xf>
    <xf numFmtId="9" fontId="287" fillId="121" borderId="0" xfId="0" quotePrefix="1" applyNumberFormat="1" applyFont="1" applyFill="1" applyAlignment="1">
      <alignment horizontal="center"/>
    </xf>
    <xf numFmtId="0" fontId="287" fillId="121" borderId="0" xfId="0" quotePrefix="1" applyFont="1" applyFill="1" applyAlignment="1">
      <alignment horizontal="center"/>
    </xf>
    <xf numFmtId="0" fontId="287" fillId="110" borderId="0" xfId="4" applyFont="1" applyFill="1"/>
    <xf numFmtId="171" fontId="287" fillId="110" borderId="0" xfId="4" applyNumberFormat="1" applyFont="1" applyFill="1" applyAlignment="1">
      <alignment horizontal="right"/>
    </xf>
    <xf numFmtId="0" fontId="301" fillId="3" borderId="0" xfId="0" applyFont="1" applyFill="1"/>
    <xf numFmtId="3" fontId="301" fillId="3" borderId="0" xfId="0" applyNumberFormat="1" applyFont="1" applyFill="1"/>
    <xf numFmtId="9" fontId="301" fillId="3" borderId="0" xfId="0" applyNumberFormat="1" applyFont="1" applyFill="1"/>
    <xf numFmtId="0" fontId="302" fillId="3" borderId="0" xfId="0" applyFont="1" applyFill="1"/>
    <xf numFmtId="0" fontId="300" fillId="3" borderId="72" xfId="0" applyFont="1" applyFill="1" applyBorder="1"/>
    <xf numFmtId="0" fontId="300" fillId="3" borderId="72" xfId="0" applyFont="1" applyFill="1" applyBorder="1" applyAlignment="1">
      <alignment horizontal="right"/>
    </xf>
    <xf numFmtId="0" fontId="301" fillId="118" borderId="0" xfId="0" applyFont="1" applyFill="1"/>
    <xf numFmtId="3" fontId="301" fillId="118" borderId="0" xfId="0" applyNumberFormat="1" applyFont="1" applyFill="1"/>
    <xf numFmtId="9" fontId="301" fillId="118" borderId="0" xfId="0" applyNumberFormat="1" applyFont="1" applyFill="1"/>
    <xf numFmtId="0" fontId="281" fillId="0" borderId="0" xfId="0" quotePrefix="1" applyFont="1"/>
    <xf numFmtId="0" fontId="303" fillId="109" borderId="0" xfId="825" applyFont="1" applyFill="1" applyBorder="1" applyAlignment="1">
      <alignment horizontal="center"/>
    </xf>
    <xf numFmtId="0" fontId="303" fillId="117" borderId="0" xfId="825" applyFont="1" applyFill="1" applyBorder="1" applyAlignment="1">
      <alignment horizontal="center"/>
    </xf>
    <xf numFmtId="0" fontId="293" fillId="115" borderId="72" xfId="825" applyFont="1" applyFill="1" applyBorder="1"/>
    <xf numFmtId="0" fontId="293" fillId="115" borderId="72" xfId="825" applyFont="1" applyFill="1" applyBorder="1" applyAlignment="1">
      <alignment horizontal="center"/>
    </xf>
    <xf numFmtId="0" fontId="286" fillId="0" borderId="0" xfId="825" applyFont="1" applyFill="1"/>
    <xf numFmtId="0" fontId="286" fillId="116" borderId="0" xfId="825" applyFont="1" applyFill="1"/>
    <xf numFmtId="347" fontId="286" fillId="116" borderId="0" xfId="866" applyNumberFormat="1" applyFont="1" applyFill="1" applyAlignment="1">
      <alignment horizontal="center"/>
    </xf>
    <xf numFmtId="3" fontId="286" fillId="116" borderId="0" xfId="773" applyFont="1" applyFill="1"/>
    <xf numFmtId="347" fontId="286" fillId="116" borderId="0" xfId="866" quotePrefix="1" applyNumberFormat="1" applyFont="1" applyFill="1" applyAlignment="1">
      <alignment horizontal="center"/>
    </xf>
    <xf numFmtId="43" fontId="286" fillId="116" borderId="0" xfId="866" quotePrefix="1" applyFont="1" applyFill="1" applyAlignment="1">
      <alignment horizontal="center"/>
    </xf>
    <xf numFmtId="2" fontId="286" fillId="116" borderId="0" xfId="866" quotePrefix="1" applyNumberFormat="1" applyFont="1" applyFill="1" applyAlignment="1">
      <alignment horizontal="center"/>
    </xf>
    <xf numFmtId="350" fontId="286" fillId="116" borderId="0" xfId="866" quotePrefix="1" applyNumberFormat="1" applyFont="1" applyFill="1" applyAlignment="1">
      <alignment horizontal="center"/>
    </xf>
    <xf numFmtId="43" fontId="286" fillId="116" borderId="0" xfId="866" applyFont="1" applyFill="1"/>
    <xf numFmtId="348" fontId="286" fillId="116" borderId="0" xfId="866" applyNumberFormat="1" applyFont="1" applyFill="1" applyAlignment="1">
      <alignment horizontal="center"/>
    </xf>
    <xf numFmtId="175" fontId="286" fillId="116" borderId="0" xfId="866" quotePrefix="1" applyNumberFormat="1" applyFont="1" applyFill="1" applyAlignment="1">
      <alignment horizontal="center"/>
    </xf>
    <xf numFmtId="0" fontId="286" fillId="116" borderId="0" xfId="0" applyFont="1" applyFill="1"/>
    <xf numFmtId="168" fontId="286" fillId="116" borderId="0" xfId="866" quotePrefix="1" applyNumberFormat="1" applyFont="1" applyFill="1" applyAlignment="1">
      <alignment horizontal="center"/>
    </xf>
    <xf numFmtId="349" fontId="286" fillId="116" borderId="0" xfId="866" quotePrefix="1" applyNumberFormat="1" applyFont="1" applyFill="1" applyAlignment="1">
      <alignment horizontal="center"/>
    </xf>
    <xf numFmtId="9" fontId="286" fillId="116" borderId="0" xfId="836" quotePrefix="1" applyFont="1" applyFill="1" applyAlignment="1">
      <alignment horizontal="center"/>
    </xf>
    <xf numFmtId="350" fontId="286" fillId="116" borderId="0" xfId="866" applyNumberFormat="1" applyFont="1" applyFill="1" applyAlignment="1">
      <alignment horizontal="center"/>
    </xf>
    <xf numFmtId="3" fontId="301" fillId="118" borderId="0" xfId="0" applyNumberFormat="1" applyFont="1" applyFill="1" applyAlignment="1">
      <alignment horizontal="center"/>
    </xf>
    <xf numFmtId="3" fontId="301" fillId="3" borderId="0" xfId="0" applyNumberFormat="1" applyFont="1" applyFill="1" applyAlignment="1">
      <alignment horizontal="center"/>
    </xf>
    <xf numFmtId="0" fontId="301" fillId="0" borderId="0" xfId="0" applyFont="1"/>
    <xf numFmtId="0" fontId="300" fillId="0" borderId="0" xfId="0" applyFont="1" applyAlignment="1">
      <alignment horizontal="center"/>
    </xf>
    <xf numFmtId="0" fontId="301" fillId="0" borderId="0" xfId="0" applyFont="1" applyAlignment="1">
      <alignment horizontal="center"/>
    </xf>
    <xf numFmtId="3" fontId="301" fillId="118" borderId="6" xfId="0" applyNumberFormat="1" applyFont="1" applyFill="1" applyBorder="1" applyAlignment="1">
      <alignment horizontal="center"/>
    </xf>
    <xf numFmtId="3" fontId="301" fillId="3" borderId="6" xfId="0" applyNumberFormat="1" applyFont="1" applyFill="1" applyBorder="1" applyAlignment="1">
      <alignment horizontal="center"/>
    </xf>
    <xf numFmtId="0" fontId="300" fillId="3" borderId="0" xfId="0" applyFont="1" applyFill="1" applyAlignment="1">
      <alignment horizontal="center"/>
    </xf>
    <xf numFmtId="0" fontId="300" fillId="3" borderId="6" xfId="0" applyFont="1" applyFill="1" applyBorder="1" applyAlignment="1">
      <alignment horizontal="center"/>
    </xf>
    <xf numFmtId="0" fontId="300" fillId="3" borderId="0" xfId="0" applyFont="1" applyFill="1"/>
    <xf numFmtId="169" fontId="287" fillId="0" borderId="0" xfId="5" applyNumberFormat="1" applyFont="1" applyAlignment="1">
      <alignment horizontal="right"/>
    </xf>
    <xf numFmtId="0" fontId="281" fillId="127" borderId="0" xfId="0" applyFont="1" applyFill="1" applyAlignment="1">
      <alignment horizontal="right"/>
    </xf>
    <xf numFmtId="169" fontId="281" fillId="127" borderId="0" xfId="0" applyNumberFormat="1" applyFont="1" applyFill="1"/>
    <xf numFmtId="0" fontId="281" fillId="127" borderId="0" xfId="0" applyFont="1" applyFill="1"/>
    <xf numFmtId="14" fontId="0" fillId="0" borderId="0" xfId="0" applyNumberFormat="1"/>
    <xf numFmtId="14" fontId="0" fillId="127" borderId="0" xfId="0" applyNumberFormat="1" applyFill="1"/>
    <xf numFmtId="1" fontId="0" fillId="127" borderId="0" xfId="0" applyNumberFormat="1" applyFill="1"/>
    <xf numFmtId="2" fontId="0" fillId="0" borderId="0" xfId="0" applyNumberFormat="1"/>
    <xf numFmtId="14" fontId="0" fillId="2" borderId="0" xfId="0" applyNumberFormat="1" applyFill="1"/>
    <xf numFmtId="0" fontId="0" fillId="2" borderId="0" xfId="0" applyFill="1"/>
    <xf numFmtId="9" fontId="2" fillId="0" borderId="0" xfId="0" applyNumberFormat="1" applyFont="1"/>
    <xf numFmtId="175" fontId="2" fillId="0" borderId="77" xfId="0" applyNumberFormat="1" applyFont="1" applyBorder="1"/>
    <xf numFmtId="0" fontId="0" fillId="0" borderId="3" xfId="0" applyBorder="1"/>
    <xf numFmtId="0" fontId="0" fillId="0" borderId="5" xfId="0" applyBorder="1"/>
    <xf numFmtId="0" fontId="0" fillId="0" borderId="6" xfId="0" applyBorder="1"/>
    <xf numFmtId="0" fontId="0" fillId="0" borderId="7" xfId="0" applyBorder="1"/>
    <xf numFmtId="175" fontId="0" fillId="0" borderId="0" xfId="0" applyNumberFormat="1"/>
    <xf numFmtId="175" fontId="2" fillId="0" borderId="7" xfId="0" applyNumberFormat="1" applyFont="1" applyBorder="1"/>
    <xf numFmtId="0" fontId="0" fillId="0" borderId="8" xfId="0" applyBorder="1"/>
    <xf numFmtId="0" fontId="0" fillId="0" borderId="2" xfId="0" applyBorder="1"/>
    <xf numFmtId="1" fontId="0" fillId="0" borderId="2" xfId="0" applyNumberFormat="1" applyBorder="1"/>
    <xf numFmtId="175" fontId="0" fillId="0" borderId="2" xfId="0" applyNumberFormat="1" applyBorder="1"/>
    <xf numFmtId="175" fontId="2" fillId="0" borderId="9" xfId="0" applyNumberFormat="1" applyFont="1" applyBorder="1"/>
    <xf numFmtId="169" fontId="301" fillId="118" borderId="0" xfId="0" applyNumberFormat="1" applyFont="1" applyFill="1"/>
    <xf numFmtId="169" fontId="301" fillId="3" borderId="0" xfId="0" applyNumberFormat="1" applyFont="1" applyFill="1"/>
    <xf numFmtId="0" fontId="285" fillId="120" borderId="0" xfId="0" applyFont="1" applyFill="1"/>
    <xf numFmtId="0" fontId="285" fillId="120" borderId="0" xfId="0" applyFont="1" applyFill="1" applyAlignment="1">
      <alignment horizontal="right"/>
    </xf>
    <xf numFmtId="0" fontId="285" fillId="63" borderId="0" xfId="0" applyFont="1" applyFill="1" applyAlignment="1">
      <alignment horizontal="right"/>
    </xf>
    <xf numFmtId="0" fontId="285" fillId="126" borderId="0" xfId="0" applyFont="1" applyFill="1" applyAlignment="1">
      <alignment horizontal="right"/>
    </xf>
    <xf numFmtId="0" fontId="284" fillId="120" borderId="0" xfId="0" applyFont="1" applyFill="1"/>
    <xf numFmtId="0" fontId="284" fillId="120" borderId="0" xfId="0" applyFont="1" applyFill="1" applyAlignment="1">
      <alignment horizontal="right"/>
    </xf>
    <xf numFmtId="0" fontId="284" fillId="63" borderId="0" xfId="0" applyFont="1" applyFill="1" applyAlignment="1">
      <alignment horizontal="right"/>
    </xf>
    <xf numFmtId="0" fontId="284" fillId="126" borderId="0" xfId="0" applyFont="1" applyFill="1" applyAlignment="1">
      <alignment horizontal="right"/>
    </xf>
    <xf numFmtId="0" fontId="284" fillId="0" borderId="0" xfId="0" applyFont="1" applyAlignment="1">
      <alignment horizontal="right"/>
    </xf>
    <xf numFmtId="0" fontId="291" fillId="0" borderId="0" xfId="0" applyFont="1" applyAlignment="1">
      <alignment horizontal="left"/>
    </xf>
    <xf numFmtId="0" fontId="291" fillId="127" borderId="0" xfId="0" applyFont="1" applyFill="1" applyAlignment="1">
      <alignment horizontal="left"/>
    </xf>
    <xf numFmtId="0" fontId="280" fillId="125" borderId="0" xfId="0" applyFont="1" applyFill="1"/>
    <xf numFmtId="3" fontId="288" fillId="0" borderId="0" xfId="0" applyNumberFormat="1" applyFont="1" applyAlignment="1">
      <alignment horizontal="right"/>
    </xf>
    <xf numFmtId="3" fontId="288" fillId="127" borderId="0" xfId="0" applyNumberFormat="1" applyFont="1" applyFill="1" applyAlignment="1">
      <alignment horizontal="right"/>
    </xf>
    <xf numFmtId="169" fontId="281" fillId="0" borderId="0" xfId="0" applyNumberFormat="1" applyFont="1" applyAlignment="1">
      <alignment horizontal="right"/>
    </xf>
    <xf numFmtId="3" fontId="287" fillId="119" borderId="0" xfId="0" applyNumberFormat="1" applyFont="1" applyFill="1" applyAlignment="1">
      <alignment horizontal="right"/>
    </xf>
    <xf numFmtId="2" fontId="281" fillId="0" borderId="0" xfId="0" applyNumberFormat="1" applyFont="1" applyAlignment="1">
      <alignment horizontal="right"/>
    </xf>
    <xf numFmtId="2" fontId="281" fillId="127" borderId="0" xfId="0" applyNumberFormat="1" applyFont="1" applyFill="1" applyAlignment="1">
      <alignment horizontal="right"/>
    </xf>
    <xf numFmtId="3" fontId="281" fillId="127" borderId="0" xfId="0" applyNumberFormat="1" applyFont="1" applyFill="1" applyAlignment="1">
      <alignment horizontal="right"/>
    </xf>
    <xf numFmtId="3" fontId="287" fillId="0" borderId="0" xfId="0" applyNumberFormat="1" applyFont="1" applyAlignment="1">
      <alignment horizontal="right"/>
    </xf>
    <xf numFmtId="3" fontId="287" fillId="127" borderId="0" xfId="0" applyNumberFormat="1" applyFont="1" applyFill="1" applyAlignment="1">
      <alignment horizontal="right"/>
    </xf>
    <xf numFmtId="169" fontId="281" fillId="127" borderId="0" xfId="0" applyNumberFormat="1" applyFont="1" applyFill="1" applyAlignment="1">
      <alignment horizontal="right"/>
    </xf>
    <xf numFmtId="9" fontId="281" fillId="127" borderId="0" xfId="0" applyNumberFormat="1" applyFont="1" applyFill="1" applyAlignment="1">
      <alignment horizontal="right"/>
    </xf>
    <xf numFmtId="169" fontId="281" fillId="0" borderId="0" xfId="2" applyNumberFormat="1" applyFont="1" applyAlignment="1">
      <alignment horizontal="right"/>
    </xf>
    <xf numFmtId="1" fontId="281" fillId="0" borderId="0" xfId="0" applyNumberFormat="1" applyFont="1" applyAlignment="1">
      <alignment horizontal="right"/>
    </xf>
    <xf numFmtId="3" fontId="289" fillId="0" borderId="0" xfId="0" applyNumberFormat="1" applyFont="1" applyAlignment="1">
      <alignment horizontal="right"/>
    </xf>
    <xf numFmtId="3" fontId="290" fillId="0" borderId="0" xfId="0" applyNumberFormat="1" applyFont="1" applyAlignment="1">
      <alignment horizontal="right"/>
    </xf>
    <xf numFmtId="3" fontId="290" fillId="127" borderId="0" xfId="0" applyNumberFormat="1" applyFont="1" applyFill="1" applyAlignment="1">
      <alignment horizontal="right"/>
    </xf>
    <xf numFmtId="1" fontId="281" fillId="0" borderId="0" xfId="0" applyNumberFormat="1" applyFont="1"/>
    <xf numFmtId="169" fontId="288" fillId="0" borderId="0" xfId="0" applyNumberFormat="1" applyFont="1" applyAlignment="1">
      <alignment horizontal="right"/>
    </xf>
    <xf numFmtId="169" fontId="288" fillId="114" borderId="0" xfId="0" applyNumberFormat="1" applyFont="1" applyFill="1" applyAlignment="1">
      <alignment horizontal="right"/>
    </xf>
    <xf numFmtId="169" fontId="288" fillId="127" borderId="0" xfId="0" applyNumberFormat="1" applyFont="1" applyFill="1" applyAlignment="1">
      <alignment horizontal="right"/>
    </xf>
    <xf numFmtId="169" fontId="288" fillId="119" borderId="0" xfId="0" applyNumberFormat="1" applyFont="1" applyFill="1" applyAlignment="1">
      <alignment horizontal="right"/>
    </xf>
    <xf numFmtId="0" fontId="281" fillId="0" borderId="0" xfId="0" applyFont="1" applyAlignment="1">
      <alignment horizontal="left" indent="1"/>
    </xf>
    <xf numFmtId="9" fontId="288" fillId="0" borderId="0" xfId="0" applyNumberFormat="1" applyFont="1" applyAlignment="1">
      <alignment horizontal="right"/>
    </xf>
    <xf numFmtId="169" fontId="281" fillId="0" borderId="0" xfId="2" applyNumberFormat="1" applyFont="1"/>
    <xf numFmtId="169" fontId="287" fillId="0" borderId="0" xfId="0" applyNumberFormat="1" applyFont="1" applyAlignment="1">
      <alignment horizontal="right"/>
    </xf>
    <xf numFmtId="169" fontId="288" fillId="125" borderId="0" xfId="0" applyNumberFormat="1" applyFont="1" applyFill="1" applyAlignment="1">
      <alignment horizontal="right"/>
    </xf>
    <xf numFmtId="1" fontId="288" fillId="0" borderId="0" xfId="0" applyNumberFormat="1" applyFont="1" applyAlignment="1">
      <alignment horizontal="right"/>
    </xf>
    <xf numFmtId="3" fontId="290" fillId="119" borderId="0" xfId="0" applyNumberFormat="1" applyFont="1" applyFill="1" applyAlignment="1">
      <alignment horizontal="right"/>
    </xf>
    <xf numFmtId="1" fontId="0" fillId="0" borderId="0" xfId="0" applyNumberFormat="1" applyAlignment="1">
      <alignment horizontal="center"/>
    </xf>
    <xf numFmtId="0" fontId="284" fillId="123" borderId="0" xfId="0" applyFont="1" applyFill="1" applyAlignment="1">
      <alignment vertical="center"/>
    </xf>
    <xf numFmtId="0" fontId="285" fillId="123" borderId="0" xfId="0" applyFont="1" applyFill="1"/>
    <xf numFmtId="0" fontId="287" fillId="3" borderId="0" xfId="0" applyFont="1" applyFill="1"/>
    <xf numFmtId="0" fontId="290" fillId="3" borderId="0" xfId="0" applyFont="1" applyFill="1" applyAlignment="1">
      <alignment vertical="center"/>
    </xf>
    <xf numFmtId="3" fontId="287" fillId="3" borderId="0" xfId="0" applyNumberFormat="1" applyFont="1" applyFill="1" applyAlignment="1">
      <alignment horizontal="left"/>
    </xf>
    <xf numFmtId="0" fontId="304" fillId="3" borderId="0" xfId="2393" applyFont="1" applyFill="1" applyAlignment="1" applyProtection="1"/>
    <xf numFmtId="0" fontId="287" fillId="3" borderId="0" xfId="0" quotePrefix="1" applyFont="1" applyFill="1"/>
    <xf numFmtId="0" fontId="287" fillId="123" borderId="0" xfId="9" applyFont="1" applyFill="1"/>
    <xf numFmtId="0" fontId="305" fillId="123" borderId="0" xfId="9" applyFont="1" applyFill="1"/>
    <xf numFmtId="0" fontId="306" fillId="123" borderId="0" xfId="9" applyFont="1" applyFill="1" applyAlignment="1">
      <alignment horizontal="right"/>
    </xf>
    <xf numFmtId="0" fontId="306" fillId="123" borderId="0" xfId="2394" applyFont="1" applyFill="1" applyAlignment="1">
      <alignment vertical="top"/>
    </xf>
    <xf numFmtId="0" fontId="307" fillId="123" borderId="0" xfId="9" applyFont="1" applyFill="1" applyAlignment="1">
      <alignment vertical="top"/>
    </xf>
    <xf numFmtId="0" fontId="306" fillId="123" borderId="0" xfId="9" applyFont="1" applyFill="1" applyAlignment="1">
      <alignment vertical="top"/>
    </xf>
    <xf numFmtId="0" fontId="287" fillId="3" borderId="0" xfId="9" applyFont="1" applyFill="1"/>
    <xf numFmtId="0" fontId="306" fillId="3" borderId="0" xfId="9" applyFont="1" applyFill="1" applyAlignment="1">
      <alignment horizontal="right"/>
    </xf>
    <xf numFmtId="0" fontId="307" fillId="3" borderId="0" xfId="9" applyFont="1" applyFill="1" applyAlignment="1">
      <alignment vertical="top"/>
    </xf>
    <xf numFmtId="0" fontId="306" fillId="3" borderId="0" xfId="9" applyFont="1" applyFill="1" applyAlignment="1">
      <alignment vertical="top"/>
    </xf>
    <xf numFmtId="0" fontId="305" fillId="3" borderId="0" xfId="9" applyFont="1" applyFill="1"/>
    <xf numFmtId="0" fontId="287" fillId="3" borderId="0" xfId="2021" applyFont="1" applyFill="1"/>
    <xf numFmtId="0" fontId="290" fillId="3" borderId="0" xfId="2394" applyFont="1" applyFill="1" applyAlignment="1">
      <alignment vertical="top"/>
    </xf>
    <xf numFmtId="0" fontId="290" fillId="3" borderId="0" xfId="9" applyFont="1" applyFill="1" applyAlignment="1">
      <alignment horizontal="right"/>
    </xf>
    <xf numFmtId="0" fontId="308" fillId="3" borderId="81" xfId="9" applyFont="1" applyFill="1" applyBorder="1"/>
    <xf numFmtId="0" fontId="309" fillId="3" borderId="0" xfId="9" applyFont="1" applyFill="1"/>
    <xf numFmtId="0" fontId="308" fillId="3" borderId="0" xfId="9" applyFont="1" applyFill="1"/>
    <xf numFmtId="0" fontId="290" fillId="3" borderId="0" xfId="9" applyFont="1" applyFill="1"/>
    <xf numFmtId="175" fontId="290" fillId="3" borderId="0" xfId="9" applyNumberFormat="1" applyFont="1" applyFill="1"/>
    <xf numFmtId="0" fontId="310" fillId="3" borderId="0" xfId="9" applyFont="1" applyFill="1"/>
    <xf numFmtId="2" fontId="290" fillId="3" borderId="0" xfId="9" applyNumberFormat="1" applyFont="1" applyFill="1"/>
    <xf numFmtId="0" fontId="287" fillId="3" borderId="0" xfId="9" applyFont="1" applyFill="1" applyAlignment="1">
      <alignment vertical="center" wrapText="1"/>
    </xf>
    <xf numFmtId="0" fontId="287" fillId="3" borderId="0" xfId="9" quotePrefix="1" applyFont="1" applyFill="1"/>
    <xf numFmtId="168" fontId="287" fillId="3" borderId="0" xfId="626" applyNumberFormat="1" applyFont="1" applyFill="1"/>
    <xf numFmtId="169" fontId="287" fillId="3" borderId="0" xfId="308" applyNumberFormat="1" applyFont="1" applyFill="1"/>
    <xf numFmtId="9" fontId="305" fillId="3" borderId="0" xfId="9" applyNumberFormat="1" applyFont="1" applyFill="1"/>
    <xf numFmtId="169" fontId="287" fillId="3" borderId="0" xfId="9" applyNumberFormat="1" applyFont="1" applyFill="1"/>
    <xf numFmtId="168" fontId="290" fillId="3" borderId="0" xfId="626" applyNumberFormat="1" applyFont="1" applyFill="1"/>
    <xf numFmtId="169" fontId="290" fillId="3" borderId="0" xfId="308" applyNumberFormat="1" applyFont="1" applyFill="1" applyAlignment="1">
      <alignment horizontal="right"/>
    </xf>
    <xf numFmtId="0" fontId="311" fillId="3" borderId="0" xfId="2021" applyFont="1" applyFill="1"/>
    <xf numFmtId="169" fontId="290" fillId="3" borderId="0" xfId="308" applyNumberFormat="1" applyFont="1" applyFill="1"/>
    <xf numFmtId="0" fontId="312" fillId="3" borderId="0" xfId="2021" applyFont="1" applyFill="1"/>
    <xf numFmtId="168" fontId="290" fillId="3" borderId="0" xfId="626" applyNumberFormat="1" applyFont="1" applyFill="1" applyAlignment="1">
      <alignment horizontal="right"/>
    </xf>
    <xf numFmtId="169" fontId="287" fillId="3" borderId="0" xfId="626" applyNumberFormat="1" applyFont="1" applyFill="1" applyAlignment="1">
      <alignment horizontal="right"/>
    </xf>
    <xf numFmtId="0" fontId="287" fillId="3" borderId="0" xfId="9" applyFont="1" applyFill="1" applyAlignment="1">
      <alignment horizontal="right"/>
    </xf>
    <xf numFmtId="1" fontId="290" fillId="3" borderId="0" xfId="9" applyNumberFormat="1" applyFont="1" applyFill="1"/>
    <xf numFmtId="10" fontId="305" fillId="3" borderId="0" xfId="9" applyNumberFormat="1" applyFont="1" applyFill="1"/>
    <xf numFmtId="167" fontId="287" fillId="3" borderId="0" xfId="626" applyNumberFormat="1" applyFont="1" applyFill="1"/>
    <xf numFmtId="9" fontId="305" fillId="3" borderId="0" xfId="308" applyFont="1" applyFill="1"/>
    <xf numFmtId="0" fontId="280" fillId="0" borderId="2" xfId="0" applyFont="1" applyBorder="1"/>
    <xf numFmtId="0" fontId="280" fillId="0" borderId="2" xfId="0" applyFont="1" applyBorder="1" applyAlignment="1">
      <alignment horizontal="right"/>
    </xf>
    <xf numFmtId="0" fontId="313" fillId="0" borderId="0" xfId="0" applyFont="1"/>
    <xf numFmtId="171" fontId="313" fillId="0" borderId="0" xfId="4" applyNumberFormat="1" applyFont="1"/>
    <xf numFmtId="171" fontId="287" fillId="0" borderId="0" xfId="4" applyNumberFormat="1" applyFont="1"/>
    <xf numFmtId="171" fontId="281" fillId="0" borderId="0" xfId="0" applyNumberFormat="1" applyFont="1"/>
    <xf numFmtId="0" fontId="280" fillId="0" borderId="4" xfId="0" applyFont="1" applyBorder="1"/>
    <xf numFmtId="171" fontId="290" fillId="0" borderId="4" xfId="4" applyNumberFormat="1" applyFont="1" applyBorder="1"/>
    <xf numFmtId="169" fontId="288" fillId="0" borderId="0" xfId="0" applyNumberFormat="1" applyFont="1"/>
    <xf numFmtId="169" fontId="288" fillId="0" borderId="0" xfId="2" applyNumberFormat="1" applyFont="1"/>
    <xf numFmtId="168" fontId="281" fillId="0" borderId="0" xfId="0" applyNumberFormat="1" applyFont="1"/>
    <xf numFmtId="0" fontId="281" fillId="110" borderId="0" xfId="0" applyFont="1" applyFill="1"/>
    <xf numFmtId="168" fontId="281" fillId="110" borderId="0" xfId="1" applyNumberFormat="1" applyFont="1" applyFill="1"/>
    <xf numFmtId="9" fontId="281" fillId="110" borderId="0" xfId="0" applyNumberFormat="1" applyFont="1" applyFill="1"/>
    <xf numFmtId="171" fontId="313" fillId="0" borderId="2" xfId="4" applyNumberFormat="1" applyFont="1" applyBorder="1"/>
    <xf numFmtId="171" fontId="287" fillId="2" borderId="2" xfId="4" applyNumberFormat="1" applyFont="1" applyFill="1" applyBorder="1"/>
    <xf numFmtId="171" fontId="290" fillId="0" borderId="0" xfId="4" applyNumberFormat="1" applyFont="1"/>
    <xf numFmtId="9" fontId="281" fillId="110" borderId="0" xfId="1" applyNumberFormat="1" applyFont="1" applyFill="1"/>
    <xf numFmtId="43" fontId="281" fillId="0" borderId="0" xfId="0" applyNumberFormat="1" applyFont="1"/>
    <xf numFmtId="171" fontId="291" fillId="0" borderId="0" xfId="4" applyNumberFormat="1" applyFont="1"/>
    <xf numFmtId="9" fontId="280" fillId="0" borderId="0" xfId="0" applyNumberFormat="1" applyFont="1"/>
    <xf numFmtId="168" fontId="281" fillId="0" borderId="0" xfId="1" applyNumberFormat="1" applyFont="1"/>
    <xf numFmtId="171" fontId="287" fillId="0" borderId="2" xfId="4" applyNumberFormat="1" applyFont="1" applyBorder="1"/>
    <xf numFmtId="0" fontId="280" fillId="0" borderId="10" xfId="0" applyFont="1" applyBorder="1"/>
    <xf numFmtId="171" fontId="280" fillId="0" borderId="10" xfId="0" applyNumberFormat="1" applyFont="1" applyBorder="1"/>
    <xf numFmtId="9" fontId="287" fillId="0" borderId="0" xfId="2" applyFont="1" applyFill="1" applyBorder="1"/>
    <xf numFmtId="9" fontId="281" fillId="2" borderId="0" xfId="0" applyNumberFormat="1" applyFont="1" applyFill="1"/>
    <xf numFmtId="4" fontId="281" fillId="0" borderId="0" xfId="0" applyNumberFormat="1" applyFont="1"/>
    <xf numFmtId="169" fontId="281" fillId="2" borderId="0" xfId="2" applyNumberFormat="1" applyFont="1" applyFill="1"/>
    <xf numFmtId="171" fontId="288" fillId="0" borderId="0" xfId="4" applyNumberFormat="1" applyFont="1"/>
    <xf numFmtId="0" fontId="281" fillId="0" borderId="4" xfId="0" applyFont="1" applyBorder="1"/>
    <xf numFmtId="171" fontId="280" fillId="0" borderId="4" xfId="0" applyNumberFormat="1" applyFont="1" applyBorder="1"/>
    <xf numFmtId="0" fontId="281" fillId="0" borderId="0" xfId="0" applyFont="1" applyAlignment="1">
      <alignment horizontal="left"/>
    </xf>
    <xf numFmtId="0" fontId="284" fillId="120" borderId="2" xfId="0" applyFont="1" applyFill="1" applyBorder="1" applyAlignment="1">
      <alignment horizontal="right"/>
    </xf>
    <xf numFmtId="168" fontId="313" fillId="0" borderId="0" xfId="1" applyNumberFormat="1" applyFont="1" applyAlignment="1">
      <alignment horizontal="right"/>
    </xf>
    <xf numFmtId="168" fontId="281" fillId="0" borderId="0" xfId="1" applyNumberFormat="1" applyFont="1" applyAlignment="1">
      <alignment horizontal="right"/>
    </xf>
    <xf numFmtId="169" fontId="281" fillId="2" borderId="0" xfId="0" applyNumberFormat="1" applyFont="1" applyFill="1" applyAlignment="1">
      <alignment horizontal="right"/>
    </xf>
    <xf numFmtId="168" fontId="288" fillId="0" borderId="0" xfId="1" applyNumberFormat="1" applyFont="1" applyAlignment="1">
      <alignment horizontal="right"/>
    </xf>
    <xf numFmtId="169" fontId="287" fillId="2" borderId="0" xfId="0" applyNumberFormat="1" applyFont="1" applyFill="1" applyAlignment="1">
      <alignment horizontal="right"/>
    </xf>
    <xf numFmtId="168" fontId="280" fillId="0" borderId="0" xfId="1" applyNumberFormat="1" applyFont="1" applyAlignment="1">
      <alignment horizontal="right"/>
    </xf>
    <xf numFmtId="168" fontId="314" fillId="0" borderId="0" xfId="1" applyNumberFormat="1" applyFont="1" applyAlignment="1">
      <alignment horizontal="right"/>
    </xf>
    <xf numFmtId="9" fontId="281" fillId="0" borderId="0" xfId="2" applyFont="1" applyAlignment="1">
      <alignment horizontal="right"/>
    </xf>
    <xf numFmtId="0" fontId="281" fillId="110" borderId="0" xfId="0" applyFont="1" applyFill="1" applyAlignment="1">
      <alignment horizontal="right"/>
    </xf>
    <xf numFmtId="168" fontId="281" fillId="110" borderId="0" xfId="1" applyNumberFormat="1" applyFont="1" applyFill="1" applyAlignment="1">
      <alignment horizontal="right"/>
    </xf>
    <xf numFmtId="9" fontId="281" fillId="2" borderId="0" xfId="2" applyFont="1" applyFill="1" applyAlignment="1">
      <alignment horizontal="right"/>
    </xf>
    <xf numFmtId="9" fontId="281" fillId="3" borderId="0" xfId="2" applyFont="1" applyFill="1" applyAlignment="1">
      <alignment horizontal="right"/>
    </xf>
    <xf numFmtId="43" fontId="280" fillId="0" borderId="0" xfId="1" applyFont="1" applyAlignment="1">
      <alignment horizontal="right"/>
    </xf>
    <xf numFmtId="43" fontId="314" fillId="0" borderId="0" xfId="1" applyFont="1" applyAlignment="1">
      <alignment horizontal="right"/>
    </xf>
    <xf numFmtId="2" fontId="280" fillId="2" borderId="0" xfId="0" applyNumberFormat="1" applyFont="1" applyFill="1" applyAlignment="1">
      <alignment horizontal="right"/>
    </xf>
    <xf numFmtId="43" fontId="281" fillId="110" borderId="0" xfId="1" applyFont="1" applyFill="1" applyAlignment="1">
      <alignment horizontal="right"/>
    </xf>
    <xf numFmtId="169" fontId="281" fillId="2" borderId="0" xfId="2" applyNumberFormat="1" applyFont="1" applyFill="1" applyAlignment="1">
      <alignment horizontal="right"/>
    </xf>
    <xf numFmtId="169" fontId="281" fillId="0" borderId="0" xfId="2" applyNumberFormat="1" applyFont="1" applyFill="1" applyAlignment="1">
      <alignment horizontal="right"/>
    </xf>
    <xf numFmtId="168" fontId="281" fillId="0" borderId="0" xfId="0" applyNumberFormat="1" applyFont="1" applyAlignment="1">
      <alignment horizontal="right"/>
    </xf>
    <xf numFmtId="168" fontId="289" fillId="0" borderId="0" xfId="1" applyNumberFormat="1" applyFont="1" applyAlignment="1">
      <alignment horizontal="right"/>
    </xf>
    <xf numFmtId="169" fontId="288" fillId="0" borderId="0" xfId="2" applyNumberFormat="1" applyFont="1" applyAlignment="1">
      <alignment horizontal="right"/>
    </xf>
    <xf numFmtId="169" fontId="288" fillId="0" borderId="0" xfId="2" applyNumberFormat="1" applyFont="1" applyFill="1" applyAlignment="1">
      <alignment horizontal="right"/>
    </xf>
    <xf numFmtId="169" fontId="281" fillId="110" borderId="0" xfId="0" applyNumberFormat="1" applyFont="1" applyFill="1" applyAlignment="1">
      <alignment horizontal="right"/>
    </xf>
    <xf numFmtId="170" fontId="287" fillId="3" borderId="0" xfId="3" applyNumberFormat="1" applyFont="1" applyFill="1" applyAlignment="1">
      <alignment horizontal="right"/>
    </xf>
    <xf numFmtId="168" fontId="289" fillId="0" borderId="0" xfId="0" applyNumberFormat="1" applyFont="1" applyAlignment="1">
      <alignment horizontal="right"/>
    </xf>
    <xf numFmtId="168" fontId="288" fillId="0" borderId="0" xfId="0" applyNumberFormat="1" applyFont="1" applyAlignment="1">
      <alignment horizontal="right"/>
    </xf>
    <xf numFmtId="168" fontId="313" fillId="0" borderId="0" xfId="1" applyNumberFormat="1" applyFont="1" applyFill="1" applyAlignment="1">
      <alignment horizontal="right"/>
    </xf>
    <xf numFmtId="9" fontId="281" fillId="0" borderId="0" xfId="2" applyFont="1" applyFill="1" applyAlignment="1">
      <alignment horizontal="right"/>
    </xf>
    <xf numFmtId="168" fontId="280" fillId="0" borderId="0" xfId="0" applyNumberFormat="1" applyFont="1" applyAlignment="1">
      <alignment horizontal="right"/>
    </xf>
    <xf numFmtId="175" fontId="288" fillId="0" borderId="0" xfId="0" applyNumberFormat="1" applyFont="1"/>
    <xf numFmtId="175" fontId="288" fillId="0" borderId="0" xfId="1" applyNumberFormat="1" applyFont="1"/>
    <xf numFmtId="167" fontId="281" fillId="2" borderId="0" xfId="1" applyNumberFormat="1" applyFont="1" applyFill="1"/>
    <xf numFmtId="167" fontId="280" fillId="0" borderId="4" xfId="1" applyNumberFormat="1" applyFont="1" applyBorder="1"/>
    <xf numFmtId="168" fontId="288" fillId="0" borderId="0" xfId="1" applyNumberFormat="1" applyFont="1"/>
    <xf numFmtId="168" fontId="288" fillId="0" borderId="0" xfId="1" applyNumberFormat="1" applyFont="1" applyBorder="1"/>
    <xf numFmtId="168" fontId="281" fillId="0" borderId="0" xfId="1" applyNumberFormat="1" applyFont="1" applyBorder="1"/>
    <xf numFmtId="168" fontId="281" fillId="0" borderId="0" xfId="1" applyNumberFormat="1" applyFont="1" applyFill="1" applyBorder="1"/>
    <xf numFmtId="168" fontId="280" fillId="0" borderId="4" xfId="1" applyNumberFormat="1" applyFont="1" applyBorder="1"/>
    <xf numFmtId="168" fontId="280" fillId="0" borderId="0" xfId="1" applyNumberFormat="1" applyFont="1"/>
    <xf numFmtId="169" fontId="281" fillId="0" borderId="0" xfId="2" applyNumberFormat="1" applyFont="1" applyFill="1"/>
    <xf numFmtId="168" fontId="280" fillId="0" borderId="0" xfId="1" applyNumberFormat="1" applyFont="1" applyBorder="1"/>
    <xf numFmtId="169" fontId="281" fillId="2" borderId="0" xfId="2" applyNumberFormat="1" applyFont="1" applyFill="1" applyBorder="1"/>
    <xf numFmtId="169" fontId="280" fillId="0" borderId="4" xfId="2" applyNumberFormat="1" applyFont="1" applyBorder="1"/>
    <xf numFmtId="169" fontId="281" fillId="0" borderId="0" xfId="2" applyNumberFormat="1" applyFont="1" applyBorder="1"/>
    <xf numFmtId="9" fontId="281" fillId="0" borderId="0" xfId="2" applyFont="1" applyBorder="1"/>
    <xf numFmtId="9" fontId="280" fillId="0" borderId="4" xfId="2" applyFont="1" applyBorder="1"/>
    <xf numFmtId="0" fontId="291" fillId="0" borderId="4" xfId="0" applyFont="1" applyBorder="1"/>
    <xf numFmtId="168" fontId="280" fillId="0" borderId="4" xfId="1" applyNumberFormat="1" applyFont="1" applyFill="1" applyBorder="1"/>
    <xf numFmtId="168" fontId="280" fillId="0" borderId="4" xfId="0" applyNumberFormat="1" applyFont="1" applyBorder="1"/>
    <xf numFmtId="168" fontId="289" fillId="0" borderId="4" xfId="0" applyNumberFormat="1" applyFont="1" applyBorder="1"/>
    <xf numFmtId="9" fontId="281" fillId="2" borderId="0" xfId="2" applyFont="1" applyFill="1" applyBorder="1"/>
    <xf numFmtId="43" fontId="281" fillId="0" borderId="0" xfId="1" applyFont="1" applyBorder="1"/>
    <xf numFmtId="43" fontId="281" fillId="2" borderId="0" xfId="1" applyFont="1" applyFill="1" applyBorder="1"/>
    <xf numFmtId="43" fontId="280" fillId="0" borderId="4" xfId="1" applyFont="1" applyFill="1" applyBorder="1"/>
    <xf numFmtId="43" fontId="280" fillId="0" borderId="4" xfId="1" applyFont="1" applyBorder="1"/>
    <xf numFmtId="167" fontId="281" fillId="110" borderId="0" xfId="1" applyNumberFormat="1" applyFont="1" applyFill="1" applyAlignment="1">
      <alignment horizontal="right"/>
    </xf>
    <xf numFmtId="168" fontId="294" fillId="0" borderId="0" xfId="1" applyNumberFormat="1" applyFont="1"/>
    <xf numFmtId="168" fontId="289" fillId="0" borderId="0" xfId="1" applyNumberFormat="1" applyFont="1"/>
    <xf numFmtId="9" fontId="288" fillId="0" borderId="0" xfId="0" applyNumberFormat="1" applyFont="1"/>
    <xf numFmtId="170" fontId="287" fillId="3" borderId="0" xfId="3" applyNumberFormat="1" applyFont="1" applyFill="1"/>
    <xf numFmtId="9" fontId="281" fillId="0" borderId="0" xfId="2" applyFont="1" applyFill="1"/>
    <xf numFmtId="168" fontId="294" fillId="0" borderId="0" xfId="0" applyNumberFormat="1" applyFont="1"/>
    <xf numFmtId="168" fontId="289" fillId="0" borderId="0" xfId="0" applyNumberFormat="1" applyFont="1"/>
    <xf numFmtId="168" fontId="280" fillId="0" borderId="0" xfId="0" applyNumberFormat="1" applyFont="1"/>
    <xf numFmtId="1" fontId="289" fillId="0" borderId="0" xfId="0" applyNumberFormat="1" applyFont="1"/>
    <xf numFmtId="0" fontId="284" fillId="111" borderId="0" xfId="0" applyFont="1" applyFill="1"/>
    <xf numFmtId="14" fontId="281" fillId="0" borderId="0" xfId="0" applyNumberFormat="1" applyFont="1" applyAlignment="1">
      <alignment horizontal="left"/>
    </xf>
    <xf numFmtId="14" fontId="315" fillId="0" borderId="0" xfId="0" applyNumberFormat="1" applyFont="1" applyAlignment="1">
      <alignment horizontal="left"/>
    </xf>
    <xf numFmtId="3" fontId="288" fillId="0" borderId="0" xfId="0" applyNumberFormat="1" applyFont="1"/>
    <xf numFmtId="0" fontId="288" fillId="0" borderId="0" xfId="0" applyFont="1"/>
    <xf numFmtId="3" fontId="287" fillId="0" borderId="0" xfId="0" applyNumberFormat="1" applyFont="1"/>
    <xf numFmtId="0" fontId="281" fillId="0" borderId="0" xfId="0" quotePrefix="1" applyFont="1" applyAlignment="1">
      <alignment horizontal="right"/>
    </xf>
    <xf numFmtId="16" fontId="281" fillId="0" borderId="0" xfId="0" quotePrefix="1" applyNumberFormat="1" applyFont="1" applyAlignment="1">
      <alignment horizontal="right"/>
    </xf>
    <xf numFmtId="175" fontId="281" fillId="0" borderId="0" xfId="0" applyNumberFormat="1" applyFont="1"/>
    <xf numFmtId="2" fontId="280" fillId="0" borderId="21" xfId="0" applyNumberFormat="1" applyFont="1" applyBorder="1"/>
    <xf numFmtId="0" fontId="291" fillId="0" borderId="0" xfId="0" applyFont="1"/>
    <xf numFmtId="0" fontId="290" fillId="0" borderId="0" xfId="0" applyFont="1"/>
    <xf numFmtId="0" fontId="287" fillId="0" borderId="0" xfId="0" applyFont="1" applyAlignment="1">
      <alignment horizontal="right"/>
    </xf>
    <xf numFmtId="168" fontId="281" fillId="2" borderId="0" xfId="1" applyNumberFormat="1" applyFont="1" applyFill="1"/>
    <xf numFmtId="0" fontId="281" fillId="0" borderId="2" xfId="0" applyFont="1" applyBorder="1"/>
    <xf numFmtId="168" fontId="281" fillId="0" borderId="2" xfId="1" applyNumberFormat="1" applyFont="1" applyBorder="1"/>
    <xf numFmtId="168" fontId="288" fillId="0" borderId="2" xfId="1" applyNumberFormat="1" applyFont="1" applyBorder="1"/>
    <xf numFmtId="169" fontId="287" fillId="0" borderId="0" xfId="2" applyNumberFormat="1" applyFont="1" applyFill="1"/>
    <xf numFmtId="168" fontId="280" fillId="0" borderId="2" xfId="1" applyNumberFormat="1" applyFont="1" applyBorder="1"/>
    <xf numFmtId="169" fontId="281" fillId="2" borderId="2" xfId="2" applyNumberFormat="1" applyFont="1" applyFill="1" applyBorder="1"/>
    <xf numFmtId="169" fontId="281" fillId="0" borderId="4" xfId="2" applyNumberFormat="1" applyFont="1" applyBorder="1"/>
    <xf numFmtId="169" fontId="281" fillId="0" borderId="2" xfId="2" applyNumberFormat="1" applyFont="1" applyBorder="1"/>
    <xf numFmtId="168" fontId="288" fillId="0" borderId="0" xfId="0" applyNumberFormat="1" applyFont="1"/>
    <xf numFmtId="43" fontId="280" fillId="0" borderId="0" xfId="1" applyFont="1"/>
    <xf numFmtId="43" fontId="280" fillId="2" borderId="0" xfId="1" applyFont="1" applyFill="1"/>
    <xf numFmtId="168" fontId="291" fillId="0" borderId="0" xfId="1" applyNumberFormat="1" applyFont="1"/>
    <xf numFmtId="168" fontId="289" fillId="0" borderId="0" xfId="1" applyNumberFormat="1" applyFont="1" applyBorder="1"/>
    <xf numFmtId="0" fontId="281" fillId="2" borderId="0" xfId="0" applyFont="1" applyFill="1"/>
    <xf numFmtId="1" fontId="281" fillId="2" borderId="0" xfId="0" applyNumberFormat="1" applyFont="1" applyFill="1"/>
    <xf numFmtId="9" fontId="281" fillId="0" borderId="0" xfId="2" applyFont="1" applyFill="1" applyBorder="1"/>
    <xf numFmtId="167" fontId="288" fillId="0" borderId="0" xfId="1" applyNumberFormat="1" applyFont="1"/>
    <xf numFmtId="167" fontId="281" fillId="0" borderId="0" xfId="1" applyNumberFormat="1" applyFont="1"/>
    <xf numFmtId="43" fontId="281" fillId="2" borderId="0" xfId="1" applyFont="1" applyFill="1"/>
    <xf numFmtId="0" fontId="0" fillId="124" borderId="0" xfId="0" applyFill="1"/>
    <xf numFmtId="169" fontId="287" fillId="0" borderId="0" xfId="0" applyNumberFormat="1" applyFont="1"/>
    <xf numFmtId="0" fontId="300" fillId="3" borderId="71" xfId="0" applyFont="1" applyFill="1" applyBorder="1"/>
    <xf numFmtId="0" fontId="300" fillId="3" borderId="71" xfId="0" applyFont="1" applyFill="1" applyBorder="1" applyAlignment="1">
      <alignment horizontal="center"/>
    </xf>
    <xf numFmtId="0" fontId="300" fillId="3" borderId="8" xfId="0" applyFont="1" applyFill="1" applyBorder="1" applyAlignment="1">
      <alignment horizontal="center"/>
    </xf>
    <xf numFmtId="176" fontId="2" fillId="0" borderId="0" xfId="0" applyNumberFormat="1" applyFont="1"/>
    <xf numFmtId="0" fontId="290" fillId="121" borderId="0" xfId="0" applyFont="1" applyFill="1" applyAlignment="1">
      <alignment horizontal="right"/>
    </xf>
    <xf numFmtId="14" fontId="0" fillId="128" borderId="0" xfId="0" applyNumberFormat="1" applyFill="1"/>
    <xf numFmtId="1" fontId="0" fillId="128" borderId="0" xfId="0" applyNumberFormat="1" applyFill="1"/>
    <xf numFmtId="0" fontId="280" fillId="0" borderId="71" xfId="0" applyFont="1" applyBorder="1"/>
    <xf numFmtId="169" fontId="280" fillId="127" borderId="0" xfId="0" applyNumberFormat="1" applyFont="1" applyFill="1" applyAlignment="1">
      <alignment horizontal="right"/>
    </xf>
    <xf numFmtId="3" fontId="316" fillId="125" borderId="0" xfId="0" applyNumberFormat="1" applyFont="1" applyFill="1" applyAlignment="1">
      <alignment horizontal="right"/>
    </xf>
    <xf numFmtId="169" fontId="316" fillId="125" borderId="0" xfId="2" applyNumberFormat="1" applyFont="1" applyFill="1" applyAlignment="1">
      <alignment horizontal="right"/>
    </xf>
    <xf numFmtId="3" fontId="316" fillId="0" borderId="0" xfId="0" applyNumberFormat="1" applyFont="1" applyAlignment="1">
      <alignment horizontal="right"/>
    </xf>
    <xf numFmtId="169" fontId="316" fillId="0" borderId="0" xfId="0" applyNumberFormat="1" applyFont="1" applyAlignment="1">
      <alignment horizontal="right"/>
    </xf>
    <xf numFmtId="9" fontId="316" fillId="0" borderId="0" xfId="0" applyNumberFormat="1" applyFont="1" applyAlignment="1">
      <alignment horizontal="right"/>
    </xf>
    <xf numFmtId="169" fontId="317" fillId="0" borderId="0" xfId="0" applyNumberFormat="1" applyFont="1" applyAlignment="1">
      <alignment horizontal="right"/>
    </xf>
    <xf numFmtId="176" fontId="316" fillId="0" borderId="0" xfId="0" applyNumberFormat="1" applyFont="1" applyAlignment="1">
      <alignment horizontal="right"/>
    </xf>
    <xf numFmtId="9" fontId="281" fillId="124" borderId="0" xfId="0" applyNumberFormat="1" applyFont="1" applyFill="1"/>
    <xf numFmtId="351" fontId="281" fillId="0" borderId="0" xfId="0" applyNumberFormat="1" applyFont="1" applyAlignment="1">
      <alignment horizontal="right"/>
    </xf>
    <xf numFmtId="169" fontId="291" fillId="0" borderId="0" xfId="0" applyNumberFormat="1" applyFont="1" applyAlignment="1">
      <alignment horizontal="left"/>
    </xf>
    <xf numFmtId="1" fontId="280" fillId="0" borderId="0" xfId="0" applyNumberFormat="1" applyFont="1"/>
    <xf numFmtId="168" fontId="291" fillId="0" borderId="0" xfId="0" applyNumberFormat="1" applyFont="1" applyAlignment="1">
      <alignment horizontal="right"/>
    </xf>
    <xf numFmtId="0" fontId="281" fillId="0" borderId="0" xfId="0" applyFont="1" applyAlignment="1">
      <alignment wrapText="1"/>
    </xf>
    <xf numFmtId="0" fontId="0" fillId="0" borderId="0" xfId="0" applyAlignment="1">
      <alignment wrapText="1"/>
    </xf>
    <xf numFmtId="168" fontId="0" fillId="0" borderId="0" xfId="0" applyNumberFormat="1" applyAlignment="1">
      <alignment wrapText="1"/>
    </xf>
    <xf numFmtId="168" fontId="0" fillId="0" borderId="0" xfId="1" applyNumberFormat="1" applyFont="1" applyBorder="1" applyAlignment="1">
      <alignment wrapText="1"/>
    </xf>
    <xf numFmtId="167" fontId="0" fillId="0" borderId="0" xfId="0" applyNumberFormat="1"/>
    <xf numFmtId="168" fontId="0" fillId="0" borderId="0" xfId="0" applyNumberFormat="1"/>
    <xf numFmtId="167" fontId="287" fillId="0" borderId="0" xfId="5" applyNumberFormat="1" applyFont="1"/>
    <xf numFmtId="0" fontId="287" fillId="122" borderId="0" xfId="0" applyFont="1" applyFill="1" applyAlignment="1">
      <alignment horizontal="right"/>
    </xf>
    <xf numFmtId="0" fontId="290" fillId="122" borderId="0" xfId="0" applyFont="1" applyFill="1" applyAlignment="1">
      <alignment horizontal="right"/>
    </xf>
    <xf numFmtId="168" fontId="281" fillId="0" borderId="0" xfId="6" applyNumberFormat="1" applyFont="1" applyFill="1" applyBorder="1" applyAlignment="1">
      <alignment horizontal="right"/>
    </xf>
    <xf numFmtId="168" fontId="287" fillId="0" borderId="0" xfId="1" applyNumberFormat="1" applyFont="1" applyFill="1" applyBorder="1" applyAlignment="1">
      <alignment horizontal="right"/>
    </xf>
    <xf numFmtId="43" fontId="281" fillId="0" borderId="0" xfId="6" applyFont="1" applyFill="1" applyAlignment="1">
      <alignment horizontal="right"/>
    </xf>
    <xf numFmtId="9" fontId="287" fillId="0" borderId="0" xfId="2" applyFont="1" applyFill="1" applyBorder="1" applyAlignment="1">
      <alignment horizontal="right"/>
    </xf>
    <xf numFmtId="171" fontId="290" fillId="0" borderId="0" xfId="5" applyNumberFormat="1" applyFont="1" applyAlignment="1">
      <alignment horizontal="right"/>
    </xf>
    <xf numFmtId="0" fontId="290" fillId="0" borderId="0" xfId="5" applyFont="1" applyAlignment="1">
      <alignment horizontal="right"/>
    </xf>
    <xf numFmtId="168" fontId="290" fillId="0" borderId="0" xfId="5" applyNumberFormat="1" applyFont="1" applyAlignment="1">
      <alignment horizontal="right"/>
    </xf>
    <xf numFmtId="9" fontId="287" fillId="0" borderId="0" xfId="2" applyFont="1" applyFill="1" applyAlignment="1">
      <alignment horizontal="right"/>
    </xf>
    <xf numFmtId="176" fontId="287" fillId="0" borderId="0" xfId="5" applyNumberFormat="1" applyFont="1"/>
    <xf numFmtId="176" fontId="290" fillId="0" borderId="21" xfId="16" applyNumberFormat="1" applyFont="1" applyFill="1" applyBorder="1" applyAlignment="1">
      <alignment horizontal="center"/>
    </xf>
    <xf numFmtId="177" fontId="287" fillId="0" borderId="0" xfId="0" applyNumberFormat="1" applyFont="1" applyAlignment="1">
      <alignment horizontal="right"/>
    </xf>
    <xf numFmtId="177" fontId="287" fillId="0" borderId="0" xfId="16" applyNumberFormat="1" applyFont="1" applyFill="1" applyBorder="1">
      <alignment horizontal="right"/>
    </xf>
    <xf numFmtId="177" fontId="290" fillId="0" borderId="4" xfId="16" applyNumberFormat="1" applyFont="1" applyFill="1" applyBorder="1">
      <alignment horizontal="right"/>
    </xf>
    <xf numFmtId="177" fontId="290" fillId="0" borderId="0" xfId="16" applyNumberFormat="1" applyFont="1" applyFill="1" applyBorder="1">
      <alignment horizontal="right"/>
    </xf>
    <xf numFmtId="177" fontId="287" fillId="2" borderId="0" xfId="16" applyNumberFormat="1" applyFont="1" applyFill="1" applyBorder="1">
      <alignment horizontal="right"/>
    </xf>
    <xf numFmtId="177" fontId="287" fillId="0" borderId="0" xfId="15" applyNumberFormat="1" applyFont="1" applyFill="1" applyBorder="1" applyAlignment="1">
      <alignment horizontal="right"/>
    </xf>
    <xf numFmtId="177" fontId="287" fillId="2" borderId="0" xfId="15" applyNumberFormat="1" applyFont="1" applyFill="1" applyBorder="1" applyAlignment="1">
      <alignment horizontal="right"/>
    </xf>
    <xf numFmtId="177" fontId="287" fillId="0" borderId="2" xfId="16" applyNumberFormat="1" applyFont="1" applyFill="1" applyBorder="1">
      <alignment horizontal="right"/>
    </xf>
    <xf numFmtId="177" fontId="287" fillId="0" borderId="0" xfId="16" applyNumberFormat="1" applyFont="1" applyFill="1">
      <alignment horizontal="right"/>
    </xf>
    <xf numFmtId="177" fontId="290" fillId="0" borderId="0" xfId="16" applyNumberFormat="1" applyFont="1" applyFill="1">
      <alignment horizontal="right"/>
    </xf>
    <xf numFmtId="179" fontId="287" fillId="0" borderId="0" xfId="17" applyNumberFormat="1" applyFont="1" applyFill="1">
      <alignment horizontal="right"/>
    </xf>
    <xf numFmtId="180" fontId="287" fillId="0" borderId="0" xfId="16" applyNumberFormat="1" applyFont="1" applyFill="1">
      <alignment horizontal="right"/>
    </xf>
    <xf numFmtId="181" fontId="287" fillId="0" borderId="0" xfId="19" applyNumberFormat="1" applyFont="1" applyFill="1" applyBorder="1">
      <alignment horizontal="right"/>
    </xf>
    <xf numFmtId="177" fontId="295" fillId="0" borderId="0" xfId="0" applyNumberFormat="1" applyFont="1" applyAlignment="1">
      <alignment horizontal="right"/>
    </xf>
    <xf numFmtId="177" fontId="290" fillId="0" borderId="0" xfId="17" applyNumberFormat="1" applyFont="1" applyFill="1" applyBorder="1">
      <alignment horizontal="right"/>
    </xf>
    <xf numFmtId="177" fontId="287" fillId="0" borderId="0" xfId="17" applyNumberFormat="1" applyFont="1" applyFill="1" applyBorder="1">
      <alignment horizontal="right"/>
    </xf>
    <xf numFmtId="177" fontId="290" fillId="0" borderId="0" xfId="0" applyNumberFormat="1" applyFont="1" applyAlignment="1">
      <alignment horizontal="right"/>
    </xf>
    <xf numFmtId="177" fontId="287" fillId="0" borderId="0" xfId="15" applyNumberFormat="1" applyFont="1" applyFill="1" applyAlignment="1">
      <alignment horizontal="right"/>
    </xf>
    <xf numFmtId="177" fontId="287" fillId="0" borderId="0" xfId="2" applyNumberFormat="1" applyFont="1" applyFill="1" applyAlignment="1">
      <alignment horizontal="right"/>
    </xf>
    <xf numFmtId="180" fontId="290" fillId="0" borderId="0" xfId="16" applyNumberFormat="1" applyFont="1" applyFill="1" applyBorder="1">
      <alignment horizontal="right"/>
    </xf>
    <xf numFmtId="180" fontId="290" fillId="0" borderId="0" xfId="17" applyNumberFormat="1" applyFont="1" applyFill="1" applyBorder="1">
      <alignment horizontal="right"/>
    </xf>
    <xf numFmtId="177" fontId="287" fillId="0" borderId="0" xfId="2" applyNumberFormat="1" applyFont="1" applyFill="1" applyBorder="1" applyAlignment="1">
      <alignment horizontal="right"/>
    </xf>
    <xf numFmtId="177" fontId="287" fillId="0" borderId="71" xfId="16" applyNumberFormat="1" applyFont="1" applyFill="1" applyBorder="1">
      <alignment horizontal="right"/>
    </xf>
    <xf numFmtId="181" fontId="290" fillId="0" borderId="0" xfId="19" applyNumberFormat="1" applyFont="1" applyFill="1" applyBorder="1">
      <alignment horizontal="right"/>
    </xf>
    <xf numFmtId="177" fontId="291" fillId="0" borderId="0" xfId="16" applyNumberFormat="1" applyFont="1" applyFill="1" applyBorder="1">
      <alignment horizontal="right"/>
    </xf>
    <xf numFmtId="181" fontId="291" fillId="0" borderId="0" xfId="19" applyNumberFormat="1" applyFont="1" applyFill="1" applyBorder="1">
      <alignment horizontal="right"/>
    </xf>
    <xf numFmtId="177" fontId="287" fillId="0" borderId="0" xfId="19" applyNumberFormat="1" applyFont="1" applyFill="1" applyBorder="1">
      <alignment horizontal="right"/>
    </xf>
    <xf numFmtId="179" fontId="287" fillId="0" borderId="0" xfId="17" applyNumberFormat="1" applyFont="1" applyFill="1" applyBorder="1">
      <alignment horizontal="right"/>
    </xf>
    <xf numFmtId="169" fontId="281" fillId="2" borderId="0" xfId="0" applyNumberFormat="1" applyFont="1" applyFill="1"/>
    <xf numFmtId="43" fontId="281" fillId="0" borderId="0" xfId="1" applyFont="1"/>
    <xf numFmtId="168" fontId="281" fillId="0" borderId="4" xfId="1" applyNumberFormat="1" applyFont="1" applyBorder="1"/>
    <xf numFmtId="169" fontId="281" fillId="110" borderId="0" xfId="1" applyNumberFormat="1" applyFont="1" applyFill="1" applyAlignment="1">
      <alignment horizontal="right"/>
    </xf>
    <xf numFmtId="167" fontId="288" fillId="0" borderId="0" xfId="1" applyNumberFormat="1" applyFont="1" applyBorder="1"/>
    <xf numFmtId="167" fontId="287" fillId="0" borderId="0" xfId="1" applyNumberFormat="1" applyFont="1" applyBorder="1"/>
    <xf numFmtId="43" fontId="288" fillId="0" borderId="0" xfId="1" applyFont="1"/>
    <xf numFmtId="10" fontId="287" fillId="2" borderId="0" xfId="0" applyNumberFormat="1" applyFont="1" applyFill="1"/>
    <xf numFmtId="169" fontId="287" fillId="0" borderId="0" xfId="1" applyNumberFormat="1" applyFont="1"/>
    <xf numFmtId="14" fontId="318" fillId="0" borderId="82" xfId="0" applyNumberFormat="1" applyFont="1" applyBorder="1" applyAlignment="1">
      <alignment horizontal="right" wrapText="1"/>
    </xf>
    <xf numFmtId="0" fontId="318" fillId="0" borderId="82" xfId="0" applyFont="1" applyBorder="1" applyAlignment="1">
      <alignment horizontal="right" wrapText="1"/>
    </xf>
    <xf numFmtId="168" fontId="314" fillId="0" borderId="0" xfId="0" applyNumberFormat="1" applyFont="1" applyAlignment="1">
      <alignment horizontal="right"/>
    </xf>
    <xf numFmtId="43" fontId="281" fillId="0" borderId="0" xfId="0" applyNumberFormat="1" applyFont="1" applyAlignment="1">
      <alignment horizontal="right"/>
    </xf>
    <xf numFmtId="9" fontId="281" fillId="2" borderId="0" xfId="0" applyNumberFormat="1" applyFont="1" applyFill="1" applyAlignment="1">
      <alignment horizontal="right"/>
    </xf>
    <xf numFmtId="168" fontId="281" fillId="0" borderId="21" xfId="1" applyNumberFormat="1" applyFont="1" applyBorder="1" applyAlignment="1">
      <alignment horizontal="right"/>
    </xf>
    <xf numFmtId="0" fontId="319" fillId="0" borderId="0" xfId="0" applyFont="1"/>
    <xf numFmtId="43" fontId="282" fillId="0" borderId="0" xfId="0" applyNumberFormat="1" applyFont="1"/>
    <xf numFmtId="168" fontId="280" fillId="0" borderId="0" xfId="1" applyNumberFormat="1" applyFont="1" applyFill="1" applyAlignment="1">
      <alignment horizontal="right"/>
    </xf>
    <xf numFmtId="168" fontId="281" fillId="2" borderId="0" xfId="0" applyNumberFormat="1" applyFont="1" applyFill="1"/>
    <xf numFmtId="175" fontId="282" fillId="0" borderId="0" xfId="0" applyNumberFormat="1" applyFont="1"/>
    <xf numFmtId="168" fontId="287" fillId="2" borderId="0" xfId="1" applyNumberFormat="1" applyFont="1" applyFill="1" applyBorder="1"/>
    <xf numFmtId="168" fontId="281" fillId="0" borderId="0" xfId="1" applyNumberFormat="1" applyFont="1" applyAlignment="1">
      <alignment horizontal="left"/>
    </xf>
    <xf numFmtId="9" fontId="280" fillId="0" borderId="4" xfId="0" applyNumberFormat="1" applyFont="1" applyBorder="1" applyAlignment="1">
      <alignment horizontal="right"/>
    </xf>
    <xf numFmtId="352" fontId="281" fillId="0" borderId="0" xfId="0" applyNumberFormat="1" applyFont="1"/>
    <xf numFmtId="9" fontId="287" fillId="0" borderId="0" xfId="5" applyNumberFormat="1" applyFont="1" applyAlignment="1">
      <alignment horizontal="right"/>
    </xf>
    <xf numFmtId="9" fontId="287" fillId="2" borderId="0" xfId="4" applyNumberFormat="1" applyFont="1" applyFill="1" applyAlignment="1">
      <alignment horizontal="right"/>
    </xf>
    <xf numFmtId="43" fontId="287" fillId="0" borderId="0" xfId="4" applyNumberFormat="1" applyFont="1" applyAlignment="1">
      <alignment horizontal="right"/>
    </xf>
    <xf numFmtId="168" fontId="281" fillId="0" borderId="0" xfId="1" applyNumberFormat="1" applyFont="1" applyFill="1"/>
    <xf numFmtId="0" fontId="280" fillId="121" borderId="0" xfId="0" applyFont="1" applyFill="1"/>
    <xf numFmtId="1" fontId="287" fillId="0" borderId="0" xfId="0" applyNumberFormat="1" applyFont="1"/>
    <xf numFmtId="0" fontId="287" fillId="0" borderId="0" xfId="0" applyFont="1"/>
    <xf numFmtId="1" fontId="281" fillId="0" borderId="4" xfId="0" applyNumberFormat="1" applyFont="1" applyBorder="1" applyAlignment="1">
      <alignment horizontal="right"/>
    </xf>
    <xf numFmtId="171" fontId="281" fillId="0" borderId="0" xfId="0" applyNumberFormat="1" applyFont="1" applyAlignment="1">
      <alignment horizontal="right"/>
    </xf>
    <xf numFmtId="0" fontId="280" fillId="129" borderId="0" xfId="0" applyFont="1" applyFill="1"/>
    <xf numFmtId="0" fontId="280" fillId="129" borderId="0" xfId="0" applyFont="1" applyFill="1" applyAlignment="1">
      <alignment horizontal="right" vertical="top" wrapText="1"/>
    </xf>
    <xf numFmtId="0" fontId="281" fillId="129" borderId="0" xfId="0" applyFont="1" applyFill="1"/>
    <xf numFmtId="168" fontId="281" fillId="129" borderId="0" xfId="1" applyNumberFormat="1" applyFont="1" applyFill="1" applyAlignment="1">
      <alignment horizontal="right"/>
    </xf>
    <xf numFmtId="291" fontId="281" fillId="129" borderId="0" xfId="0" applyNumberFormat="1" applyFont="1" applyFill="1" applyAlignment="1">
      <alignment horizontal="right"/>
    </xf>
    <xf numFmtId="0" fontId="281" fillId="129" borderId="0" xfId="0" applyFont="1" applyFill="1" applyAlignment="1">
      <alignment horizontal="right"/>
    </xf>
    <xf numFmtId="9" fontId="281" fillId="129" borderId="0" xfId="0" applyNumberFormat="1" applyFont="1" applyFill="1" applyAlignment="1">
      <alignment horizontal="right"/>
    </xf>
    <xf numFmtId="175" fontId="281" fillId="129" borderId="0" xfId="0" applyNumberFormat="1" applyFont="1" applyFill="1" applyAlignment="1">
      <alignment horizontal="right"/>
    </xf>
    <xf numFmtId="0" fontId="280" fillId="129" borderId="0" xfId="0" applyFont="1" applyFill="1" applyAlignment="1">
      <alignment horizontal="right"/>
    </xf>
    <xf numFmtId="1" fontId="280" fillId="129" borderId="0" xfId="0" applyNumberFormat="1" applyFont="1" applyFill="1" applyAlignment="1">
      <alignment horizontal="right"/>
    </xf>
    <xf numFmtId="3" fontId="280" fillId="129" borderId="21" xfId="0" applyNumberFormat="1" applyFont="1" applyFill="1" applyBorder="1" applyAlignment="1">
      <alignment horizontal="right"/>
    </xf>
    <xf numFmtId="0" fontId="11" fillId="129" borderId="0" xfId="0" applyFont="1" applyFill="1" applyAlignment="1">
      <alignment horizontal="right"/>
    </xf>
    <xf numFmtId="0" fontId="11" fillId="129" borderId="0" xfId="0" applyFont="1" applyFill="1"/>
    <xf numFmtId="0" fontId="287" fillId="119" borderId="0" xfId="0" applyFont="1" applyFill="1"/>
    <xf numFmtId="0" fontId="287" fillId="119" borderId="0" xfId="0" applyFont="1" applyFill="1" applyAlignment="1">
      <alignment horizontal="right"/>
    </xf>
    <xf numFmtId="0" fontId="290" fillId="119" borderId="0" xfId="0" applyFont="1" applyFill="1"/>
    <xf numFmtId="0" fontId="290" fillId="119" borderId="0" xfId="0" applyFont="1" applyFill="1" applyAlignment="1">
      <alignment horizontal="right"/>
    </xf>
    <xf numFmtId="0" fontId="290" fillId="119" borderId="2" xfId="0" applyFont="1" applyFill="1" applyBorder="1"/>
    <xf numFmtId="0" fontId="290" fillId="119" borderId="2" xfId="0" applyFont="1" applyFill="1" applyBorder="1" applyAlignment="1">
      <alignment horizontal="right"/>
    </xf>
    <xf numFmtId="171" fontId="287" fillId="119" borderId="0" xfId="4" applyNumberFormat="1" applyFont="1" applyFill="1"/>
    <xf numFmtId="0" fontId="290" fillId="119" borderId="4" xfId="0" applyFont="1" applyFill="1" applyBorder="1"/>
    <xf numFmtId="171" fontId="290" fillId="119" borderId="4" xfId="4" applyNumberFormat="1" applyFont="1" applyFill="1" applyBorder="1"/>
    <xf numFmtId="169" fontId="287" fillId="119" borderId="0" xfId="0" applyNumberFormat="1" applyFont="1" applyFill="1"/>
    <xf numFmtId="169" fontId="287" fillId="119" borderId="0" xfId="2" applyNumberFormat="1" applyFont="1" applyFill="1"/>
    <xf numFmtId="168" fontId="287" fillId="119" borderId="0" xfId="1" applyNumberFormat="1" applyFont="1" applyFill="1"/>
    <xf numFmtId="9" fontId="287" fillId="119" borderId="0" xfId="0" applyNumberFormat="1" applyFont="1" applyFill="1"/>
    <xf numFmtId="171" fontId="287" fillId="119" borderId="0" xfId="0" applyNumberFormat="1" applyFont="1" applyFill="1"/>
    <xf numFmtId="0" fontId="320" fillId="119" borderId="0" xfId="0" applyFont="1" applyFill="1"/>
    <xf numFmtId="171" fontId="287" fillId="119" borderId="2" xfId="4" applyNumberFormat="1" applyFont="1" applyFill="1" applyBorder="1"/>
    <xf numFmtId="171" fontId="290" fillId="119" borderId="0" xfId="4" applyNumberFormat="1" applyFont="1" applyFill="1"/>
    <xf numFmtId="9" fontId="287" fillId="119" borderId="0" xfId="1" applyNumberFormat="1" applyFont="1" applyFill="1"/>
    <xf numFmtId="43" fontId="287" fillId="119" borderId="0" xfId="0" applyNumberFormat="1" applyFont="1" applyFill="1"/>
    <xf numFmtId="0" fontId="290" fillId="119" borderId="10" xfId="0" applyFont="1" applyFill="1" applyBorder="1"/>
    <xf numFmtId="171" fontId="290" fillId="119" borderId="10" xfId="0" applyNumberFormat="1" applyFont="1" applyFill="1" applyBorder="1"/>
    <xf numFmtId="9" fontId="287" fillId="119" borderId="0" xfId="2" applyFont="1" applyFill="1" applyBorder="1"/>
    <xf numFmtId="9" fontId="287" fillId="119" borderId="0" xfId="2" applyFont="1" applyFill="1"/>
    <xf numFmtId="168" fontId="287" fillId="119" borderId="0" xfId="1" applyNumberFormat="1" applyFont="1" applyFill="1" applyAlignment="1">
      <alignment horizontal="right"/>
    </xf>
    <xf numFmtId="0" fontId="287" fillId="119" borderId="4" xfId="0" applyFont="1" applyFill="1" applyBorder="1"/>
    <xf numFmtId="171" fontId="290" fillId="119" borderId="4" xfId="0" applyNumberFormat="1" applyFont="1" applyFill="1" applyBorder="1"/>
    <xf numFmtId="0" fontId="290" fillId="119" borderId="72" xfId="4" applyFont="1" applyFill="1" applyBorder="1"/>
    <xf numFmtId="0" fontId="290" fillId="119" borderId="72" xfId="4" applyFont="1" applyFill="1" applyBorder="1" applyAlignment="1">
      <alignment horizontal="right"/>
    </xf>
    <xf numFmtId="0" fontId="287" fillId="119" borderId="0" xfId="4" applyFont="1" applyFill="1"/>
    <xf numFmtId="168" fontId="287" fillId="119" borderId="0" xfId="4" applyNumberFormat="1" applyFont="1" applyFill="1" applyAlignment="1">
      <alignment horizontal="right"/>
    </xf>
    <xf numFmtId="171" fontId="287" fillId="119" borderId="0" xfId="4" applyNumberFormat="1" applyFont="1" applyFill="1" applyAlignment="1">
      <alignment horizontal="right"/>
    </xf>
    <xf numFmtId="0" fontId="290" fillId="119" borderId="4" xfId="4" applyFont="1" applyFill="1" applyBorder="1"/>
    <xf numFmtId="171" fontId="290" fillId="119" borderId="4" xfId="4" applyNumberFormat="1" applyFont="1" applyFill="1" applyBorder="1" applyAlignment="1">
      <alignment horizontal="right"/>
    </xf>
    <xf numFmtId="0" fontId="287" fillId="119" borderId="0" xfId="5" applyFont="1" applyFill="1"/>
    <xf numFmtId="0" fontId="287" fillId="119" borderId="0" xfId="5" applyFont="1" applyFill="1" applyAlignment="1">
      <alignment horizontal="right"/>
    </xf>
    <xf numFmtId="168" fontId="287" fillId="119" borderId="0" xfId="5" applyNumberFormat="1" applyFont="1" applyFill="1" applyAlignment="1">
      <alignment horizontal="right"/>
    </xf>
    <xf numFmtId="0" fontId="292" fillId="119" borderId="0" xfId="5" applyFont="1" applyFill="1"/>
    <xf numFmtId="0" fontId="292" fillId="119" borderId="0" xfId="5" applyFont="1" applyFill="1" applyAlignment="1">
      <alignment horizontal="right"/>
    </xf>
    <xf numFmtId="168" fontId="292" fillId="119" borderId="0" xfId="5" applyNumberFormat="1" applyFont="1" applyFill="1" applyAlignment="1">
      <alignment horizontal="right"/>
    </xf>
    <xf numFmtId="171" fontId="292" fillId="119" borderId="0" xfId="4" applyNumberFormat="1" applyFont="1" applyFill="1" applyAlignment="1">
      <alignment horizontal="right"/>
    </xf>
    <xf numFmtId="171" fontId="288" fillId="119" borderId="0" xfId="4" applyNumberFormat="1" applyFont="1" applyFill="1" applyAlignment="1">
      <alignment horizontal="right"/>
    </xf>
    <xf numFmtId="0" fontId="290" fillId="119" borderId="0" xfId="4" applyFont="1" applyFill="1"/>
    <xf numFmtId="171" fontId="290" fillId="119" borderId="0" xfId="4" applyNumberFormat="1" applyFont="1" applyFill="1" applyAlignment="1">
      <alignment horizontal="right"/>
    </xf>
    <xf numFmtId="0" fontId="290" fillId="119" borderId="11" xfId="4" applyFont="1" applyFill="1" applyBorder="1"/>
    <xf numFmtId="171" fontId="290" fillId="119" borderId="11" xfId="4" applyNumberFormat="1" applyFont="1" applyFill="1" applyBorder="1" applyAlignment="1">
      <alignment horizontal="right"/>
    </xf>
    <xf numFmtId="0" fontId="287" fillId="119" borderId="3" xfId="5" applyFont="1" applyFill="1" applyBorder="1"/>
    <xf numFmtId="174" fontId="287" fillId="119" borderId="4" xfId="4" applyNumberFormat="1" applyFont="1" applyFill="1" applyBorder="1" applyAlignment="1">
      <alignment horizontal="right"/>
    </xf>
    <xf numFmtId="174" fontId="287" fillId="119" borderId="5" xfId="4" applyNumberFormat="1" applyFont="1" applyFill="1" applyBorder="1" applyAlignment="1">
      <alignment horizontal="right"/>
    </xf>
    <xf numFmtId="0" fontId="287" fillId="119" borderId="6" xfId="5" applyFont="1" applyFill="1" applyBorder="1"/>
    <xf numFmtId="174" fontId="287" fillId="119" borderId="0" xfId="4" applyNumberFormat="1" applyFont="1" applyFill="1" applyAlignment="1">
      <alignment horizontal="right"/>
    </xf>
    <xf numFmtId="174" fontId="287" fillId="119" borderId="7" xfId="4" applyNumberFormat="1" applyFont="1" applyFill="1" applyBorder="1" applyAlignment="1">
      <alignment horizontal="right"/>
    </xf>
    <xf numFmtId="0" fontId="287" fillId="119" borderId="8" xfId="5" applyFont="1" applyFill="1" applyBorder="1"/>
    <xf numFmtId="174" fontId="287" fillId="119" borderId="71" xfId="4" applyNumberFormat="1" applyFont="1" applyFill="1" applyBorder="1" applyAlignment="1">
      <alignment horizontal="right"/>
    </xf>
    <xf numFmtId="174" fontId="287" fillId="119" borderId="9" xfId="4" applyNumberFormat="1" applyFont="1" applyFill="1" applyBorder="1" applyAlignment="1">
      <alignment horizontal="right"/>
    </xf>
    <xf numFmtId="168" fontId="290" fillId="119" borderId="4" xfId="4" applyNumberFormat="1" applyFont="1" applyFill="1" applyBorder="1" applyAlignment="1">
      <alignment horizontal="right"/>
    </xf>
    <xf numFmtId="43" fontId="287" fillId="119" borderId="4" xfId="6" applyFont="1" applyFill="1" applyBorder="1" applyAlignment="1">
      <alignment horizontal="right"/>
    </xf>
    <xf numFmtId="43" fontId="287" fillId="119" borderId="0" xfId="4" applyNumberFormat="1" applyFont="1" applyFill="1" applyAlignment="1">
      <alignment horizontal="right"/>
    </xf>
    <xf numFmtId="43" fontId="287" fillId="119" borderId="71" xfId="6" applyFont="1" applyFill="1" applyBorder="1" applyAlignment="1">
      <alignment horizontal="right"/>
    </xf>
    <xf numFmtId="171" fontId="288" fillId="119" borderId="0" xfId="5" applyNumberFormat="1" applyFont="1" applyFill="1" applyAlignment="1">
      <alignment horizontal="right"/>
    </xf>
    <xf numFmtId="171" fontId="287" fillId="119" borderId="0" xfId="5" applyNumberFormat="1" applyFont="1" applyFill="1" applyAlignment="1">
      <alignment horizontal="right"/>
    </xf>
    <xf numFmtId="171" fontId="290" fillId="119" borderId="10" xfId="4" applyNumberFormat="1" applyFont="1" applyFill="1" applyBorder="1" applyAlignment="1">
      <alignment horizontal="right"/>
    </xf>
    <xf numFmtId="0" fontId="290" fillId="119" borderId="0" xfId="5" applyFont="1" applyFill="1"/>
    <xf numFmtId="167" fontId="290" fillId="119" borderId="0" xfId="5" applyNumberFormat="1" applyFont="1" applyFill="1" applyAlignment="1">
      <alignment horizontal="right"/>
    </xf>
    <xf numFmtId="0" fontId="285" fillId="130" borderId="0" xfId="0" applyFont="1" applyFill="1" applyAlignment="1">
      <alignment horizontal="right"/>
    </xf>
    <xf numFmtId="0" fontId="284" fillId="130" borderId="0" xfId="0" applyFont="1" applyFill="1" applyAlignment="1">
      <alignment horizontal="right"/>
    </xf>
    <xf numFmtId="3" fontId="321" fillId="0" borderId="0" xfId="0" applyNumberFormat="1" applyFont="1" applyAlignment="1">
      <alignment horizontal="right"/>
    </xf>
    <xf numFmtId="3" fontId="322" fillId="0" borderId="0" xfId="0" applyNumberFormat="1" applyFont="1" applyAlignment="1">
      <alignment horizontal="right"/>
    </xf>
    <xf numFmtId="0" fontId="280" fillId="0" borderId="0" xfId="0" applyFont="1" applyAlignment="1">
      <alignment horizontal="center"/>
    </xf>
    <xf numFmtId="175" fontId="281" fillId="127" borderId="0" xfId="0" applyNumberFormat="1" applyFont="1" applyFill="1"/>
    <xf numFmtId="0" fontId="0" fillId="127" borderId="0" xfId="0" applyFill="1"/>
    <xf numFmtId="0" fontId="290" fillId="0" borderId="0" xfId="0" applyFont="1" applyAlignment="1">
      <alignment horizontal="right"/>
    </xf>
    <xf numFmtId="9" fontId="287" fillId="0" borderId="0" xfId="0" applyNumberFormat="1" applyFont="1" applyAlignment="1">
      <alignment horizontal="right"/>
    </xf>
    <xf numFmtId="3" fontId="287" fillId="0" borderId="0" xfId="4" applyNumberFormat="1" applyFont="1" applyAlignment="1">
      <alignment horizontal="center"/>
    </xf>
    <xf numFmtId="0" fontId="280" fillId="0" borderId="71" xfId="0" applyFont="1" applyBorder="1" applyAlignment="1">
      <alignment horizontal="center"/>
    </xf>
    <xf numFmtId="3" fontId="287" fillId="121" borderId="0" xfId="4" applyNumberFormat="1" applyFont="1" applyFill="1" applyAlignment="1">
      <alignment horizontal="center"/>
    </xf>
    <xf numFmtId="176" fontId="287" fillId="121" borderId="0" xfId="4" applyNumberFormat="1" applyFont="1" applyFill="1" applyAlignment="1">
      <alignment horizontal="center"/>
    </xf>
    <xf numFmtId="3" fontId="287" fillId="121" borderId="91" xfId="4" applyNumberFormat="1" applyFont="1" applyFill="1" applyBorder="1" applyAlignment="1">
      <alignment horizontal="center"/>
    </xf>
    <xf numFmtId="3" fontId="287" fillId="0" borderId="24" xfId="4" applyNumberFormat="1" applyFont="1" applyBorder="1" applyAlignment="1">
      <alignment horizontal="center"/>
    </xf>
    <xf numFmtId="3" fontId="287" fillId="121" borderId="24" xfId="4" applyNumberFormat="1" applyFont="1" applyFill="1" applyBorder="1" applyAlignment="1">
      <alignment horizontal="center"/>
    </xf>
    <xf numFmtId="176" fontId="287" fillId="121" borderId="25" xfId="4" applyNumberFormat="1" applyFont="1" applyFill="1" applyBorder="1" applyAlignment="1">
      <alignment horizontal="center"/>
    </xf>
    <xf numFmtId="0" fontId="291" fillId="0" borderId="0" xfId="0" applyFont="1" applyAlignment="1">
      <alignment horizontal="right"/>
    </xf>
    <xf numFmtId="0" fontId="300" fillId="0" borderId="0" xfId="0" applyFont="1"/>
    <xf numFmtId="0" fontId="300" fillId="0" borderId="3" xfId="0" applyFont="1" applyBorder="1"/>
    <xf numFmtId="0" fontId="300" fillId="0" borderId="5" xfId="0" applyFont="1" applyBorder="1"/>
    <xf numFmtId="0" fontId="300" fillId="0" borderId="6" xfId="0" applyFont="1" applyBorder="1" applyAlignment="1">
      <alignment horizontal="center"/>
    </xf>
    <xf numFmtId="0" fontId="300" fillId="0" borderId="7" xfId="0" applyFont="1" applyBorder="1" applyAlignment="1">
      <alignment horizontal="center"/>
    </xf>
    <xf numFmtId="0" fontId="301" fillId="121" borderId="0" xfId="0" applyFont="1" applyFill="1"/>
    <xf numFmtId="3" fontId="325" fillId="121" borderId="0" xfId="4" applyNumberFormat="1" applyFont="1" applyFill="1" applyAlignment="1">
      <alignment horizontal="center"/>
    </xf>
    <xf numFmtId="3" fontId="325" fillId="121" borderId="6" xfId="4" applyNumberFormat="1" applyFont="1" applyFill="1" applyBorder="1" applyAlignment="1">
      <alignment horizontal="center"/>
    </xf>
    <xf numFmtId="3" fontId="325" fillId="121" borderId="7" xfId="4" applyNumberFormat="1" applyFont="1" applyFill="1" applyBorder="1" applyAlignment="1">
      <alignment horizontal="center"/>
    </xf>
    <xf numFmtId="9" fontId="325" fillId="121" borderId="0" xfId="2" applyFont="1" applyFill="1" applyBorder="1" applyAlignment="1">
      <alignment horizontal="center"/>
    </xf>
    <xf numFmtId="9" fontId="325" fillId="121" borderId="7" xfId="2" applyFont="1" applyFill="1" applyBorder="1" applyAlignment="1">
      <alignment horizontal="center"/>
    </xf>
    <xf numFmtId="3" fontId="325" fillId="0" borderId="0" xfId="4" applyNumberFormat="1" applyFont="1" applyAlignment="1">
      <alignment horizontal="center"/>
    </xf>
    <xf numFmtId="3" fontId="325" fillId="0" borderId="6" xfId="4" applyNumberFormat="1" applyFont="1" applyBorder="1" applyAlignment="1">
      <alignment horizontal="center"/>
    </xf>
    <xf numFmtId="3" fontId="325" fillId="0" borderId="7" xfId="4" applyNumberFormat="1" applyFont="1" applyBorder="1" applyAlignment="1">
      <alignment horizontal="center"/>
    </xf>
    <xf numFmtId="9" fontId="325" fillId="0" borderId="0" xfId="2" applyFont="1" applyBorder="1" applyAlignment="1">
      <alignment horizontal="center"/>
    </xf>
    <xf numFmtId="9" fontId="325" fillId="0" borderId="7" xfId="2" applyFont="1" applyBorder="1" applyAlignment="1">
      <alignment horizontal="center"/>
    </xf>
    <xf numFmtId="176" fontId="325" fillId="121" borderId="0" xfId="4" applyNumberFormat="1" applyFont="1" applyFill="1" applyAlignment="1">
      <alignment horizontal="center"/>
    </xf>
    <xf numFmtId="176" fontId="325" fillId="121" borderId="8" xfId="4" applyNumberFormat="1" applyFont="1" applyFill="1" applyBorder="1" applyAlignment="1">
      <alignment horizontal="center"/>
    </xf>
    <xf numFmtId="176" fontId="325" fillId="121" borderId="71" xfId="4" applyNumberFormat="1" applyFont="1" applyFill="1" applyBorder="1" applyAlignment="1">
      <alignment horizontal="center"/>
    </xf>
    <xf numFmtId="176" fontId="325" fillId="121" borderId="92" xfId="4" applyNumberFormat="1" applyFont="1" applyFill="1" applyBorder="1" applyAlignment="1">
      <alignment horizontal="center"/>
    </xf>
    <xf numFmtId="9" fontId="325" fillId="121" borderId="92" xfId="2" applyFont="1" applyFill="1" applyBorder="1" applyAlignment="1">
      <alignment horizontal="center"/>
    </xf>
    <xf numFmtId="169" fontId="0" fillId="0" borderId="21" xfId="2" applyNumberFormat="1" applyFont="1" applyBorder="1"/>
    <xf numFmtId="0" fontId="11" fillId="0" borderId="0" xfId="0" applyFont="1" applyAlignment="1">
      <alignment wrapText="1"/>
    </xf>
    <xf numFmtId="0" fontId="284" fillId="60" borderId="91" xfId="0" applyFont="1" applyFill="1" applyBorder="1" applyAlignment="1">
      <alignment horizontal="center"/>
    </xf>
    <xf numFmtId="0" fontId="284" fillId="60" borderId="93" xfId="0" applyFont="1" applyFill="1" applyBorder="1"/>
    <xf numFmtId="0" fontId="284" fillId="60" borderId="93" xfId="0" applyFont="1" applyFill="1" applyBorder="1" applyAlignment="1">
      <alignment horizontal="center"/>
    </xf>
    <xf numFmtId="0" fontId="284" fillId="60" borderId="94" xfId="0" applyFont="1" applyFill="1" applyBorder="1" applyAlignment="1">
      <alignment horizontal="center"/>
    </xf>
    <xf numFmtId="0" fontId="281" fillId="131" borderId="95" xfId="0" applyFont="1" applyFill="1" applyBorder="1" applyAlignment="1">
      <alignment horizontal="center" vertical="top"/>
    </xf>
    <xf numFmtId="0" fontId="281" fillId="131" borderId="96" xfId="0" applyFont="1" applyFill="1" applyBorder="1" applyAlignment="1">
      <alignment horizontal="center" vertical="top"/>
    </xf>
    <xf numFmtId="0" fontId="281" fillId="0" borderId="6" xfId="0" applyFont="1" applyBorder="1" applyAlignment="1">
      <alignment horizontal="center" vertical="top"/>
    </xf>
    <xf numFmtId="0" fontId="281" fillId="0" borderId="24" xfId="0" applyFont="1" applyBorder="1" applyAlignment="1">
      <alignment horizontal="center" vertical="top"/>
    </xf>
    <xf numFmtId="0" fontId="281" fillId="131" borderId="6" xfId="0" applyFont="1" applyFill="1" applyBorder="1" applyAlignment="1">
      <alignment horizontal="center" vertical="top"/>
    </xf>
    <xf numFmtId="0" fontId="281" fillId="131" borderId="24" xfId="0" applyFont="1" applyFill="1" applyBorder="1" applyAlignment="1">
      <alignment horizontal="center" vertical="top"/>
    </xf>
    <xf numFmtId="0" fontId="281" fillId="131" borderId="6" xfId="0" applyFont="1" applyFill="1" applyBorder="1" applyAlignment="1">
      <alignment horizontal="center" vertical="top" wrapText="1"/>
    </xf>
    <xf numFmtId="0" fontId="281" fillId="131" borderId="24" xfId="0" applyFont="1" applyFill="1" applyBorder="1" applyAlignment="1">
      <alignment horizontal="center" vertical="top" wrapText="1"/>
    </xf>
    <xf numFmtId="0" fontId="281" fillId="0" borderId="8" xfId="0" applyFont="1" applyBorder="1" applyAlignment="1">
      <alignment horizontal="center" vertical="top"/>
    </xf>
    <xf numFmtId="0" fontId="281" fillId="0" borderId="25" xfId="0" applyFont="1" applyBorder="1" applyAlignment="1">
      <alignment horizontal="center" vertical="top"/>
    </xf>
    <xf numFmtId="0" fontId="281" fillId="131" borderId="95" xfId="0" applyFont="1" applyFill="1" applyBorder="1" applyAlignment="1">
      <alignment vertical="top"/>
    </xf>
    <xf numFmtId="0" fontId="281" fillId="0" borderId="6" xfId="0" applyFont="1" applyBorder="1" applyAlignment="1">
      <alignment vertical="top"/>
    </xf>
    <xf numFmtId="0" fontId="281" fillId="131" borderId="6" xfId="0" applyFont="1" applyFill="1" applyBorder="1" applyAlignment="1">
      <alignment vertical="top"/>
    </xf>
    <xf numFmtId="0" fontId="281" fillId="131" borderId="6" xfId="0" applyFont="1" applyFill="1" applyBorder="1" applyAlignment="1">
      <alignment vertical="top" wrapText="1"/>
    </xf>
    <xf numFmtId="0" fontId="281" fillId="0" borderId="8" xfId="0" applyFont="1" applyBorder="1" applyAlignment="1">
      <alignment vertical="top"/>
    </xf>
    <xf numFmtId="2" fontId="287" fillId="0" borderId="0" xfId="0" applyNumberFormat="1" applyFont="1" applyAlignment="1">
      <alignment horizontal="right"/>
    </xf>
    <xf numFmtId="169" fontId="287" fillId="0" borderId="0" xfId="2" applyNumberFormat="1" applyFont="1" applyAlignment="1">
      <alignment horizontal="right"/>
    </xf>
    <xf numFmtId="1" fontId="287" fillId="0" borderId="0" xfId="0" applyNumberFormat="1" applyFont="1" applyAlignment="1">
      <alignment horizontal="right"/>
    </xf>
    <xf numFmtId="0" fontId="0" fillId="0" borderId="83" xfId="0" applyBorder="1"/>
    <xf numFmtId="0" fontId="280" fillId="0" borderId="40" xfId="0" applyFont="1" applyBorder="1" applyAlignment="1">
      <alignment horizontal="center" wrapText="1"/>
    </xf>
    <xf numFmtId="0" fontId="280" fillId="0" borderId="40" xfId="0" applyFont="1" applyBorder="1" applyAlignment="1">
      <alignment horizontal="center"/>
    </xf>
    <xf numFmtId="0" fontId="323" fillId="0" borderId="40" xfId="0" applyFont="1" applyBorder="1" applyAlignment="1">
      <alignment wrapText="1"/>
    </xf>
    <xf numFmtId="0" fontId="280" fillId="0" borderId="40" xfId="0" applyFont="1" applyBorder="1" applyAlignment="1">
      <alignment wrapText="1"/>
    </xf>
    <xf numFmtId="0" fontId="280" fillId="0" borderId="84" xfId="0" applyFont="1" applyBorder="1" applyAlignment="1">
      <alignment wrapText="1"/>
    </xf>
    <xf numFmtId="0" fontId="0" fillId="0" borderId="87" xfId="0" applyBorder="1"/>
    <xf numFmtId="0" fontId="280" fillId="0" borderId="0" xfId="0" applyFont="1" applyAlignment="1">
      <alignment horizontal="center" wrapText="1"/>
    </xf>
    <xf numFmtId="0" fontId="280" fillId="0" borderId="6" xfId="0" applyFont="1" applyBorder="1" applyAlignment="1">
      <alignment horizontal="center" wrapText="1"/>
    </xf>
    <xf numFmtId="0" fontId="280" fillId="0" borderId="7" xfId="0" applyFont="1" applyBorder="1" applyAlignment="1">
      <alignment horizontal="center" wrapText="1"/>
    </xf>
    <xf numFmtId="0" fontId="323" fillId="0" borderId="0" xfId="0" applyFont="1" applyAlignment="1">
      <alignment wrapText="1"/>
    </xf>
    <xf numFmtId="0" fontId="280" fillId="0" borderId="0" xfId="0" applyFont="1" applyAlignment="1">
      <alignment wrapText="1"/>
    </xf>
    <xf numFmtId="0" fontId="280" fillId="0" borderId="42" xfId="0" applyFont="1" applyBorder="1" applyAlignment="1">
      <alignment wrapText="1"/>
    </xf>
    <xf numFmtId="0" fontId="280" fillId="0" borderId="85" xfId="0" applyFont="1" applyBorder="1" applyAlignment="1">
      <alignment wrapText="1"/>
    </xf>
    <xf numFmtId="0" fontId="280" fillId="0" borderId="12" xfId="0" applyFont="1" applyBorder="1" applyAlignment="1">
      <alignment horizontal="center" wrapText="1"/>
    </xf>
    <xf numFmtId="0" fontId="280" fillId="0" borderId="12" xfId="0" applyFont="1" applyBorder="1" applyAlignment="1">
      <alignment horizontal="center"/>
    </xf>
    <xf numFmtId="0" fontId="280" fillId="0" borderId="76" xfId="0" applyFont="1" applyBorder="1" applyAlignment="1">
      <alignment horizontal="center" wrapText="1"/>
    </xf>
    <xf numFmtId="0" fontId="280" fillId="0" borderId="88" xfId="0" applyFont="1" applyBorder="1" applyAlignment="1">
      <alignment horizontal="center" wrapText="1"/>
    </xf>
    <xf numFmtId="0" fontId="323" fillId="0" borderId="12" xfId="0" applyFont="1" applyBorder="1" applyAlignment="1">
      <alignment wrapText="1"/>
    </xf>
    <xf numFmtId="0" fontId="280" fillId="0" borderId="12" xfId="0" applyFont="1" applyBorder="1" applyAlignment="1">
      <alignment wrapText="1"/>
    </xf>
    <xf numFmtId="0" fontId="280" fillId="0" borderId="86" xfId="0" applyFont="1" applyBorder="1" applyAlignment="1">
      <alignment wrapText="1"/>
    </xf>
    <xf numFmtId="0" fontId="281" fillId="0" borderId="87" xfId="0" applyFont="1" applyBorder="1"/>
    <xf numFmtId="3" fontId="281" fillId="0" borderId="0" xfId="1" applyNumberFormat="1" applyFont="1" applyFill="1" applyBorder="1" applyAlignment="1">
      <alignment horizontal="center"/>
    </xf>
    <xf numFmtId="10" fontId="281" fillId="0" borderId="0" xfId="2" applyNumberFormat="1" applyFont="1" applyFill="1" applyBorder="1" applyAlignment="1">
      <alignment horizontal="center"/>
    </xf>
    <xf numFmtId="3" fontId="281" fillId="0" borderId="0" xfId="0" applyNumberFormat="1" applyFont="1" applyAlignment="1">
      <alignment horizontal="center"/>
    </xf>
    <xf numFmtId="3" fontId="281" fillId="0" borderId="6" xfId="0" applyNumberFormat="1" applyFont="1" applyBorder="1" applyAlignment="1">
      <alignment horizontal="center"/>
    </xf>
    <xf numFmtId="3" fontId="281" fillId="0" borderId="7" xfId="0" applyNumberFormat="1" applyFont="1" applyBorder="1" applyAlignment="1">
      <alignment horizontal="center"/>
    </xf>
    <xf numFmtId="0" fontId="324" fillId="0" borderId="0" xfId="0" applyFont="1"/>
    <xf numFmtId="0" fontId="281" fillId="0" borderId="42" xfId="0" applyFont="1" applyBorder="1"/>
    <xf numFmtId="0" fontId="281" fillId="0" borderId="87" xfId="0" applyFont="1" applyBorder="1" applyAlignment="1">
      <alignment horizontal="left" indent="1"/>
    </xf>
    <xf numFmtId="176" fontId="281" fillId="0" borderId="0" xfId="1" applyNumberFormat="1" applyFont="1" applyFill="1" applyBorder="1" applyAlignment="1">
      <alignment horizontal="center"/>
    </xf>
    <xf numFmtId="3" fontId="281" fillId="0" borderId="7" xfId="1" applyNumberFormat="1" applyFont="1" applyFill="1" applyBorder="1" applyAlignment="1">
      <alignment horizontal="center"/>
    </xf>
    <xf numFmtId="0" fontId="281" fillId="0" borderId="87" xfId="0" applyFont="1" applyBorder="1" applyAlignment="1">
      <alignment horizontal="left"/>
    </xf>
    <xf numFmtId="10" fontId="281" fillId="0" borderId="0" xfId="0" applyNumberFormat="1" applyFont="1" applyAlignment="1">
      <alignment horizontal="center"/>
    </xf>
    <xf numFmtId="0" fontId="281" fillId="0" borderId="85" xfId="0" applyFont="1" applyBorder="1" applyAlignment="1">
      <alignment wrapText="1"/>
    </xf>
    <xf numFmtId="3" fontId="281" fillId="0" borderId="12" xfId="0" applyNumberFormat="1" applyFont="1" applyBorder="1" applyAlignment="1">
      <alignment horizontal="center" wrapText="1"/>
    </xf>
    <xf numFmtId="0" fontId="281" fillId="0" borderId="12" xfId="0" applyFont="1" applyBorder="1" applyAlignment="1">
      <alignment horizontal="center" wrapText="1"/>
    </xf>
    <xf numFmtId="3" fontId="281" fillId="0" borderId="12" xfId="1" applyNumberFormat="1" applyFont="1" applyFill="1" applyBorder="1" applyAlignment="1">
      <alignment horizontal="center" wrapText="1"/>
    </xf>
    <xf numFmtId="3" fontId="281" fillId="0" borderId="76" xfId="0" applyNumberFormat="1" applyFont="1" applyBorder="1" applyAlignment="1">
      <alignment horizontal="center" wrapText="1"/>
    </xf>
    <xf numFmtId="3" fontId="281" fillId="0" borderId="88" xfId="0" applyNumberFormat="1" applyFont="1" applyBorder="1" applyAlignment="1">
      <alignment horizontal="center" wrapText="1"/>
    </xf>
    <xf numFmtId="0" fontId="324" fillId="0" borderId="12" xfId="0" applyFont="1" applyBorder="1" applyAlignment="1">
      <alignment wrapText="1"/>
    </xf>
    <xf numFmtId="0" fontId="281" fillId="0" borderId="12" xfId="0" applyFont="1" applyBorder="1" applyAlignment="1">
      <alignment wrapText="1"/>
    </xf>
    <xf numFmtId="0" fontId="281" fillId="0" borderId="86" xfId="0" applyFont="1" applyBorder="1" applyAlignment="1">
      <alignment wrapText="1"/>
    </xf>
    <xf numFmtId="2" fontId="281" fillId="0" borderId="0" xfId="0" applyNumberFormat="1" applyFont="1"/>
    <xf numFmtId="169" fontId="280" fillId="0" borderId="0" xfId="0" applyNumberFormat="1" applyFont="1" applyAlignment="1">
      <alignment horizontal="right"/>
    </xf>
    <xf numFmtId="1" fontId="326" fillId="0" borderId="0" xfId="0" applyNumberFormat="1" applyFont="1"/>
    <xf numFmtId="1" fontId="281" fillId="127" borderId="0" xfId="0" applyNumberFormat="1" applyFont="1" applyFill="1" applyAlignment="1">
      <alignment horizontal="right"/>
    </xf>
    <xf numFmtId="3" fontId="280" fillId="0" borderId="0" xfId="0" applyNumberFormat="1" applyFont="1" applyAlignment="1">
      <alignment horizontal="right"/>
    </xf>
    <xf numFmtId="1" fontId="280" fillId="127" borderId="0" xfId="0" applyNumberFormat="1" applyFont="1" applyFill="1" applyAlignment="1">
      <alignment horizontal="right"/>
    </xf>
    <xf numFmtId="3" fontId="327" fillId="0" borderId="0" xfId="0" applyNumberFormat="1" applyFont="1" applyAlignment="1">
      <alignment horizontal="right"/>
    </xf>
    <xf numFmtId="0" fontId="311" fillId="0" borderId="94" xfId="0" applyFont="1" applyBorder="1"/>
    <xf numFmtId="0" fontId="312" fillId="0" borderId="94" xfId="0" applyFont="1" applyBorder="1" applyAlignment="1">
      <alignment horizontal="right"/>
    </xf>
    <xf numFmtId="0" fontId="311" fillId="0" borderId="12" xfId="0" applyFont="1" applyBorder="1"/>
    <xf numFmtId="0" fontId="311" fillId="0" borderId="12" xfId="0" applyFont="1" applyBorder="1" applyAlignment="1">
      <alignment horizontal="right"/>
    </xf>
    <xf numFmtId="0" fontId="281" fillId="0" borderId="94" xfId="0" applyFont="1" applyBorder="1"/>
    <xf numFmtId="3" fontId="281" fillId="0" borderId="94" xfId="0" applyNumberFormat="1" applyFont="1" applyBorder="1"/>
    <xf numFmtId="1" fontId="288" fillId="0" borderId="0" xfId="0" applyNumberFormat="1" applyFont="1"/>
    <xf numFmtId="169" fontId="327" fillId="0" borderId="0" xfId="0" applyNumberFormat="1" applyFont="1" applyAlignment="1">
      <alignment horizontal="right"/>
    </xf>
    <xf numFmtId="175" fontId="280" fillId="0" borderId="0" xfId="0" applyNumberFormat="1" applyFont="1"/>
    <xf numFmtId="2" fontId="280" fillId="0" borderId="0" xfId="0" applyNumberFormat="1" applyFont="1"/>
    <xf numFmtId="349" fontId="0" fillId="0" borderId="0" xfId="0" applyNumberFormat="1"/>
    <xf numFmtId="349" fontId="281" fillId="0" borderId="0" xfId="0" applyNumberFormat="1" applyFont="1"/>
    <xf numFmtId="3" fontId="301" fillId="0" borderId="0" xfId="0" applyNumberFormat="1" applyFont="1" applyAlignment="1">
      <alignment horizontal="center"/>
    </xf>
    <xf numFmtId="0" fontId="300" fillId="0" borderId="1" xfId="0" applyFont="1" applyBorder="1" applyAlignment="1">
      <alignment horizontal="center"/>
    </xf>
    <xf numFmtId="0" fontId="301" fillId="121" borderId="0" xfId="0" applyFont="1" applyFill="1" applyAlignment="1">
      <alignment horizontal="center"/>
    </xf>
    <xf numFmtId="3" fontId="301" fillId="121" borderId="0" xfId="0" applyNumberFormat="1" applyFont="1" applyFill="1" applyAlignment="1">
      <alignment horizontal="center"/>
    </xf>
    <xf numFmtId="175" fontId="301" fillId="121" borderId="0" xfId="0" applyNumberFormat="1" applyFont="1" applyFill="1" applyAlignment="1">
      <alignment horizontal="center"/>
    </xf>
    <xf numFmtId="180" fontId="287" fillId="0" borderId="0" xfId="0" applyNumberFormat="1" applyFont="1" applyAlignment="1">
      <alignment horizontal="right"/>
    </xf>
    <xf numFmtId="0" fontId="290" fillId="0" borderId="1" xfId="2389" applyFont="1" applyBorder="1"/>
    <xf numFmtId="0" fontId="287" fillId="132" borderId="0" xfId="2389" applyFont="1" applyFill="1"/>
    <xf numFmtId="3" fontId="287" fillId="133" borderId="0" xfId="2390" applyNumberFormat="1" applyFont="1" applyFill="1" applyBorder="1"/>
    <xf numFmtId="0" fontId="290" fillId="132" borderId="94" xfId="1514" applyFont="1" applyFill="1" applyBorder="1"/>
    <xf numFmtId="168" fontId="290" fillId="133" borderId="94" xfId="2390" applyNumberFormat="1" applyFont="1" applyFill="1" applyBorder="1"/>
    <xf numFmtId="0" fontId="290" fillId="132" borderId="0" xfId="1514" applyFont="1" applyFill="1"/>
    <xf numFmtId="0" fontId="287" fillId="132" borderId="94" xfId="2389" applyFont="1" applyFill="1" applyBorder="1"/>
    <xf numFmtId="168" fontId="287" fillId="133" borderId="94" xfId="2390" applyNumberFormat="1" applyFont="1" applyFill="1" applyBorder="1"/>
    <xf numFmtId="168" fontId="287" fillId="133" borderId="0" xfId="2390" applyNumberFormat="1" applyFont="1" applyFill="1" applyBorder="1"/>
    <xf numFmtId="0" fontId="290" fillId="132" borderId="94" xfId="2389" applyFont="1" applyFill="1" applyBorder="1"/>
    <xf numFmtId="168" fontId="291" fillId="133" borderId="0" xfId="2390" applyNumberFormat="1" applyFont="1" applyFill="1" applyBorder="1"/>
    <xf numFmtId="0" fontId="290" fillId="121" borderId="2" xfId="0" applyFont="1" applyFill="1" applyBorder="1"/>
    <xf numFmtId="0" fontId="290" fillId="121" borderId="2" xfId="0" applyFont="1" applyFill="1" applyBorder="1" applyAlignment="1">
      <alignment horizontal="right"/>
    </xf>
    <xf numFmtId="259" fontId="4" fillId="0" borderId="21" xfId="0" applyNumberFormat="1" applyFont="1" applyBorder="1"/>
    <xf numFmtId="10" fontId="288" fillId="0" borderId="0" xfId="0" applyNumberFormat="1" applyFont="1"/>
    <xf numFmtId="171" fontId="287" fillId="0" borderId="0" xfId="4" applyNumberFormat="1" applyFont="1" applyAlignment="1">
      <alignment horizontal="left"/>
    </xf>
    <xf numFmtId="353" fontId="281" fillId="0" borderId="0" xfId="6" applyNumberFormat="1" applyFont="1" applyFill="1" applyAlignment="1">
      <alignment horizontal="right"/>
    </xf>
    <xf numFmtId="171" fontId="287" fillId="2" borderId="0" xfId="4" applyNumberFormat="1" applyFont="1" applyFill="1"/>
    <xf numFmtId="168" fontId="281" fillId="0" borderId="0" xfId="4" applyNumberFormat="1" applyFont="1" applyAlignment="1">
      <alignment horizontal="left"/>
    </xf>
    <xf numFmtId="177" fontId="287" fillId="0" borderId="4" xfId="16" applyNumberFormat="1" applyFont="1" applyFill="1" applyBorder="1">
      <alignment horizontal="right"/>
    </xf>
    <xf numFmtId="3" fontId="287" fillId="0" borderId="94" xfId="0" applyNumberFormat="1" applyFont="1" applyBorder="1" applyAlignment="1">
      <alignment horizontal="right"/>
    </xf>
    <xf numFmtId="1" fontId="281" fillId="0" borderId="94" xfId="0" applyNumberFormat="1" applyFont="1" applyBorder="1"/>
    <xf numFmtId="9" fontId="281" fillId="2" borderId="0" xfId="2" applyFont="1" applyFill="1"/>
    <xf numFmtId="0" fontId="280" fillId="0" borderId="1" xfId="0" applyFont="1" applyBorder="1"/>
    <xf numFmtId="0" fontId="280" fillId="0" borderId="1" xfId="0" applyFont="1" applyBorder="1" applyAlignment="1">
      <alignment horizontal="right"/>
    </xf>
    <xf numFmtId="0" fontId="280" fillId="0" borderId="94" xfId="0" applyFont="1" applyBorder="1"/>
    <xf numFmtId="171" fontId="280" fillId="0" borderId="94" xfId="0" applyNumberFormat="1" applyFont="1" applyBorder="1"/>
    <xf numFmtId="168" fontId="281" fillId="2" borderId="0" xfId="4" applyNumberFormat="1" applyFont="1" applyFill="1" applyAlignment="1">
      <alignment horizontal="right"/>
    </xf>
    <xf numFmtId="168" fontId="281" fillId="53" borderId="0" xfId="4" applyNumberFormat="1" applyFont="1" applyFill="1" applyAlignment="1">
      <alignment horizontal="right"/>
    </xf>
    <xf numFmtId="168" fontId="287" fillId="53" borderId="0" xfId="1" applyNumberFormat="1" applyFont="1" applyFill="1" applyAlignment="1">
      <alignment horizontal="right"/>
    </xf>
    <xf numFmtId="3" fontId="287" fillId="0" borderId="0" xfId="4" applyNumberFormat="1" applyFont="1"/>
    <xf numFmtId="3" fontId="288" fillId="0" borderId="0" xfId="4" applyNumberFormat="1" applyFont="1"/>
    <xf numFmtId="3" fontId="287" fillId="2" borderId="0" xfId="4" applyNumberFormat="1" applyFont="1" applyFill="1"/>
    <xf numFmtId="3" fontId="280" fillId="0" borderId="94" xfId="0" applyNumberFormat="1" applyFont="1" applyBorder="1"/>
    <xf numFmtId="0" fontId="300" fillId="0" borderId="1" xfId="0" applyFont="1" applyBorder="1" applyAlignment="1">
      <alignment horizontal="left" vertical="center"/>
    </xf>
    <xf numFmtId="0" fontId="300" fillId="0" borderId="1" xfId="0" applyFont="1" applyBorder="1" applyAlignment="1">
      <alignment horizontal="center" vertical="center"/>
    </xf>
    <xf numFmtId="0" fontId="287" fillId="0" borderId="93" xfId="5" applyFont="1" applyBorder="1"/>
    <xf numFmtId="43" fontId="281" fillId="0" borderId="94" xfId="6" applyFont="1" applyBorder="1" applyAlignment="1">
      <alignment horizontal="right"/>
    </xf>
    <xf numFmtId="174" fontId="287" fillId="0" borderId="94" xfId="4" applyNumberFormat="1" applyFont="1" applyBorder="1" applyAlignment="1">
      <alignment horizontal="right"/>
    </xf>
    <xf numFmtId="174" fontId="287" fillId="0" borderId="97" xfId="4" applyNumberFormat="1" applyFont="1" applyBorder="1" applyAlignment="1">
      <alignment horizontal="right"/>
    </xf>
    <xf numFmtId="174" fontId="287" fillId="0" borderId="92" xfId="4" applyNumberFormat="1" applyFont="1" applyBorder="1" applyAlignment="1">
      <alignment horizontal="right"/>
    </xf>
    <xf numFmtId="172" fontId="287" fillId="0" borderId="0" xfId="4" applyNumberFormat="1" applyFont="1" applyAlignment="1">
      <alignment horizontal="right"/>
    </xf>
    <xf numFmtId="172" fontId="287" fillId="0" borderId="0" xfId="4" applyNumberFormat="1" applyFont="1"/>
    <xf numFmtId="172" fontId="287" fillId="2" borderId="0" xfId="4" applyNumberFormat="1" applyFont="1" applyFill="1" applyAlignment="1">
      <alignment horizontal="right"/>
    </xf>
    <xf numFmtId="172" fontId="289" fillId="0" borderId="4" xfId="4" applyNumberFormat="1" applyFont="1" applyBorder="1" applyAlignment="1">
      <alignment horizontal="right"/>
    </xf>
    <xf numFmtId="172" fontId="290" fillId="0" borderId="4" xfId="4" applyNumberFormat="1" applyFont="1" applyBorder="1" applyAlignment="1">
      <alignment horizontal="right"/>
    </xf>
    <xf numFmtId="172" fontId="292" fillId="0" borderId="0" xfId="5" applyNumberFormat="1" applyFont="1" applyAlignment="1">
      <alignment horizontal="right"/>
    </xf>
    <xf numFmtId="172" fontId="287" fillId="0" borderId="0" xfId="5" applyNumberFormat="1" applyFont="1" applyAlignment="1">
      <alignment horizontal="right"/>
    </xf>
    <xf numFmtId="172" fontId="281" fillId="0" borderId="0" xfId="4" applyNumberFormat="1" applyFont="1" applyAlignment="1">
      <alignment horizontal="right"/>
    </xf>
    <xf numFmtId="0" fontId="290" fillId="0" borderId="94" xfId="5" applyFont="1" applyBorder="1"/>
    <xf numFmtId="172" fontId="290" fillId="0" borderId="94" xfId="4" applyNumberFormat="1" applyFont="1" applyBorder="1" applyAlignment="1">
      <alignment horizontal="right"/>
    </xf>
    <xf numFmtId="0" fontId="290" fillId="0" borderId="81" xfId="4" applyFont="1" applyBorder="1"/>
    <xf numFmtId="172" fontId="290" fillId="0" borderId="81" xfId="4" applyNumberFormat="1" applyFont="1" applyBorder="1" applyAlignment="1">
      <alignment horizontal="right"/>
    </xf>
    <xf numFmtId="349" fontId="287" fillId="133" borderId="0" xfId="2390" applyNumberFormat="1" applyFont="1" applyFill="1" applyBorder="1"/>
    <xf numFmtId="168" fontId="281" fillId="30" borderId="0" xfId="474" applyNumberFormat="1" applyFont="1" applyFill="1"/>
    <xf numFmtId="9" fontId="281" fillId="30" borderId="0" xfId="478" applyFont="1" applyFill="1"/>
    <xf numFmtId="168" fontId="280" fillId="30" borderId="0" xfId="474" applyNumberFormat="1" applyFont="1" applyFill="1"/>
    <xf numFmtId="345" fontId="281" fillId="30" borderId="0" xfId="474" applyNumberFormat="1" applyFont="1" applyFill="1"/>
    <xf numFmtId="192" fontId="281" fillId="30" borderId="0" xfId="474" applyNumberFormat="1" applyFont="1" applyFill="1"/>
    <xf numFmtId="0" fontId="306" fillId="109" borderId="81" xfId="4" applyFont="1" applyFill="1" applyBorder="1" applyAlignment="1">
      <alignment vertical="center"/>
    </xf>
    <xf numFmtId="0" fontId="305" fillId="109" borderId="81" xfId="4" applyFont="1" applyFill="1" applyBorder="1"/>
    <xf numFmtId="0" fontId="287" fillId="4" borderId="0" xfId="2389" applyFont="1" applyFill="1"/>
    <xf numFmtId="3" fontId="287" fillId="30" borderId="0" xfId="2389" applyNumberFormat="1" applyFont="1" applyFill="1"/>
    <xf numFmtId="4" fontId="287" fillId="30" borderId="0" xfId="2389" applyNumberFormat="1" applyFont="1" applyFill="1"/>
    <xf numFmtId="0" fontId="287" fillId="0" borderId="0" xfId="2389" applyFont="1"/>
    <xf numFmtId="1" fontId="287" fillId="0" borderId="0" xfId="2389" applyNumberFormat="1" applyFont="1"/>
    <xf numFmtId="0" fontId="287" fillId="30" borderId="0" xfId="2389" applyFont="1" applyFill="1"/>
    <xf numFmtId="1" fontId="287" fillId="30" borderId="0" xfId="2389" applyNumberFormat="1" applyFont="1" applyFill="1"/>
    <xf numFmtId="3" fontId="288" fillId="30" borderId="0" xfId="2389" applyNumberFormat="1" applyFont="1" applyFill="1"/>
    <xf numFmtId="3" fontId="291" fillId="30" borderId="0" xfId="2389" applyNumberFormat="1" applyFont="1" applyFill="1"/>
    <xf numFmtId="1" fontId="287" fillId="30" borderId="0" xfId="2390" applyNumberFormat="1" applyFont="1" applyFill="1"/>
    <xf numFmtId="168" fontId="287" fillId="30" borderId="0" xfId="2390" applyNumberFormat="1" applyFont="1" applyFill="1"/>
    <xf numFmtId="168" fontId="287" fillId="30" borderId="0" xfId="2390" applyNumberFormat="1" applyFont="1" applyFill="1" applyAlignment="1">
      <alignment horizontal="center"/>
    </xf>
    <xf numFmtId="0" fontId="287" fillId="0" borderId="0" xfId="2391" applyFont="1"/>
    <xf numFmtId="0" fontId="287" fillId="30" borderId="0" xfId="2391" applyFont="1" applyFill="1"/>
    <xf numFmtId="0" fontId="290" fillId="0" borderId="0" xfId="2391" applyFont="1" applyAlignment="1">
      <alignment horizontal="left"/>
    </xf>
    <xf numFmtId="168" fontId="287" fillId="0" borderId="0" xfId="2389" applyNumberFormat="1" applyFont="1"/>
    <xf numFmtId="0" fontId="290" fillId="4" borderId="0" xfId="2389" applyFont="1" applyFill="1"/>
    <xf numFmtId="0" fontId="290" fillId="30" borderId="0" xfId="2389" applyFont="1" applyFill="1"/>
    <xf numFmtId="3" fontId="287" fillId="30" borderId="0" xfId="2389" applyNumberFormat="1" applyFont="1" applyFill="1" applyAlignment="1">
      <alignment horizontal="center"/>
    </xf>
    <xf numFmtId="3" fontId="290" fillId="30" borderId="0" xfId="2389" applyNumberFormat="1" applyFont="1" applyFill="1" applyAlignment="1">
      <alignment horizontal="center"/>
    </xf>
    <xf numFmtId="3" fontId="287" fillId="30" borderId="0" xfId="2390" applyNumberFormat="1" applyFont="1" applyFill="1" applyAlignment="1">
      <alignment horizontal="center"/>
    </xf>
    <xf numFmtId="1" fontId="290" fillId="30" borderId="0" xfId="2389" applyNumberFormat="1" applyFont="1" applyFill="1"/>
    <xf numFmtId="2" fontId="287" fillId="30" borderId="0" xfId="2389" applyNumberFormat="1" applyFont="1" applyFill="1"/>
    <xf numFmtId="168" fontId="290" fillId="30" borderId="0" xfId="2390" applyNumberFormat="1" applyFont="1" applyFill="1"/>
    <xf numFmtId="3" fontId="290" fillId="30" borderId="0" xfId="2389" applyNumberFormat="1" applyFont="1" applyFill="1"/>
    <xf numFmtId="168" fontId="287" fillId="30" borderId="0" xfId="2390" applyNumberFormat="1" applyFont="1" applyFill="1" applyBorder="1"/>
    <xf numFmtId="0" fontId="290" fillId="0" borderId="0" xfId="2389" applyFont="1"/>
    <xf numFmtId="168" fontId="287" fillId="30" borderId="0" xfId="2389" applyNumberFormat="1" applyFont="1" applyFill="1"/>
    <xf numFmtId="3" fontId="288" fillId="30" borderId="0" xfId="2389" applyNumberFormat="1" applyFont="1" applyFill="1" applyAlignment="1">
      <alignment horizontal="center"/>
    </xf>
    <xf numFmtId="0" fontId="287" fillId="30" borderId="0" xfId="14" applyFont="1" applyFill="1"/>
    <xf numFmtId="0" fontId="287" fillId="30" borderId="0" xfId="2392" applyFont="1" applyFill="1"/>
    <xf numFmtId="168" fontId="287" fillId="0" borderId="0" xfId="2390" applyNumberFormat="1" applyFont="1" applyFill="1"/>
    <xf numFmtId="0" fontId="290" fillId="0" borderId="1" xfId="14" applyFont="1" applyBorder="1"/>
    <xf numFmtId="0" fontId="290" fillId="0" borderId="0" xfId="14" applyFont="1"/>
    <xf numFmtId="0" fontId="287" fillId="0" borderId="0" xfId="14" applyFont="1"/>
    <xf numFmtId="0" fontId="290" fillId="30" borderId="0" xfId="14" applyFont="1" applyFill="1"/>
    <xf numFmtId="0" fontId="290" fillId="30" borderId="0" xfId="451" applyFont="1" applyFill="1"/>
    <xf numFmtId="168" fontId="287" fillId="30" borderId="0" xfId="474" applyNumberFormat="1" applyFont="1" applyFill="1"/>
    <xf numFmtId="0" fontId="287" fillId="30" borderId="0" xfId="451" applyFont="1" applyFill="1"/>
    <xf numFmtId="2" fontId="287" fillId="30" borderId="0" xfId="451" applyNumberFormat="1" applyFont="1" applyFill="1"/>
    <xf numFmtId="9" fontId="287" fillId="30" borderId="0" xfId="474" applyNumberFormat="1" applyFont="1" applyFill="1"/>
    <xf numFmtId="259" fontId="287" fillId="30" borderId="0" xfId="474" applyNumberFormat="1" applyFont="1" applyFill="1"/>
    <xf numFmtId="2" fontId="290" fillId="30" borderId="0" xfId="451" applyNumberFormat="1" applyFont="1" applyFill="1"/>
    <xf numFmtId="169" fontId="287" fillId="0" borderId="0" xfId="2" applyNumberFormat="1" applyFont="1" applyFill="1" applyAlignment="1">
      <alignment horizontal="right"/>
    </xf>
    <xf numFmtId="0" fontId="280" fillId="0" borderId="94" xfId="0" applyFont="1" applyBorder="1" applyAlignment="1">
      <alignment horizontal="right"/>
    </xf>
    <xf numFmtId="3" fontId="280" fillId="0" borderId="94" xfId="0" applyNumberFormat="1" applyFont="1" applyBorder="1" applyAlignment="1">
      <alignment horizontal="right"/>
    </xf>
    <xf numFmtId="354" fontId="281" fillId="0" borderId="0" xfId="0" applyNumberFormat="1" applyFont="1"/>
    <xf numFmtId="349" fontId="287" fillId="0" borderId="0" xfId="0" applyNumberFormat="1" applyFont="1"/>
    <xf numFmtId="3" fontId="287" fillId="0" borderId="0" xfId="0" applyNumberFormat="1" applyFont="1" applyAlignment="1">
      <alignment horizontal="left"/>
    </xf>
    <xf numFmtId="9" fontId="0" fillId="2" borderId="0" xfId="0" applyNumberFormat="1" applyFill="1"/>
    <xf numFmtId="349" fontId="287" fillId="30" borderId="0" xfId="2389" applyNumberFormat="1" applyFont="1" applyFill="1"/>
    <xf numFmtId="0" fontId="11" fillId="2" borderId="0" xfId="0" applyFont="1" applyFill="1"/>
    <xf numFmtId="1" fontId="11" fillId="2" borderId="0" xfId="0" applyNumberFormat="1" applyFont="1" applyFill="1"/>
    <xf numFmtId="1" fontId="11" fillId="0" borderId="0" xfId="0" applyNumberFormat="1" applyFont="1"/>
    <xf numFmtId="168" fontId="280" fillId="2" borderId="0" xfId="1" applyNumberFormat="1" applyFont="1" applyFill="1"/>
    <xf numFmtId="0" fontId="291" fillId="119" borderId="0" xfId="0" applyFont="1" applyFill="1" applyAlignment="1">
      <alignment horizontal="left"/>
    </xf>
    <xf numFmtId="0" fontId="281" fillId="119" borderId="0" xfId="0" applyFont="1" applyFill="1" applyAlignment="1">
      <alignment horizontal="right"/>
    </xf>
    <xf numFmtId="3" fontId="288" fillId="119" borderId="0" xfId="0" applyNumberFormat="1" applyFont="1" applyFill="1" applyAlignment="1">
      <alignment horizontal="right"/>
    </xf>
    <xf numFmtId="2" fontId="281" fillId="119" borderId="0" xfId="0" applyNumberFormat="1" applyFont="1" applyFill="1" applyAlignment="1">
      <alignment horizontal="right"/>
    </xf>
    <xf numFmtId="0" fontId="0" fillId="119" borderId="0" xfId="0" applyFill="1"/>
    <xf numFmtId="3" fontId="281" fillId="119" borderId="0" xfId="0" applyNumberFormat="1" applyFont="1" applyFill="1" applyAlignment="1">
      <alignment horizontal="right"/>
    </xf>
    <xf numFmtId="169" fontId="281" fillId="119" borderId="0" xfId="0" applyNumberFormat="1" applyFont="1" applyFill="1" applyAlignment="1">
      <alignment horizontal="right"/>
    </xf>
    <xf numFmtId="9" fontId="281" fillId="119" borderId="0" xfId="0" applyNumberFormat="1" applyFont="1" applyFill="1" applyAlignment="1">
      <alignment horizontal="right"/>
    </xf>
    <xf numFmtId="169" fontId="281" fillId="119" borderId="0" xfId="2" applyNumberFormat="1" applyFont="1" applyFill="1" applyAlignment="1">
      <alignment horizontal="right"/>
    </xf>
    <xf numFmtId="1" fontId="281" fillId="119" borderId="0" xfId="0" applyNumberFormat="1" applyFont="1" applyFill="1" applyAlignment="1">
      <alignment horizontal="right"/>
    </xf>
    <xf numFmtId="2" fontId="287" fillId="119" borderId="0" xfId="0" applyNumberFormat="1" applyFont="1" applyFill="1" applyAlignment="1">
      <alignment horizontal="right"/>
    </xf>
    <xf numFmtId="169" fontId="281" fillId="119" borderId="0" xfId="0" applyNumberFormat="1" applyFont="1" applyFill="1"/>
    <xf numFmtId="169" fontId="287" fillId="119" borderId="0" xfId="0" applyNumberFormat="1" applyFont="1" applyFill="1" applyAlignment="1">
      <alignment horizontal="right"/>
    </xf>
    <xf numFmtId="3" fontId="281" fillId="119" borderId="0" xfId="0" applyNumberFormat="1" applyFont="1" applyFill="1"/>
    <xf numFmtId="9" fontId="281" fillId="119" borderId="0" xfId="0" applyNumberFormat="1" applyFont="1" applyFill="1"/>
    <xf numFmtId="0" fontId="281" fillId="119" borderId="0" xfId="0" applyFont="1" applyFill="1"/>
    <xf numFmtId="9" fontId="287" fillId="119" borderId="0" xfId="0" applyNumberFormat="1" applyFont="1" applyFill="1" applyAlignment="1">
      <alignment horizontal="right"/>
    </xf>
    <xf numFmtId="0" fontId="280" fillId="119" borderId="0" xfId="0" applyFont="1" applyFill="1"/>
    <xf numFmtId="266" fontId="3" fillId="0" borderId="0" xfId="0" applyNumberFormat="1" applyFont="1"/>
    <xf numFmtId="43" fontId="4" fillId="0" borderId="0" xfId="0" applyNumberFormat="1" applyFont="1"/>
    <xf numFmtId="0" fontId="284" fillId="112" borderId="0" xfId="0" applyFont="1" applyFill="1"/>
    <xf numFmtId="0" fontId="287" fillId="112" borderId="0" xfId="0" applyFont="1" applyFill="1" applyAlignment="1">
      <alignment horizontal="right"/>
    </xf>
    <xf numFmtId="0" fontId="285" fillId="112" borderId="0" xfId="0" applyFont="1" applyFill="1" applyAlignment="1">
      <alignment horizontal="right"/>
    </xf>
    <xf numFmtId="1" fontId="287" fillId="119" borderId="0" xfId="0" applyNumberFormat="1" applyFont="1" applyFill="1" applyAlignment="1">
      <alignment horizontal="right"/>
    </xf>
    <xf numFmtId="3" fontId="287" fillId="119" borderId="0" xfId="0" applyNumberFormat="1" applyFont="1" applyFill="1"/>
    <xf numFmtId="169" fontId="287" fillId="127" borderId="0" xfId="0" applyNumberFormat="1" applyFont="1" applyFill="1" applyAlignment="1">
      <alignment horizontal="right"/>
    </xf>
    <xf numFmtId="3" fontId="290" fillId="119" borderId="94" xfId="0" applyNumberFormat="1" applyFont="1" applyFill="1" applyBorder="1" applyAlignment="1">
      <alignment horizontal="right"/>
    </xf>
    <xf numFmtId="354" fontId="287" fillId="119" borderId="0" xfId="0" applyNumberFormat="1" applyFont="1" applyFill="1"/>
    <xf numFmtId="9" fontId="287" fillId="0" borderId="0" xfId="0" applyNumberFormat="1" applyFont="1"/>
    <xf numFmtId="175" fontId="287" fillId="119" borderId="0" xfId="0" applyNumberFormat="1" applyFont="1" applyFill="1"/>
    <xf numFmtId="1" fontId="287" fillId="119" borderId="0" xfId="0" applyNumberFormat="1" applyFont="1" applyFill="1"/>
    <xf numFmtId="0" fontId="280" fillId="0" borderId="0" xfId="4" applyFont="1"/>
    <xf numFmtId="43" fontId="290" fillId="0" borderId="0" xfId="6" applyFont="1" applyAlignment="1">
      <alignment horizontal="right"/>
    </xf>
    <xf numFmtId="349" fontId="287" fillId="0" borderId="0" xfId="8" applyNumberFormat="1" applyFont="1" applyAlignment="1">
      <alignment horizontal="right"/>
    </xf>
    <xf numFmtId="169" fontId="290" fillId="30" borderId="0" xfId="2" applyNumberFormat="1" applyFont="1" applyFill="1"/>
    <xf numFmtId="169" fontId="290" fillId="30" borderId="0" xfId="2389" applyNumberFormat="1" applyFont="1" applyFill="1"/>
    <xf numFmtId="171" fontId="285" fillId="120" borderId="0" xfId="0" applyNumberFormat="1" applyFont="1" applyFill="1" applyAlignment="1">
      <alignment horizontal="right"/>
    </xf>
    <xf numFmtId="349" fontId="2" fillId="0" borderId="0" xfId="0" applyNumberFormat="1" applyFont="1"/>
    <xf numFmtId="0" fontId="328" fillId="0" borderId="1" xfId="0" applyFont="1" applyBorder="1" applyAlignment="1">
      <alignment horizontal="left" vertical="center" wrapText="1"/>
    </xf>
    <xf numFmtId="0" fontId="328" fillId="0" borderId="1" xfId="0" applyFont="1" applyBorder="1" applyAlignment="1">
      <alignment horizontal="center" vertical="center" wrapText="1"/>
    </xf>
    <xf numFmtId="0" fontId="329" fillId="121" borderId="0" xfId="0" applyFont="1" applyFill="1"/>
    <xf numFmtId="0" fontId="329" fillId="121" borderId="0" xfId="0" applyFont="1" applyFill="1" applyAlignment="1">
      <alignment horizontal="center"/>
    </xf>
    <xf numFmtId="3" fontId="329" fillId="121" borderId="0" xfId="0" applyNumberFormat="1" applyFont="1" applyFill="1" applyAlignment="1">
      <alignment horizontal="center"/>
    </xf>
    <xf numFmtId="349" fontId="329" fillId="121" borderId="0" xfId="0" applyNumberFormat="1" applyFont="1" applyFill="1" applyAlignment="1">
      <alignment horizontal="center"/>
    </xf>
    <xf numFmtId="0" fontId="329" fillId="0" borderId="0" xfId="0" applyFont="1"/>
    <xf numFmtId="0" fontId="329" fillId="0" borderId="0" xfId="0" applyFont="1" applyAlignment="1">
      <alignment horizontal="center"/>
    </xf>
    <xf numFmtId="3" fontId="329" fillId="0" borderId="0" xfId="0" applyNumberFormat="1" applyFont="1" applyAlignment="1">
      <alignment horizontal="center"/>
    </xf>
    <xf numFmtId="349" fontId="329" fillId="0" borderId="0" xfId="0" applyNumberFormat="1" applyFont="1" applyAlignment="1">
      <alignment horizontal="center"/>
    </xf>
    <xf numFmtId="175" fontId="329" fillId="121" borderId="0" xfId="0" applyNumberFormat="1" applyFont="1" applyFill="1" applyAlignment="1">
      <alignment horizontal="center"/>
    </xf>
    <xf numFmtId="43" fontId="281" fillId="0" borderId="0" xfId="1" applyFont="1" applyFill="1" applyAlignment="1">
      <alignment horizontal="right"/>
    </xf>
    <xf numFmtId="168" fontId="280" fillId="2" borderId="0" xfId="0" applyNumberFormat="1" applyFont="1" applyFill="1"/>
    <xf numFmtId="0" fontId="281" fillId="124" borderId="0" xfId="0" applyFont="1" applyFill="1" applyAlignment="1">
      <alignment horizontal="right"/>
    </xf>
    <xf numFmtId="3" fontId="287" fillId="124" borderId="0" xfId="0" applyNumberFormat="1" applyFont="1" applyFill="1" applyAlignment="1">
      <alignment horizontal="right"/>
    </xf>
    <xf numFmtId="0" fontId="280" fillId="0" borderId="0" xfId="0" applyFont="1" applyAlignment="1">
      <alignment horizontal="center"/>
    </xf>
    <xf numFmtId="0" fontId="300" fillId="0" borderId="0" xfId="0" applyFont="1" applyAlignment="1">
      <alignment horizontal="center"/>
    </xf>
    <xf numFmtId="0" fontId="300" fillId="0" borderId="3" xfId="0" applyFont="1" applyBorder="1" applyAlignment="1">
      <alignment horizontal="center"/>
    </xf>
    <xf numFmtId="0" fontId="300" fillId="0" borderId="4" xfId="0" applyFont="1" applyBorder="1" applyAlignment="1">
      <alignment horizontal="center"/>
    </xf>
    <xf numFmtId="0" fontId="300" fillId="0" borderId="5" xfId="0" applyFont="1" applyBorder="1" applyAlignment="1">
      <alignment horizontal="center"/>
    </xf>
    <xf numFmtId="0" fontId="280" fillId="0" borderId="89" xfId="0" applyFont="1" applyBorder="1" applyAlignment="1">
      <alignment horizontal="center" wrapText="1"/>
    </xf>
    <xf numFmtId="0" fontId="280" fillId="0" borderId="40" xfId="0" applyFont="1" applyBorder="1" applyAlignment="1">
      <alignment horizontal="center" wrapText="1"/>
    </xf>
    <xf numFmtId="0" fontId="280" fillId="0" borderId="90" xfId="0" applyFont="1" applyBorder="1" applyAlignment="1">
      <alignment horizontal="center" wrapText="1"/>
    </xf>
    <xf numFmtId="0" fontId="3" fillId="0" borderId="2" xfId="0" applyFont="1" applyBorder="1" applyAlignment="1">
      <alignment horizontal="center"/>
    </xf>
    <xf numFmtId="0" fontId="300" fillId="3" borderId="0" xfId="0" applyFont="1" applyFill="1" applyAlignment="1">
      <alignment horizontal="center"/>
    </xf>
    <xf numFmtId="0" fontId="300" fillId="3" borderId="6" xfId="0" applyFont="1" applyFill="1" applyBorder="1" applyAlignment="1">
      <alignment horizontal="center"/>
    </xf>
  </cellXfs>
  <cellStyles count="2395">
    <cellStyle name="_x000a_386grabber=M" xfId="21" xr:uid="{2A10B250-2026-415E-9555-06145698A959}"/>
    <cellStyle name="_x000a_386grabber=M 2" xfId="553" xr:uid="{7A8C242C-CC7E-480B-90B0-F376C7973A37}"/>
    <cellStyle name="_x000a_386grabber=M 3" xfId="824" xr:uid="{32F25BBE-4EBA-4E3D-9897-116F3934EDF5}"/>
    <cellStyle name="_x000a_386grabber=M 4" xfId="552" xr:uid="{FA9F7A66-0275-439F-90F1-CD523FDAF637}"/>
    <cellStyle name="_x000d_386grabber=M" xfId="1255" xr:uid="{E7A19645-0F27-4F2F-9AA0-9948445E86E4}"/>
    <cellStyle name="&quot;X&quot; Men" xfId="554" xr:uid="{E9EA3F42-00A1-4441-A597-E234AC9FB310}"/>
    <cellStyle name="%" xfId="4" xr:uid="{6BC0C1BF-6419-4D17-81C5-3EE63310CFBB}"/>
    <cellStyle name="% 2" xfId="9" xr:uid="{CC2548F2-FF30-4306-B626-7BE9E2D72665}"/>
    <cellStyle name="% 2 2" xfId="14" xr:uid="{DE030976-2082-4ACC-A863-E80CD771CE85}"/>
    <cellStyle name="% 2 2 2" xfId="1511" xr:uid="{73D1D660-8CCF-404C-812E-0D74E49EC2AA}"/>
    <cellStyle name="% 2 3" xfId="451" xr:uid="{E92B546A-4F32-4EDF-BC90-A57784495CE1}"/>
    <cellStyle name="% 2 3 2" xfId="1269" xr:uid="{E35E6F91-09DE-41AD-872E-BB8837589BE5}"/>
    <cellStyle name="% 2 4" xfId="1512" xr:uid="{659C53D8-C0D9-4779-92D5-107480BA58F3}"/>
    <cellStyle name="% 2 4 2" xfId="1513" xr:uid="{BD6F4157-7788-483B-8FDA-6633E786B7A8}"/>
    <cellStyle name="% 3" xfId="555" xr:uid="{2DA6F3AF-AB0E-4F39-AD4F-259577A27232}"/>
    <cellStyle name="% 3 2" xfId="1514" xr:uid="{6E58B3A0-56BE-4DB4-AA4D-D3DE80A466D1}"/>
    <cellStyle name="% 3 3" xfId="1515" xr:uid="{90EDC036-C104-469D-9B64-BDA59C58FF1F}"/>
    <cellStyle name="% 3 4" xfId="1516" xr:uid="{D0E083D7-CA35-49B2-BABA-D1DBFC17A858}"/>
    <cellStyle name="% 4" xfId="1268" xr:uid="{4A490AA2-D4FF-4BEA-AEE0-499E9166C134}"/>
    <cellStyle name="% 4 2" xfId="1517" xr:uid="{86CE6354-0EBF-4AEB-A3A4-9D27DA3DE925}"/>
    <cellStyle name="% 4 3" xfId="1518" xr:uid="{7CD8017B-2183-4073-8164-51D4FC810D1B}"/>
    <cellStyle name="% 5" xfId="1519" xr:uid="{9B32878A-C786-4B99-B745-E7AE86BEA8BD}"/>
    <cellStyle name="% 5 2" xfId="1520" xr:uid="{070FEC43-D6F2-46FA-BBE7-E2546010E4EF}"/>
    <cellStyle name="% 6" xfId="1521" xr:uid="{1D5E64BB-A3D7-4BE6-9543-5DE915CE91A3}"/>
    <cellStyle name="%_BeatriceF" xfId="1522" xr:uid="{119386D1-4A41-4B92-89D5-D4789EB747F3}"/>
    <cellStyle name="%_LEAP Model New" xfId="556" xr:uid="{DE8C7E41-66C0-42B0-9C98-84435305B56B}"/>
    <cellStyle name="%_LEAP Model New_AT&amp;T Model New New - THESIS" xfId="1256" xr:uid="{3696FDA6-2C8A-40D1-9CBB-015CC1E2E519}"/>
    <cellStyle name="%_LEAP Model New_S Model New 03-30-2012" xfId="829" xr:uid="{BD613BF3-0613-4900-BABF-E4C6EF7DF448}"/>
    <cellStyle name="%_LEAP Model WIP" xfId="557" xr:uid="{A7499F2B-26EC-4876-8747-5B9913FCC45D}"/>
    <cellStyle name="%_LEAP Model WIP_AT&amp;T Model New New - THESIS" xfId="1257" xr:uid="{5DB16670-A8D3-4AEC-9183-73557BC62C2F}"/>
    <cellStyle name="%_LEAP Model WIP_S Model New 03-30-2012" xfId="830" xr:uid="{9197CEDC-C7B2-47C6-9D2B-DCCCF7218ADA}"/>
    <cellStyle name="%_Millicom_rollforward" xfId="22" xr:uid="{0B21AF49-DD14-4E8D-BED0-CABF64F9F805}"/>
    <cellStyle name="%_MTN WIP 1" xfId="23" xr:uid="{DC4629B1-9DD5-4B46-ADE1-F2C2C392FB4F}"/>
    <cellStyle name="%_multmod" xfId="24" xr:uid="{309A03C9-738B-46BE-AB48-BB3A24C16B36}"/>
    <cellStyle name="%_multmod 2" xfId="1272" xr:uid="{2158CFD7-F628-4EBB-A58D-36BBD049543D}"/>
    <cellStyle name="%_PCS Model New" xfId="558" xr:uid="{CEDFB319-3398-4D33-8419-9FEC23373E4E}"/>
    <cellStyle name="%_Pedro" xfId="1523" xr:uid="{9F1877DF-DAB1-4C24-8CD5-77F6D034C0CF}"/>
    <cellStyle name="%_S Model New" xfId="559" xr:uid="{B8C6A974-7F82-42F6-8344-66D051A94A8F}"/>
    <cellStyle name="%_T Model New" xfId="560" xr:uid="{02EE457A-707E-47BD-AD8E-75A1EA3241DA}"/>
    <cellStyle name="%_T Model New_AT&amp;T Model New New - THESIS" xfId="1258" xr:uid="{4EAF50E0-CF25-4FC1-801F-F8F17BA948D7}"/>
    <cellStyle name="%_T Model New_S Model New 03-30-2012" xfId="831" xr:uid="{5584095E-9141-41C7-9889-1F34E1F223CC}"/>
    <cellStyle name="%_TNOR_current" xfId="1524" xr:uid="{F117661E-76E1-494A-8372-50E803FA9244}"/>
    <cellStyle name="%_TNOR_preQ410a" xfId="1525" xr:uid="{0D93EE68-4CA7-4DAC-BAE1-38CFA2E8F8E7}"/>
    <cellStyle name="%_VIP WIP" xfId="1526" xr:uid="{049AB4AE-4CDF-4404-A706-07CC1B3A0B23}"/>
    <cellStyle name="%_VIP WIP 2" xfId="1527" xr:uid="{C6E00FC2-67EE-40BF-9414-9E68BB9E88F9}"/>
    <cellStyle name="%_VIP WIP 3" xfId="1528" xr:uid="{4AA782B8-CEC2-4270-8581-7FD4C49EC691}"/>
    <cellStyle name="%_VIP WIP 3 2" xfId="1529" xr:uid="{F5BB392A-191F-45AF-9D31-81373561745D}"/>
    <cellStyle name="%_VIP_WIP" xfId="25" xr:uid="{B3F34795-FA24-4C7C-AD5D-E8E13826E23D}"/>
    <cellStyle name="%_VIP_WIP 2" xfId="1530" xr:uid="{B1991AA1-6BD7-4A3E-BEE7-574C1A1F4B29}"/>
    <cellStyle name="%_VIP_WIP 2 2" xfId="1531" xr:uid="{E92F55B9-7489-427A-BF7D-B6728E3F5A0E}"/>
    <cellStyle name="%_VIP_WIP 3" xfId="1532" xr:uid="{876E74E8-97C2-48A7-9150-9C40518603D4}"/>
    <cellStyle name="%_VIP_WIP 3 2" xfId="1533" xr:uid="{1AEA74CA-28AA-4691-8B8B-207CFF48481F}"/>
    <cellStyle name="%_VIP_WIP 4" xfId="1534" xr:uid="{0A447C92-195A-4019-8096-609831F5B611}"/>
    <cellStyle name="%_vod" xfId="1535" xr:uid="{F3C6A44C-54D6-4B4B-AF47-AE0DFC05AAB5}"/>
    <cellStyle name="%_Vodacom WIP" xfId="26" xr:uid="{6C588638-2C18-4C77-9751-79C53386B301}"/>
    <cellStyle name="%_VZ Model New" xfId="561" xr:uid="{9A1F18F4-FC26-4619-A715-DA8920FE3194}"/>
    <cellStyle name="******************************************" xfId="27" xr:uid="{0F57DFA7-796B-482C-9CA8-B6D0613B27E0}"/>
    <cellStyle name="****************************************** 2" xfId="562" xr:uid="{13BEFB13-B68E-43E1-8ED7-C6CFE4DBDC84}"/>
    <cellStyle name="****************************************** 2 2" xfId="1536" xr:uid="{76EC773D-3DCE-468C-85E2-E235A5EB895D}"/>
    <cellStyle name="****************************************** 3" xfId="1537" xr:uid="{527DD776-015A-477B-A529-D453ADB50A81}"/>
    <cellStyle name="?Q\?1@" xfId="28" xr:uid="{FC02D3F9-FFC0-4F36-907C-594170CF3D16}"/>
    <cellStyle name="?Q\?1@ 2" xfId="1538" xr:uid="{32BE305A-B39B-47A1-897B-705413D2607F}"/>
    <cellStyle name="]_x000a__x000a_Extension=conv.dll_x000a__x000a_MS-DOS Tools Extentions=C:\DOS\MSTOOLS.DLL_x000a__x000a__x000a__x000a_[Settings]_x000a__x000a_UNDELETE.DLL=C:\DOS\MSTOOLS.DLL_x000a__x000a_W" xfId="563" xr:uid="{0B52A1BD-12B7-4737-990D-4B095F0D58D9}"/>
    <cellStyle name="]_x000d__x000d_Extension=conv.dll_x000d__x000d_MS-DOS Tools Extentions=C:\DOS\MSTOOLS.DLL_x000d__x000d__x000d__x000d_[Settings]_x000d__x000d_UNDELETE.DLL=C:\DOS\MSTOOLS.DLL_x000d__x000d_W" xfId="1259" xr:uid="{0A5B5887-4203-412C-96B7-9052C620E2AC}"/>
    <cellStyle name="_%(SignOnly)" xfId="1539" xr:uid="{B66A24A5-FD47-49C5-86F5-E1DB31BEFF2F}"/>
    <cellStyle name="_%(SignSpaceOnly)" xfId="1540" xr:uid="{78D58CCF-8D10-4BE8-9610-97B9F62D7BB3}"/>
    <cellStyle name="_Comma" xfId="29" xr:uid="{6B482311-2CC1-45DD-8716-0B11B8157EAA}"/>
    <cellStyle name="_Comma 2" xfId="1541" xr:uid="{AF913415-1E6B-4119-AA95-0138F07301F2}"/>
    <cellStyle name="_Comma 2 2" xfId="1542" xr:uid="{00F6902D-9909-4665-B95D-7DB5591279B4}"/>
    <cellStyle name="_Comma 3" xfId="1543" xr:uid="{2ECA73DC-17E4-46AF-A2D8-861C2AA8E6F9}"/>
    <cellStyle name="_Currency" xfId="30" xr:uid="{7C1435E4-84EA-464F-8571-79D507831BD0}"/>
    <cellStyle name="_Currency 2" xfId="1544" xr:uid="{7DC00A25-A70C-40E9-9B7C-9C696ECFDF65}"/>
    <cellStyle name="_Currency 2 2" xfId="1545" xr:uid="{8E2D5FD2-7886-44E0-8FD8-DC642315D599}"/>
    <cellStyle name="_Currency 3" xfId="1546" xr:uid="{6077F855-81E2-4FBB-91FD-FB9532E66DBE}"/>
    <cellStyle name="_CurrencySpace" xfId="31" xr:uid="{A6D2581A-5190-4981-8869-7FE2BB359B31}"/>
    <cellStyle name="_CurrencySpace 2" xfId="1547" xr:uid="{06DA24E2-07D9-4C2D-946A-6E21EB852FE7}"/>
    <cellStyle name="_CurrencySpace 2 2" xfId="1548" xr:uid="{86DE0CD3-7DC9-404D-B337-C426EF9B1D58}"/>
    <cellStyle name="_CurrencySpace 3" xfId="1549" xr:uid="{EADFA011-5AC3-4834-BA84-8CE04627965D}"/>
    <cellStyle name="_ere_KADS_Core_Items" xfId="564" xr:uid="{BF0414D5-B73E-4BAE-BF4C-0736EA89604C}"/>
    <cellStyle name="_Euro" xfId="1550" xr:uid="{C9438E4B-CE2A-4F57-8D02-A77852C15659}"/>
    <cellStyle name="_Heading" xfId="1551" xr:uid="{677669FB-61C0-46E4-B469-F5C7D1AAFC54}"/>
    <cellStyle name="_Highlight" xfId="1552" xr:uid="{CCFE0178-A45C-45EC-8BEB-B7E35457BA3E}"/>
    <cellStyle name="_Innsamling" xfId="32" xr:uid="{EDFB72A7-F53B-4A52-A583-CCAF540DF2E0}"/>
    <cellStyle name="_Innsamling 2" xfId="1553" xr:uid="{7F73FA63-22EF-4AA1-BACB-D583E286224D}"/>
    <cellStyle name="_Innsamling 2 2" xfId="1554" xr:uid="{871BB01C-0EF5-4A26-843E-B4582D2D67A6}"/>
    <cellStyle name="_Jazz model 28 Oct 09" xfId="1555" xr:uid="{6424374A-CBFD-443C-8DA5-D229A9043C65}"/>
    <cellStyle name="_JP Morgan" xfId="33" xr:uid="{D978B702-2DE4-47AC-A7D3-B81E033DEEA4}"/>
    <cellStyle name="_JP Morgan 2" xfId="1556" xr:uid="{63695737-28EB-485E-987E-245C2B2A89EE}"/>
    <cellStyle name="_JP Morgan 2 2" xfId="1557" xr:uid="{95E471BF-6A7E-4E35-8BF8-753D52C1F731}"/>
    <cellStyle name="_JP Morgan_TNOR_preQ410a" xfId="1558" xr:uid="{07AAC944-89A3-43BC-9587-6B8DF2722895}"/>
    <cellStyle name="_JP Morgan_TNOR_preQ410a 2" xfId="1559" xr:uid="{926F799C-E5C5-4230-B463-4D0DBB6A13C1}"/>
    <cellStyle name="_Mal for innhenting av estimater Q4- 2002" xfId="34" xr:uid="{C549D7CE-66EB-41A1-8FB8-9A97C0D52380}"/>
    <cellStyle name="_Mal for innhenting av estimater Q4- 2002 2" xfId="1560" xr:uid="{4AD767D9-CE27-430B-818A-9E0609965159}"/>
    <cellStyle name="_Mal for innhenting av estimater Q4- 2002 2 2" xfId="1561" xr:uid="{BEE4C370-CB4B-4BB5-AF6F-D7CFC23DC03B}"/>
    <cellStyle name="_Multiple" xfId="35" xr:uid="{0D5B465A-B0E0-4582-A315-0ABF384FB0FF}"/>
    <cellStyle name="_Multiple 2" xfId="1562" xr:uid="{DE444B84-2E5E-47C3-85B2-E1921C8702BD}"/>
    <cellStyle name="_Multiple 2 2" xfId="1563" xr:uid="{5476C9BE-EE56-42EE-9117-A6E3F344CE58}"/>
    <cellStyle name="_Multiple 3" xfId="1564" xr:uid="{19E48EB8-8634-4942-8077-4B4B5D15D992}"/>
    <cellStyle name="_MultipleSpace" xfId="36" xr:uid="{3E66E3AF-41EB-4B02-9D2E-38499D017DB7}"/>
    <cellStyle name="_MultipleSpace 2" xfId="1565" xr:uid="{0EF55E66-39E5-46F6-AEEB-7960847C8C5B}"/>
    <cellStyle name="_MultipleSpace 2 2" xfId="1566" xr:uid="{ABB89D57-A5C6-4BC9-8639-EC5A1618D9D0}"/>
    <cellStyle name="_MultipleSpace 3" xfId="1567" xr:uid="{53525BBD-EC0B-443D-BD0B-F1CE6DECCED7}"/>
    <cellStyle name="_Percent" xfId="37" xr:uid="{0A1EB239-27B8-4644-B611-A4D553E680B2}"/>
    <cellStyle name="_Percent 2" xfId="1568" xr:uid="{94778F0B-637F-4668-8DA6-BF4885A57E14}"/>
    <cellStyle name="_Percent 2 2" xfId="1569" xr:uid="{EF8DA336-D50E-421D-A278-0A75030AB7C5}"/>
    <cellStyle name="_PercentSpace" xfId="38" xr:uid="{6D5CA070-1CC3-4902-AFAB-83199918F326}"/>
    <cellStyle name="_PercentSpace 2" xfId="1570" xr:uid="{07008C8A-1814-44B9-AE68-6A2186EB4B6F}"/>
    <cellStyle name="_PercentSpace 2 2" xfId="1571" xr:uid="{8D554130-157F-4D2F-B7FF-AEB808A8E019}"/>
    <cellStyle name="_SubHeading" xfId="1572" xr:uid="{5B79A67C-C328-4A4F-AE27-5170EDF40F61}"/>
    <cellStyle name="_Table" xfId="1573" xr:uid="{0E67B5BC-66DF-4FD9-9DEE-223BF9A937B8}"/>
    <cellStyle name="_TableHead" xfId="1574" xr:uid="{561179CA-E50E-418A-B1BB-871C6B4E5694}"/>
    <cellStyle name="_TableRowHead" xfId="1575" xr:uid="{278EDD55-3301-44ED-BAB2-B06DED720E17}"/>
    <cellStyle name="_TableSuperHead" xfId="1576" xr:uid="{4164687F-C72E-460F-A5CD-B227139A13D9}"/>
    <cellStyle name="_TNOR_current" xfId="1577" xr:uid="{4F243D99-3F19-4EB4-8863-B54672D2AF3E}"/>
    <cellStyle name="_TNOR_current 2" xfId="1578" xr:uid="{7CD8BA99-7374-4296-A5FA-6DDBFD58BBB4}"/>
    <cellStyle name="_TNOR_current 3" xfId="1579" xr:uid="{FBB0FB9D-E067-4760-85DC-14A1CBAB7FE4}"/>
    <cellStyle name="_TNOR_current 3 2" xfId="1580" xr:uid="{08B03315-0D2D-4731-926E-28AFF2912BC4}"/>
    <cellStyle name="_usr_KADS_Full_Upload_Items" xfId="565" xr:uid="{5F428C09-A3E5-48DF-86B7-C2C11F99427A}"/>
    <cellStyle name="_usr_KADS_Full_Upload_Items 2" xfId="1159" xr:uid="{AA35B340-9625-4CD6-BD07-5F5F2EFA2D73}"/>
    <cellStyle name="_VOD NEW STRUCTURE workbook" xfId="1581" xr:uid="{E81368F4-3BF5-46ED-BA3B-51F400F9C4AA}"/>
    <cellStyle name="_Vodacom WIP" xfId="39" xr:uid="{22D42BCC-A2A5-4349-BF49-7079E64AF79B}"/>
    <cellStyle name="_XOM model" xfId="566" xr:uid="{DFE4C516-5D28-422E-8B26-462EA9A81E3B}"/>
    <cellStyle name="“ü—Í—“" xfId="567" xr:uid="{CA52708F-9978-4A6D-9DAC-DF1480976C0B}"/>
    <cellStyle name="£ BP" xfId="569" xr:uid="{4964660B-93FE-492C-934A-4A56DD4E378D}"/>
    <cellStyle name="¤@¯ë_Sheet1 (2)" xfId="40" xr:uid="{B241825A-5C04-4EE3-9BFB-36930876838D}"/>
    <cellStyle name="¥ JY" xfId="570" xr:uid="{26F99B35-F24D-4D20-AB22-8BFEA746DCE1}"/>
    <cellStyle name="=C:\WINNT35\SYSTEM32\COMMAND.COM" xfId="568" xr:uid="{E827598A-A610-4C11-97BB-5163490EE2C8}"/>
    <cellStyle name="=C:\WINNT35\SYSTEM32\COMMAND.COM 2" xfId="957" xr:uid="{29525C58-B5B2-4F4A-8D4B-D3DA3AEAAFCC}"/>
    <cellStyle name="§Q\òm1@À" xfId="41" xr:uid="{4EF7318A-0E43-4054-83C4-A398B9D2CDFB}"/>
    <cellStyle name="§Q\òm1@À 2" xfId="1582" xr:uid="{D8A40F0F-BE4D-441C-B370-16593C4B0222}"/>
    <cellStyle name="§Q\òm1@À 3" xfId="1583" xr:uid="{BF510257-C429-4B01-B54C-BE525B0D09E5}"/>
    <cellStyle name="§Q\òm1@À 3 2" xfId="1584" xr:uid="{28FD1AE2-D201-4D12-B80A-6A61200FF858}"/>
    <cellStyle name="•W€_VALUE" xfId="42" xr:uid="{E7F72776-A714-41DC-8F2A-E7269FAB3FDF}"/>
    <cellStyle name="‰p•¶" xfId="1585" xr:uid="{9F45E784-57E9-46FC-93D9-D37D54F586D0}"/>
    <cellStyle name="0" xfId="571" xr:uid="{E18FCFD0-4D6B-49D4-A0F2-57BC0F28DEC3}"/>
    <cellStyle name="0 2" xfId="1076" xr:uid="{5635BB31-80B7-4836-9763-DE9F3C95131D}"/>
    <cellStyle name="0%" xfId="572" xr:uid="{E9B43CD4-23FC-4426-A8DE-D539A75DD540}"/>
    <cellStyle name="0% 2" xfId="1035" xr:uid="{07712672-6DB7-43AE-98A4-4E660B23FF54}"/>
    <cellStyle name="0.0" xfId="573" xr:uid="{E0BA1451-C656-45B1-92F2-2124BCD77B2C}"/>
    <cellStyle name="0.0 2" xfId="1107" xr:uid="{334FBDDA-1011-47F8-9F95-D847178C8183}"/>
    <cellStyle name="0.0%" xfId="574" xr:uid="{C19704E2-C740-48F7-9F53-A07553762ACA}"/>
    <cellStyle name="0.0% 2" xfId="1037" xr:uid="{3FE6EFAB-F330-43AE-AAC5-0F4E7952F879}"/>
    <cellStyle name="0.0_BPCitigroupWIP" xfId="575" xr:uid="{544F31EE-57E9-4BF7-89C4-2D1B6AC63B32}"/>
    <cellStyle name="0.00" xfId="576" xr:uid="{D58D3741-0833-4B5E-A2B1-CFC3688B8335}"/>
    <cellStyle name="0.00 2" xfId="1038" xr:uid="{9A5FFB49-15FD-4601-B1DE-7DC3D1822EFC}"/>
    <cellStyle name="0.00%" xfId="577" xr:uid="{10F89AA2-8545-4B94-BD73-7ABA8BD12D3A}"/>
    <cellStyle name="0.00% 2" xfId="1160" xr:uid="{92A2F6C1-05AA-4ECD-BD0A-902CC901EA51}"/>
    <cellStyle name="0.00_BPCitigroupWIP" xfId="578" xr:uid="{AD12873C-31AD-4868-8381-CD5913201B20}"/>
    <cellStyle name="0_BPCitigroupWIP" xfId="579" xr:uid="{73155273-4486-4127-9185-9DEA8B9CF622}"/>
    <cellStyle name="0_BPCitigroupWIP 2" xfId="1136" xr:uid="{4B1494D0-9028-41D7-8A65-759F11D161D2}"/>
    <cellStyle name="0_RDSCitigroupWIP" xfId="580" xr:uid="{DBBE7B34-CFEA-4257-91B8-39F46D94C33A}"/>
    <cellStyle name="0_RDSCitigroupWIP 2" xfId="1133" xr:uid="{55F6AFA3-3923-422E-8724-C9BD85564865}"/>
    <cellStyle name="0_rdshell_E&amp;P_analysis" xfId="581" xr:uid="{7294E9CD-4670-4ABC-B435-2805D646BE42}"/>
    <cellStyle name="0_rdshell_E&amp;P_analysis 2" xfId="1097" xr:uid="{07FBFD64-4503-4C32-A5C8-5ACE8804D781}"/>
    <cellStyle name="0_TotalCitigroupWIP" xfId="582" xr:uid="{44EF4793-488E-43A4-86AB-9E8409E75B93}"/>
    <cellStyle name="0_TotalCitigroupWIP 2" xfId="1078" xr:uid="{35A9C515-513E-4647-8032-5BCB0F8A34EF}"/>
    <cellStyle name="0_TotalCitigroupWIP_old" xfId="583" xr:uid="{A34C0386-6FC9-4D13-85CB-C3E9F322A872}"/>
    <cellStyle name="0_TotalCitigroupWIP_old 2" xfId="1129" xr:uid="{82D0AF74-445B-41C8-B85C-9D55AD8BF918}"/>
    <cellStyle name="0_TotalCitigroupWIP_Q104" xfId="584" xr:uid="{3C57C976-5BE0-4A07-82C3-E969A2949799}"/>
    <cellStyle name="0_TotalCitigroupWIP_Q104 2" xfId="1039" xr:uid="{01903B75-F094-4E7C-8899-19B29F37F2CA}"/>
    <cellStyle name="000 PN" xfId="1586" xr:uid="{B954D892-CF21-4C3C-91EC-0D5525FC2201}"/>
    <cellStyle name="20% - Accent1 2" xfId="839" xr:uid="{D685D43A-F36F-4AFA-8501-858DEA510AB7}"/>
    <cellStyle name="20% - Accent1 3" xfId="930" xr:uid="{9ED247FA-8B94-4D42-BD37-09A44138CD58}"/>
    <cellStyle name="20% - Accent1 4" xfId="1587" xr:uid="{3819256F-B395-45A7-8927-3959EC9A09EB}"/>
    <cellStyle name="20% - Accent1 5" xfId="1588" xr:uid="{DA2276E0-A536-4711-A60E-CBC7F2B9AAD2}"/>
    <cellStyle name="20% - Accent2 2" xfId="840" xr:uid="{139F981D-58EF-4F76-94BC-4AAFD407EB82}"/>
    <cellStyle name="20% - Accent2 3" xfId="931" xr:uid="{9446A1CE-F788-4B4D-85EC-ABDAA79D68E8}"/>
    <cellStyle name="20% - Accent2 4" xfId="1589" xr:uid="{ACA7D68A-2797-441A-AF29-E2CEC67D9D60}"/>
    <cellStyle name="20% - Accent2 5" xfId="1590" xr:uid="{FC625A66-42B1-4D16-9ADB-E1D221B3BF93}"/>
    <cellStyle name="20% - Accent3 2" xfId="841" xr:uid="{01E1EDB2-180C-4E71-92E0-B8381CC10377}"/>
    <cellStyle name="20% - Accent3 3" xfId="932" xr:uid="{4E72F72E-CC23-4A68-896C-E81AFD3C8481}"/>
    <cellStyle name="20% - Accent3 4" xfId="1591" xr:uid="{BB9BB780-63B8-43F3-A252-E066FB7F16D4}"/>
    <cellStyle name="20% - Accent3 5" xfId="1592" xr:uid="{AF9E93B5-1654-438E-9C82-E3AFC139A50B}"/>
    <cellStyle name="20% - Accent4 2" xfId="842" xr:uid="{3D297840-4ACB-443A-9DAA-85E8A9F4A431}"/>
    <cellStyle name="20% - Accent4 3" xfId="933" xr:uid="{79C5E803-9976-4129-B0E5-538A051F6DDE}"/>
    <cellStyle name="20% - Accent4 4" xfId="1593" xr:uid="{F89DBD64-E869-4F1C-BA77-FEAE70D7F035}"/>
    <cellStyle name="20% - Accent4 5" xfId="1594" xr:uid="{338769EF-7AD0-4D52-BCF8-6F08499382D8}"/>
    <cellStyle name="20% - Accent5 2" xfId="843" xr:uid="{924B02DC-3C90-42EE-A609-BCFE6AD02B32}"/>
    <cellStyle name="20% - Accent5 3" xfId="934" xr:uid="{E20A9723-A140-440A-845C-A4952BBED0F9}"/>
    <cellStyle name="20% - Accent5 4" xfId="1595" xr:uid="{2737797D-F495-4BD8-A90D-709CE0801875}"/>
    <cellStyle name="20% - Accent6 2" xfId="844" xr:uid="{160379F7-EBD5-4E92-A43E-3FC92B5C30B0}"/>
    <cellStyle name="20% - Accent6 3" xfId="935" xr:uid="{8A93F65C-B473-4265-ABD3-75FF917426F5}"/>
    <cellStyle name="3f1o [0]_J-Hwang242" xfId="43" xr:uid="{7BC44AD2-4EF4-4330-B8A9-BB87AF35AE3F}"/>
    <cellStyle name="3f1o_J-Hwang2an" xfId="44" xr:uid="{9E88B0C5-CB78-419D-8B59-E479A4C892AC}"/>
    <cellStyle name="40% - Accent1 2" xfId="845" xr:uid="{AAE2A0D9-7D07-4CF0-8E37-85BBB76F2768}"/>
    <cellStyle name="40% - Accent1 3" xfId="936" xr:uid="{0D5E36C4-2033-4D28-B04A-1A81E2800F19}"/>
    <cellStyle name="40% - Accent1 4" xfId="1596" xr:uid="{852B1357-245E-4BAA-A260-0B15B1740C38}"/>
    <cellStyle name="40% - Accent1 5" xfId="1597" xr:uid="{E48316D8-E44E-4825-B90F-7D4204E6509B}"/>
    <cellStyle name="40% - Accent2 2" xfId="846" xr:uid="{89237B44-18E4-4DBF-B260-4904E0FBFFA1}"/>
    <cellStyle name="40% - Accent2 3" xfId="937" xr:uid="{B38A9A74-2990-451E-88D6-82699B544E33}"/>
    <cellStyle name="40% - Accent2 4" xfId="1598" xr:uid="{5C0937CF-EDA9-43DF-A22D-A4CA8ECF415A}"/>
    <cellStyle name="40% - Accent3 2" xfId="847" xr:uid="{57E2BA85-9345-4AFD-8600-1B7977EBFAD5}"/>
    <cellStyle name="40% - Accent3 3" xfId="938" xr:uid="{3582F7A5-0144-476C-A3B8-9348343670C3}"/>
    <cellStyle name="40% - Accent3 4" xfId="1599" xr:uid="{5B21B74D-5472-4249-A9AB-DB0910E78107}"/>
    <cellStyle name="40% - Accent3 5" xfId="1600" xr:uid="{CCBDFCAA-CD64-45CD-AFE4-5A4CACD8E41B}"/>
    <cellStyle name="40% - Accent4 2" xfId="848" xr:uid="{412E1115-7C9A-4B36-A301-D9CA0E6C7371}"/>
    <cellStyle name="40% - Accent4 3" xfId="939" xr:uid="{C58BB8F5-8E47-46AC-924D-605CABDA4893}"/>
    <cellStyle name="40% - Accent4 4" xfId="1601" xr:uid="{5CE9D78E-5D88-469E-981F-8B5BE5C999C8}"/>
    <cellStyle name="40% - Accent4 5" xfId="1602" xr:uid="{356D0A48-DBD4-40F5-9322-0F8C9A540A8F}"/>
    <cellStyle name="40% - Accent5 2" xfId="849" xr:uid="{65CF34F3-736E-4CB7-9D18-3E0CB0D7DC02}"/>
    <cellStyle name="40% - Accent5 3" xfId="940" xr:uid="{D15F1BA9-5665-447B-8568-B9C00D14C648}"/>
    <cellStyle name="40% - Accent5 4" xfId="1603" xr:uid="{9E0419A6-EDF8-4473-AB9B-82872DD46900}"/>
    <cellStyle name="40% - Accent6 2" xfId="850" xr:uid="{B3544783-1B49-49F4-80AD-AEFA47B056F8}"/>
    <cellStyle name="40% - Accent6 3" xfId="941" xr:uid="{6B639BA1-0749-49F4-BE08-B6E1D04DF792}"/>
    <cellStyle name="40% - Accent6 4" xfId="1604" xr:uid="{134DF837-D531-4337-9002-AA1331010760}"/>
    <cellStyle name="60% - Accent1 2" xfId="851" xr:uid="{4B92EFD5-AF3F-4DC6-83E7-B7ADB9673BA9}"/>
    <cellStyle name="60% - Accent1 3" xfId="942" xr:uid="{F9FF60D9-BE9F-427F-807C-C7AE6F19E3C1}"/>
    <cellStyle name="60% - Accent1 4" xfId="1605" xr:uid="{EB9CAF70-C82F-4B71-ADA3-BBA3CC39342A}"/>
    <cellStyle name="60% - Accent1 5" xfId="1606" xr:uid="{7E5C959A-5BF1-422A-8304-D7EF713CAF08}"/>
    <cellStyle name="60% - Accent2 2" xfId="852" xr:uid="{639403A2-8D2D-4984-9061-AB4E4590C632}"/>
    <cellStyle name="60% - Accent2 3" xfId="943" xr:uid="{722515D4-94D8-4064-8F67-1089EB03D8EE}"/>
    <cellStyle name="60% - Accent2 4" xfId="1607" xr:uid="{1E39CD5D-9749-4A18-BF4D-CF9CF53DE446}"/>
    <cellStyle name="60% - Accent3 2" xfId="853" xr:uid="{D17BB474-8E1A-4220-B14A-8654A6C4AB0C}"/>
    <cellStyle name="60% - Accent3 3" xfId="944" xr:uid="{3974DA08-7767-48C9-BA31-70C013A1AE9A}"/>
    <cellStyle name="60% - Accent3 4" xfId="1608" xr:uid="{07BD346E-3597-4A10-B038-0545690ED24A}"/>
    <cellStyle name="60% - Accent3 5" xfId="1609" xr:uid="{0AD240B5-0669-41C6-9D5F-8C57153A5A25}"/>
    <cellStyle name="60% - Accent4 2" xfId="854" xr:uid="{A224C68F-016A-4702-9D31-B1997B65F05A}"/>
    <cellStyle name="60% - Accent4 3" xfId="945" xr:uid="{A990AEBC-A377-4F95-B85C-1B4E8FD00493}"/>
    <cellStyle name="60% - Accent4 4" xfId="1610" xr:uid="{AB9695C1-3CC4-4D9E-B252-34C421C008F7}"/>
    <cellStyle name="60% - Accent4 5" xfId="1611" xr:uid="{5F645D03-2802-4828-9A8D-74A17A92CAF8}"/>
    <cellStyle name="60% - Accent5 2" xfId="855" xr:uid="{99BCCC14-F832-4B91-8FD2-6AE8F9CAF447}"/>
    <cellStyle name="60% - Accent5 3" xfId="946" xr:uid="{E265117F-3C49-4DA7-8089-FEBA04089455}"/>
    <cellStyle name="60% - Accent5 4" xfId="1612" xr:uid="{F4EB4071-C4E5-4545-9B4A-3AF948ADFBEF}"/>
    <cellStyle name="60% - Accent6 2" xfId="856" xr:uid="{4D346839-361B-450C-9F8B-1442036D961E}"/>
    <cellStyle name="60% - Accent6 3" xfId="947" xr:uid="{CACDFCB4-4AEB-4451-904E-2242E09E5893}"/>
    <cellStyle name="60% - Accent6 4" xfId="1613" xr:uid="{AF12AF69-18D0-4D86-81EA-91D7976D6294}"/>
    <cellStyle name="60% - Accent6 5" xfId="1614" xr:uid="{B7C1D544-DA26-42F2-8EAC-16FDBE5D9109}"/>
    <cellStyle name="600 PN" xfId="1615" xr:uid="{DEC94641-804E-49BA-82F1-BD34D52E08B0}"/>
    <cellStyle name="6mal" xfId="45" xr:uid="{5BAB209C-2C20-4FBB-95DA-DBECD1A1FC8C}"/>
    <cellStyle name="700 PN" xfId="1616" xr:uid="{1056B56B-FEAD-4F78-882F-9138DD72DD84}"/>
    <cellStyle name="752131" xfId="585" xr:uid="{04D30C4D-4DD1-4C15-9FAD-8CA95E2D9FE0}"/>
    <cellStyle name="aaa" xfId="46" xr:uid="{BBF9622B-ABA9-4A0B-962F-CA90F488742F}"/>
    <cellStyle name="aaa 2" xfId="1617" xr:uid="{04C5BA73-2785-42DA-86CA-43F7EF79D1E9}"/>
    <cellStyle name="aaa 2 2" xfId="1618" xr:uid="{151E5AB2-7870-4400-812B-11A86F938106}"/>
    <cellStyle name="Accent1 2" xfId="857" xr:uid="{2B289567-8C75-40B7-A335-D5E55B072766}"/>
    <cellStyle name="Accent1 3" xfId="948" xr:uid="{21630B5D-33D6-46B0-908F-97DA86ECD087}"/>
    <cellStyle name="Accent1 4" xfId="1619" xr:uid="{AEB0F71A-9032-430C-A369-CCA0D4E24A61}"/>
    <cellStyle name="Accent1 5" xfId="1620" xr:uid="{7D48306A-AAFA-4550-9439-64AE7AEF4CF9}"/>
    <cellStyle name="Accent2 2" xfId="858" xr:uid="{5E0CFCBC-909D-4FBA-BA9D-CEC29A72C011}"/>
    <cellStyle name="Accent2 3" xfId="949" xr:uid="{6B8714FD-9FD9-4E04-8397-A1C3FEAB6F7A}"/>
    <cellStyle name="Accent2 4" xfId="1621" xr:uid="{EF1E9980-1088-4850-96B9-32CD549E9FCC}"/>
    <cellStyle name="Accent2 5" xfId="1622" xr:uid="{309B93A1-A359-4509-9237-D11B39AECD9B}"/>
    <cellStyle name="Accent3 2" xfId="859" xr:uid="{C0E8E5EE-7FDE-4650-8666-98DCEDF7E7A2}"/>
    <cellStyle name="Accent3 3" xfId="950" xr:uid="{00DF51D3-FB32-444B-A750-58E7B8D58049}"/>
    <cellStyle name="Accent3 4" xfId="1623" xr:uid="{8FFA2928-746B-48D0-8547-EBDA84FE819D}"/>
    <cellStyle name="Accent3 5" xfId="1624" xr:uid="{C0C00391-D70B-432E-884A-B56AF8D1AAE1}"/>
    <cellStyle name="Accent4 2" xfId="860" xr:uid="{91974656-265F-4818-B2EB-93DA0307DDC2}"/>
    <cellStyle name="Accent4 3" xfId="951" xr:uid="{54AE4248-986C-4E9B-AE5B-53D4FC4C3C9F}"/>
    <cellStyle name="Accent4 4" xfId="1625" xr:uid="{69A42987-2E99-4C7E-A587-30DDDB5D5F17}"/>
    <cellStyle name="Accent4 5" xfId="1626" xr:uid="{3DD1E33B-CCED-4B02-ABD3-65AA2D04624A}"/>
    <cellStyle name="Accent5 2" xfId="861" xr:uid="{9DC742D5-3AEE-40F0-A78F-B83EAA31FA6E}"/>
    <cellStyle name="Accent5 3" xfId="952" xr:uid="{A7B6814E-B4B0-4F66-8ABD-FCF11EC0D4BA}"/>
    <cellStyle name="Accent5 4" xfId="1627" xr:uid="{35939432-6BDA-476E-9C4D-14B915632337}"/>
    <cellStyle name="Accent6 2" xfId="862" xr:uid="{FEA16769-CAF0-4CAA-BCF7-AC672FA94083}"/>
    <cellStyle name="Accent6 3" xfId="953" xr:uid="{22F4BAE4-FFE4-4076-BF50-4F4A7AE387C1}"/>
    <cellStyle name="Accent6 4" xfId="1628" xr:uid="{BB15565E-A8D0-4744-BCFB-D71CEAFF0142}"/>
    <cellStyle name="Acquisition" xfId="47" xr:uid="{B3A21CC0-2BA6-4E26-A0FD-18879EA49E7D}"/>
    <cellStyle name="Acquisition 2" xfId="1629" xr:uid="{4717325F-7152-4A2A-93EF-D9242304E17F}"/>
    <cellStyle name="Acquisition 2 2" xfId="1630" xr:uid="{B4722BE9-1837-49E9-A4EB-6508564E534F}"/>
    <cellStyle name="Actual" xfId="586" xr:uid="{7D602F7D-DFA0-4310-A852-831660FA6C16}"/>
    <cellStyle name="Actual data" xfId="587" xr:uid="{D1C664F3-20EB-4492-A951-91197FD17A9E}"/>
    <cellStyle name="Actual header" xfId="1631" xr:uid="{1259CA1D-4770-458A-9059-F571CBEC6CE9}"/>
    <cellStyle name="Actual year" xfId="588" xr:uid="{759A2BE7-76EB-44D3-939D-968F56951E5C}"/>
    <cellStyle name="Actual_AMT Model New 11-16-2011" xfId="955" xr:uid="{E53D6C48-D643-434C-B850-B4ADC59677D8}"/>
    <cellStyle name="adj_share" xfId="589" xr:uid="{476091C4-0638-47FD-AA24-A6E06AECC52A}"/>
    <cellStyle name="Admin" xfId="1632" xr:uid="{D6B12031-057C-42A5-8BD6-1E600725FA1A}"/>
    <cellStyle name="ÅëÈ­ [0]_TestResults" xfId="48" xr:uid="{A1D016B6-7F69-4DB7-8A9B-20DE1E7FF8CF}"/>
    <cellStyle name="ÅëÈ­_TestResults" xfId="49" xr:uid="{C70E529D-433B-4869-879D-BFEC8075520A}"/>
    <cellStyle name="AFE" xfId="1633" xr:uid="{5AE179E9-2300-4657-8B2C-7C0FEE685BBD}"/>
    <cellStyle name="Afjusted" xfId="590" xr:uid="{CCF424F0-7DD0-4953-A3A1-09C94595708A}"/>
    <cellStyle name="Afjusted 2" xfId="1042" xr:uid="{A0AED649-F539-46BD-81C1-9C7A6A2F143C}"/>
    <cellStyle name="ales" xfId="591" xr:uid="{B91D3BF4-F2C2-4D75-8C2F-B2DC0F41186D}"/>
    <cellStyle name="ANALYST" xfId="50" xr:uid="{951F8DB2-61F1-4F0F-955B-24A295B1A9F1}"/>
    <cellStyle name="Année" xfId="51" xr:uid="{24CEA993-25B1-42B8-989E-7ACE10517C36}"/>
    <cellStyle name="Année (e)" xfId="52" xr:uid="{FEEABCEA-5CBD-4EA4-9E39-672210C1488B}"/>
    <cellStyle name="Année 2" xfId="1634" xr:uid="{146173B5-0DE9-4D6B-9455-7589F1821143}"/>
    <cellStyle name="Année 3" xfId="1635" xr:uid="{82D26BBA-F116-4816-9F34-FC41E7C2ADE9}"/>
    <cellStyle name="Année 3 2" xfId="1636" xr:uid="{4AC2B8F3-ACBB-4302-A9C6-40CB3F0A6F6C}"/>
    <cellStyle name="Année 4" xfId="1637" xr:uid="{A13A19D7-4F99-452E-9E56-524ABD11A9F7}"/>
    <cellStyle name="Année 4 2" xfId="1638" xr:uid="{FFDA9210-A157-423B-B57C-A45826B56C8C}"/>
    <cellStyle name="Année 5" xfId="1639" xr:uid="{BDB474F7-9A10-49C7-B7A5-486932F625AA}"/>
    <cellStyle name="Année 5 2" xfId="1640" xr:uid="{400CAA34-B715-4E7A-AAE1-A26A7B903E41}"/>
    <cellStyle name="Année 6" xfId="1641" xr:uid="{C430D720-7C0A-44ED-9404-AAE6AE13DA75}"/>
    <cellStyle name="Année 6 2" xfId="1642" xr:uid="{52B7C845-6C48-4E1B-A300-2AC19F87A350}"/>
    <cellStyle name="Año" xfId="1643" xr:uid="{E797D1DC-03A8-4ADA-96FE-969152B551E8}"/>
    <cellStyle name="args.style" xfId="53" xr:uid="{278E2532-0D8E-4EFC-BB2F-96A1658FDB64}"/>
    <cellStyle name="args.style 2" xfId="1644" xr:uid="{3AA70B82-D493-48EF-8529-D2EA5A5EB03D}"/>
    <cellStyle name="args.style 3" xfId="1645" xr:uid="{7F01AD00-CF75-4A5F-88DF-13EB062FD0DE}"/>
    <cellStyle name="args.style 3 2" xfId="1646" xr:uid="{A16C426A-F341-41BA-B0F7-3ED1630C76D0}"/>
    <cellStyle name="Arial 10" xfId="54" xr:uid="{58D45892-B11F-4D4A-944A-036D1D5BDF95}"/>
    <cellStyle name="Arial 10 2" xfId="1647" xr:uid="{B8FCE6E3-CBBD-4363-9163-740A167E017C}"/>
    <cellStyle name="Arial 12" xfId="55" xr:uid="{1E682D14-4042-4CE6-A608-5C2BBF4FD990}"/>
    <cellStyle name="Arial6Bold" xfId="592" xr:uid="{70F908A2-61B4-473C-A1A5-ACD452E0F863}"/>
    <cellStyle name="Arial6Bold 2" xfId="1422" xr:uid="{918E9D16-B8F0-4294-951D-B66AA70377A4}"/>
    <cellStyle name="Arial8Bold" xfId="593" xr:uid="{EC3D4218-19CD-47B4-B427-C2A6F3B8F72D}"/>
    <cellStyle name="Arial8Bold 2" xfId="1423" xr:uid="{65537768-CE64-4A36-9DD4-5DFB85790313}"/>
    <cellStyle name="Arial8Italic" xfId="594" xr:uid="{9E489E2F-2DFE-4E31-8A2D-0A70B06EB77D}"/>
    <cellStyle name="Arial8Italic 2" xfId="1424" xr:uid="{BD604C59-B92A-4D6A-9428-B271C64E232C}"/>
    <cellStyle name="ArialNormal" xfId="595" xr:uid="{28F716AF-D5DD-4119-BDA0-B810A4518B2B}"/>
    <cellStyle name="ArialNormal 2" xfId="1425" xr:uid="{761013DD-6BD9-4283-A06E-F4DD33980605}"/>
    <cellStyle name="Array" xfId="596" xr:uid="{938A68E9-3578-4FA1-A4D8-3DE243AB423F}"/>
    <cellStyle name="Array Enter" xfId="597" xr:uid="{B15E6CF7-96AA-4DBA-B7CE-45C1B7AE5246}"/>
    <cellStyle name="Array_AMT Model New 11-16-2011" xfId="960" xr:uid="{1DA88A56-BC18-4BFE-BEB9-6FF83EF8F8B3}"/>
    <cellStyle name="Assumption" xfId="56" xr:uid="{4EA286FC-EC55-4024-B24A-652DBCA319B9}"/>
    <cellStyle name="Assumption 2" xfId="1648" xr:uid="{B40CEEAD-5F94-47B9-8798-267C43A9D5C1}"/>
    <cellStyle name="Assumption 3" xfId="1649" xr:uid="{FFA7DFCE-86F3-434A-A34E-F153F0950ABD}"/>
    <cellStyle name="Assumption 3 2" xfId="1650" xr:uid="{FB9BECBF-3535-4CCD-A01E-221B3775EA78}"/>
    <cellStyle name="Assumptions" xfId="57" xr:uid="{19601218-55B7-4631-965A-841BCE416E76}"/>
    <cellStyle name="ÄÞ¸¶ [0]_TestResults" xfId="58" xr:uid="{FA430CDD-453C-4AD1-BED4-70AEB684C619}"/>
    <cellStyle name="ÄÞ¸¶_TestResults" xfId="59" xr:uid="{3FA11757-4FE1-49DD-B17E-7F5F43D9CAAA}"/>
    <cellStyle name="auf tausender" xfId="60" xr:uid="{459A12FC-58AB-4B00-AD2B-2AED4A6E04E5}"/>
    <cellStyle name="auf tausender 2" xfId="1651" xr:uid="{255CA184-3B77-466E-B757-09076322EEBD}"/>
    <cellStyle name="auf tausender 3" xfId="1652" xr:uid="{81BB29BC-7EBE-43AE-B1C0-510510DD57B0}"/>
    <cellStyle name="auf tausender 3 2" xfId="1653" xr:uid="{B830C220-45D6-4164-9127-CA4CB7E36988}"/>
    <cellStyle name="Auto" xfId="598" xr:uid="{B3FCE8C1-4091-40D6-918D-20128F0BF2CF}"/>
    <cellStyle name="Auto 2" xfId="1044" xr:uid="{42FCAEC1-B8FC-43A5-B02F-0956CD7B7FAE}"/>
    <cellStyle name="Availability" xfId="61" xr:uid="{4D376A18-C10C-46E4-8C16-BB205BCA8891}"/>
    <cellStyle name="Availability 2" xfId="1654" xr:uid="{748C6A81-2332-46C3-8A01-451AF206439F}"/>
    <cellStyle name="Availability 3" xfId="1655" xr:uid="{AC37EB7B-5019-4882-B194-397BE52B01EE}"/>
    <cellStyle name="Availability 3 2" xfId="1656" xr:uid="{19219DE2-4582-4124-BB1D-D8AF987C82BC}"/>
    <cellStyle name="Availability 4" xfId="1657" xr:uid="{B5DC53C4-4033-4C07-9FC7-877F53E571D4}"/>
    <cellStyle name="Bad 2" xfId="863" xr:uid="{32EEBBC7-FBC9-4D06-B495-F4F583EA0EB1}"/>
    <cellStyle name="Bad 3" xfId="961" xr:uid="{39418CA1-DAD7-4D2C-BC5D-1ED36F838EC8}"/>
    <cellStyle name="Bad 4" xfId="1658" xr:uid="{37B8D98A-0A88-4881-8AC3-D9A6483B0AFA}"/>
    <cellStyle name="Bad 5" xfId="1659" xr:uid="{C2D126E7-22D1-4EFD-A985-FF5D0CAA064A}"/>
    <cellStyle name="BalanceSheet" xfId="62" xr:uid="{8C3B176B-D645-4AFB-AC43-64B72FCA8543}"/>
    <cellStyle name="BalanceSheet 2" xfId="599" xr:uid="{D1BD1C53-5940-4BF6-AE6D-7F306036ED34}"/>
    <cellStyle name="BalanceSheet 2 2" xfId="1660" xr:uid="{9F9CBE67-994D-4C5C-A679-F8707DE490D1}"/>
    <cellStyle name="BlackTitle" xfId="63" xr:uid="{E3B675EA-14B7-4ED4-BE4B-92E838898C9C}"/>
    <cellStyle name="BlackTitle 2" xfId="1661" xr:uid="{8CE96BBE-51B8-455D-997C-6C9AB68820F2}"/>
    <cellStyle name="BlackTitle 2 2" xfId="1662" xr:uid="{328FBB68-62A0-4DB8-ABAF-F8B0B7422848}"/>
    <cellStyle name="Blank" xfId="64" xr:uid="{B3AE6CE6-47A2-48CC-B29D-794A8B71CD15}"/>
    <cellStyle name="Blank 2" xfId="921" xr:uid="{2D4EFB39-FE1B-4AE4-94DC-6430531553DA}"/>
    <cellStyle name="block" xfId="65" xr:uid="{E8B5FA37-8055-4441-9AE9-EFCA37A168D1}"/>
    <cellStyle name="blp_column_header" xfId="1663" xr:uid="{24E79318-2A88-4F07-8819-19471F00806F}"/>
    <cellStyle name="Blue" xfId="66" xr:uid="{404E4780-23A1-421F-81A6-7CABD2A32C5D}"/>
    <cellStyle name="Blue 2" xfId="600" xr:uid="{C620B97A-157A-4B27-B86F-42162B0C90B3}"/>
    <cellStyle name="blue shading" xfId="1664" xr:uid="{F405BE33-1549-481B-8D6A-5ECF43F40C7C}"/>
    <cellStyle name="Bold/Border" xfId="601" xr:uid="{0941D759-FFAF-40B4-94DE-19FC30BE2EEA}"/>
    <cellStyle name="British Pound" xfId="67" xr:uid="{79D43682-8E5B-4981-AAE8-ABDD3D438968}"/>
    <cellStyle name="Bullet" xfId="602" xr:uid="{61317B95-2C44-4F5D-B3AF-2D088402190C}"/>
    <cellStyle name="Ç¥ÁØ_TestResults" xfId="68" xr:uid="{286C1DAF-18F7-4AB7-9903-CAB6D512EA1D}"/>
    <cellStyle name="C10_2001 Figs Black" xfId="603" xr:uid="{E4645AEB-6947-43DE-AB5F-960A7045FF5E}"/>
    <cellStyle name="Calcul" xfId="69" xr:uid="{D7DB33E5-E46F-422C-82A0-C58C8AB488A6}"/>
    <cellStyle name="Calcul 2" xfId="1665" xr:uid="{CBF4A93C-EB2E-4229-8DA3-DF7E6B8D380F}"/>
    <cellStyle name="Calcul 3" xfId="1666" xr:uid="{2741FD58-4472-4120-82CE-BE69490C0231}"/>
    <cellStyle name="Calcul 3 2" xfId="1667" xr:uid="{41695098-A0E3-4D8C-A319-302EE258A2D3}"/>
    <cellStyle name="Calculation 2" xfId="864" xr:uid="{BF4B64B3-2B4E-4392-A5F5-BF3EE73D2472}"/>
    <cellStyle name="Calculation 3" xfId="966" xr:uid="{305AC8A0-84C4-42AA-A705-84D9A14EF021}"/>
    <cellStyle name="Calculation 3 2" xfId="1463" xr:uid="{2DE95D1D-6D18-43F8-9E5C-D346A3108091}"/>
    <cellStyle name="Calculation 4" xfId="1273" xr:uid="{DF39421F-87EA-48D0-BE33-BB1469A8C3DE}"/>
    <cellStyle name="Calculation 5" xfId="70" xr:uid="{7112C2C6-FD85-4564-8E16-F727F9A19752}"/>
    <cellStyle name="CashFlow" xfId="71" xr:uid="{AE2F0008-087A-4EF9-96CB-DF364D37594F}"/>
    <cellStyle name="CashFlow 2" xfId="604" xr:uid="{9302FD64-D140-41DC-8794-4933D4361ECD}"/>
    <cellStyle name="CashFlow 2 2" xfId="1668" xr:uid="{D005D10B-AA41-416B-AFBA-716C5478F53E}"/>
    <cellStyle name="category" xfId="72" xr:uid="{C583F8B7-8DFC-44CB-BD24-DBD9D9F2EBC8}"/>
    <cellStyle name="Category Title" xfId="605" xr:uid="{41D11BFB-87A1-4318-83D0-EF555DE20331}"/>
    <cellStyle name="CComma" xfId="606" xr:uid="{2B4A1E55-854E-45EF-BBC2-987555954DCA}"/>
    <cellStyle name="CComma (0)" xfId="607" xr:uid="{60998173-E301-4C67-B5F7-A42534DECD19}"/>
    <cellStyle name="CComma (0) 2" xfId="1099" xr:uid="{DE29173E-C49D-4E85-B833-7F1D53CADBC2}"/>
    <cellStyle name="CComma 10" xfId="1228" xr:uid="{1B0D7CC2-8814-47F9-9C5A-DA6DBF13426D}"/>
    <cellStyle name="CComma 11" xfId="1197" xr:uid="{A34146E5-B0AA-4961-9FBF-77D53281C3A6}"/>
    <cellStyle name="CComma 12" xfId="1230" xr:uid="{7D7496A3-974B-49DB-A552-5B0DF1DCDA03}"/>
    <cellStyle name="CComma 13" xfId="1198" xr:uid="{70A7D973-665C-4C4C-A35D-93C2CDB3B588}"/>
    <cellStyle name="CComma 14" xfId="1231" xr:uid="{47746168-72E8-4A79-917F-FBEA12EFBB1A}"/>
    <cellStyle name="CComma 15" xfId="1201" xr:uid="{E8D63976-AFC6-4ED2-B253-3649BFF3C826}"/>
    <cellStyle name="CComma 16" xfId="1233" xr:uid="{6FDB479D-AAAB-4830-8A81-9FF8F4570B10}"/>
    <cellStyle name="CComma 17" xfId="1203" xr:uid="{8FF6A8AD-4D53-430D-B72E-0852B263E88D}"/>
    <cellStyle name="CComma 18" xfId="1232" xr:uid="{7BBF99E1-2539-4F2D-A224-EA2BB26E3925}"/>
    <cellStyle name="CComma 2" xfId="1161" xr:uid="{5B5C7DBC-9BC2-45D4-AEBC-7698DF5E6ED0}"/>
    <cellStyle name="CComma 3" xfId="1184" xr:uid="{4F6624D9-650C-4B31-B138-CD7A907AB130}"/>
    <cellStyle name="CComma 4" xfId="1217" xr:uid="{A3D68ABB-705C-4B11-B72F-314D1AA20725}"/>
    <cellStyle name="CComma 5" xfId="1188" xr:uid="{158F19E3-80A8-4390-9331-0D2A44AFACE1}"/>
    <cellStyle name="CComma 6" xfId="1219" xr:uid="{DFE7DAF9-753F-4D2F-94A7-7ACA52832071}"/>
    <cellStyle name="CComma 7" xfId="1192" xr:uid="{10F5AE5A-7EE6-48C6-BC72-B3F393F68B33}"/>
    <cellStyle name="CComma 8" xfId="1221" xr:uid="{D516FDD8-7155-4A6D-9441-AB985F4E9934}"/>
    <cellStyle name="CComma 9" xfId="1194" xr:uid="{467AEC7B-BB69-4F51-83CF-70B20B18B972}"/>
    <cellStyle name="CCurrency (0)" xfId="608" xr:uid="{ED623D68-A51E-4FEF-BA91-C97896818FAE}"/>
    <cellStyle name="CCurrency (0) 2" xfId="1045" xr:uid="{4830DC12-337A-41F2-87C5-F32BCFAEC583}"/>
    <cellStyle name="Changeable" xfId="73" xr:uid="{FD986659-6598-4CE6-850A-6B2E1070FEE5}"/>
    <cellStyle name="Check Cell 2" xfId="865" xr:uid="{9A3D3E80-A614-4720-B249-84560A4E9E4E}"/>
    <cellStyle name="Check Cell 3" xfId="969" xr:uid="{D129A3D5-5A21-4B07-8D29-61869D2C2E14}"/>
    <cellStyle name="Check Cell 4" xfId="1669" xr:uid="{DFE23C75-FF37-4634-A94B-8A4DFB451421}"/>
    <cellStyle name="Checksum" xfId="74" xr:uid="{70CAD338-E8F0-4D7E-B87A-4FE78FD69EEB}"/>
    <cellStyle name="Colhead_left" xfId="609" xr:uid="{2CC155A7-21C0-4ECD-B306-211558EB36B7}"/>
    <cellStyle name="ColHeading" xfId="75" xr:uid="{174B5784-91C0-4B9B-8E03-A27892C3CBE5}"/>
    <cellStyle name="ColHeading 2" xfId="610" xr:uid="{81E4A2AA-DD63-43D5-A4C1-51D80F54E316}"/>
    <cellStyle name="ColHeading 3" xfId="1670" xr:uid="{B4479D8D-4632-4FD0-A49B-038FDE2D949E}"/>
    <cellStyle name="ColHeading 3 2" xfId="1671" xr:uid="{73640AE5-2C44-41F1-ADC7-77B11560C0D6}"/>
    <cellStyle name="colheadleft" xfId="611" xr:uid="{58251759-598C-4C13-BA23-545B7B56F60B}"/>
    <cellStyle name="colheadright" xfId="612" xr:uid="{461BD303-3DD2-49C1-9843-10785B27AD7A}"/>
    <cellStyle name="Column Heading" xfId="76" xr:uid="{7F4D785B-2738-4889-82C9-AF251C16134E}"/>
    <cellStyle name="Column Heading (No Wrap)" xfId="77" xr:uid="{A311FFD9-B9A6-4509-A431-54283C1C597E}"/>
    <cellStyle name="Column Heading (No Wrap) 2" xfId="1672" xr:uid="{472D7CD9-2B46-4C10-8D6A-A4F3207AD50B}"/>
    <cellStyle name="Column Heading (No Wrap) 3" xfId="1673" xr:uid="{273DF25F-69A1-4941-858E-372D1254DFF4}"/>
    <cellStyle name="Column Heading (No Wrap) 3 2" xfId="1674" xr:uid="{3FC270D7-481A-4E85-8E61-52A3AA41CF84}"/>
    <cellStyle name="Column Heading 2" xfId="1675" xr:uid="{C4CA911E-68CE-4B5C-9B2E-52B8FBB4A858}"/>
    <cellStyle name="Column Heading 3" xfId="1676" xr:uid="{EAEC1B2B-CD43-45E5-B206-E0A0E976CC89}"/>
    <cellStyle name="Column Heading 3 2" xfId="1677" xr:uid="{5DAA16EA-72F9-476E-B353-422535D46158}"/>
    <cellStyle name="Column Heading 4" xfId="1678" xr:uid="{D5A70672-F8C6-432D-A0EA-9CF68F3589A4}"/>
    <cellStyle name="Column Heading 4 2" xfId="1679" xr:uid="{9ACCA69D-646C-43CC-ADBC-78B8D2DBD2A4}"/>
    <cellStyle name="Column Heading 5" xfId="1680" xr:uid="{81266F63-9B7A-4C11-A965-81AD438087E4}"/>
    <cellStyle name="Column Heading 5 2" xfId="1681" xr:uid="{1CE102F4-EA99-4484-9339-E77422BC738A}"/>
    <cellStyle name="Column Heading 6" xfId="1682" xr:uid="{66A1C0A4-75DF-4832-9199-CFA6AE49BADD}"/>
    <cellStyle name="Column Heading 6 2" xfId="1683" xr:uid="{0EF5924D-E9FC-4704-9203-560D3ADA8EC0}"/>
    <cellStyle name="Column Heading_SHEET" xfId="78" xr:uid="{D2EC0DD5-1294-4E83-A03E-C17DE82D65FE}"/>
    <cellStyle name="Column label" xfId="79" xr:uid="{662E04E5-47CD-4B9F-8CA8-2F7E4C360144}"/>
    <cellStyle name="Column label (left aligned)" xfId="80" xr:uid="{362F24B4-627C-4416-911A-1FAE99B523A4}"/>
    <cellStyle name="Column label (left aligned) 2" xfId="1684" xr:uid="{D7797CAB-B071-40B5-83EC-9244076B569E}"/>
    <cellStyle name="Column label (left aligned) 3" xfId="1685" xr:uid="{179CB217-F85D-44F3-93B2-FBCC6B121875}"/>
    <cellStyle name="Column label (no wrap)" xfId="81" xr:uid="{6CE50F17-E70F-44FF-ABFA-38AF886B1779}"/>
    <cellStyle name="Column label (no wrap) 2" xfId="1686" xr:uid="{A73920FA-7EE4-4B5F-98A6-A7C8D53E6B85}"/>
    <cellStyle name="Column label (no wrap) 3" xfId="1687" xr:uid="{50254594-D07E-4701-9937-1DBD9FDECE66}"/>
    <cellStyle name="Column label (not bold)" xfId="82" xr:uid="{5DCC4A25-61F2-40F8-A740-E3D49146972C}"/>
    <cellStyle name="Column label (not bold) 2" xfId="1274" xr:uid="{413785D0-9673-4FAF-89BE-A590FCFE5D4B}"/>
    <cellStyle name="Column label (not bold) 3" xfId="1688" xr:uid="{9246FE0C-E015-45B2-AFC9-07CFE6C6DE75}"/>
    <cellStyle name="Column label 10" xfId="1689" xr:uid="{8ED4A131-D53F-4873-AE98-94E1B1B3A4DF}"/>
    <cellStyle name="Column label 11" xfId="1690" xr:uid="{B552FD15-27F3-4110-9B8D-D92E3547F602}"/>
    <cellStyle name="Column label 2" xfId="1691" xr:uid="{6123A5CA-85FA-4A40-B4DD-7DB7AC37F048}"/>
    <cellStyle name="Column label 3" xfId="1692" xr:uid="{B330E979-6F9D-47E2-ADDB-1426A41E6D87}"/>
    <cellStyle name="Column label 4" xfId="1693" xr:uid="{AFC74634-AE58-4F83-B00D-86EA7E1C320B}"/>
    <cellStyle name="Column label 5" xfId="1694" xr:uid="{4853C1C0-9386-412F-9B77-2CDCE232B8F3}"/>
    <cellStyle name="Column label 6" xfId="1695" xr:uid="{4402838D-3971-4C15-905B-E389F41ABF16}"/>
    <cellStyle name="Column label 7" xfId="1696" xr:uid="{289F4D10-50C5-429B-A356-DF5D6F1DFBE4}"/>
    <cellStyle name="Column label 8" xfId="1697" xr:uid="{3BA69E83-6024-4AEE-B321-0398BF681913}"/>
    <cellStyle name="Column label 9" xfId="1698" xr:uid="{B2927A31-0FDE-4338-803C-A00276FDE9C1}"/>
    <cellStyle name="Column label_sheet" xfId="83" xr:uid="{4AA7BE16-A88B-412F-A55F-67E5D4CFAA15}"/>
    <cellStyle name="Column Total" xfId="84" xr:uid="{842C19EB-CDB7-4C67-8AC9-729A8EE96334}"/>
    <cellStyle name="Column Total 2" xfId="1699" xr:uid="{EF838E08-9D1C-4B50-969E-8CB878E6994B}"/>
    <cellStyle name="Column Total 3" xfId="1700" xr:uid="{422E7F83-1DB3-40DF-8569-A216E52554F7}"/>
    <cellStyle name="Column Total 3 2" xfId="1701" xr:uid="{8B9B4056-2E97-4C04-8391-566FDF74D0A2}"/>
    <cellStyle name="Comma" xfId="1" builtinId="3"/>
    <cellStyle name="Comma  - Style1" xfId="614" xr:uid="{AC20C331-D69F-458F-ADB2-857D56B796B4}"/>
    <cellStyle name="Comma  - Style2" xfId="615" xr:uid="{93CAB5DF-10AA-4A72-8761-CE142DB617FF}"/>
    <cellStyle name="Comma  - Style3" xfId="616" xr:uid="{C6751587-BE63-4B4A-AFBA-00E971AE39B4}"/>
    <cellStyle name="Comma  - Style4" xfId="617" xr:uid="{185DD1B8-D514-4512-9985-6889BEA2C583}"/>
    <cellStyle name="Comma  - Style5" xfId="618" xr:uid="{EE900ED7-BC9E-45C6-8077-745894FEDD3D}"/>
    <cellStyle name="Comma  - Style6" xfId="619" xr:uid="{0D24BC79-0F71-4686-845F-380DFE5DD1E8}"/>
    <cellStyle name="Comma  - Style7" xfId="620" xr:uid="{848E9A4F-020D-4175-BB36-0C017CD1F759}"/>
    <cellStyle name="Comma  - Style8" xfId="621" xr:uid="{86AA290A-7A34-4846-B6FF-04D1A336132C}"/>
    <cellStyle name="comma - number" xfId="86" xr:uid="{FB437BDE-187F-453D-9694-E9948782798A}"/>
    <cellStyle name="comma - number 2" xfId="1702" xr:uid="{810EDDB3-3DC1-4C52-9514-BD78CD41D9B1}"/>
    <cellStyle name="Comma (1)" xfId="622" xr:uid="{37D30E21-F87B-4E55-91CA-15AF15B17489}"/>
    <cellStyle name="Comma (1) 2" xfId="1127" xr:uid="{38A25F96-948B-4D53-8305-5AA1CDF67292}"/>
    <cellStyle name="Comma [0]" xfId="15" builtinId="6"/>
    <cellStyle name="Comma [2]" xfId="87" xr:uid="{62BC3A9F-062A-48BF-9955-6E64FC254E26}"/>
    <cellStyle name="Comma [2] 2" xfId="1703" xr:uid="{CAE5A310-8CF1-4EA7-A1C6-09DA25E21E8E}"/>
    <cellStyle name="Comma 0" xfId="88" xr:uid="{8025D9F2-E60E-4822-87BA-66C24B3FE557}"/>
    <cellStyle name="Comma 0 2" xfId="623" xr:uid="{A01BE784-1C84-4EA6-A4DE-9EDE8A42BA09}"/>
    <cellStyle name="Comma 0*" xfId="624" xr:uid="{2C2616E7-AC8D-4A62-993D-5524D35BFB6A}"/>
    <cellStyle name="Comma 0* 2" xfId="1132" xr:uid="{59C90140-B941-4743-AF8E-067B552538BE}"/>
    <cellStyle name="Comma 0_XOM model" xfId="625" xr:uid="{77601311-40F4-47B5-877B-895E8210CFA9}"/>
    <cellStyle name="Comma 10" xfId="468" xr:uid="{24E87B1B-AFC1-4100-9F72-5C0804A34360}"/>
    <cellStyle name="Comma 10 2" xfId="1186" xr:uid="{18868DCE-6BD5-4310-988A-4C2520C193B1}"/>
    <cellStyle name="Comma 10 3" xfId="1338" xr:uid="{7679AA7B-054D-43F0-9466-E25513A59EFD}"/>
    <cellStyle name="Comma 11" xfId="471" xr:uid="{D962CF24-12C5-40EC-B86C-5FB9033191D6}"/>
    <cellStyle name="Comma 11 2" xfId="1223" xr:uid="{B4538284-97D0-4AB2-ADB6-822FF9A68647}"/>
    <cellStyle name="Comma 11 3" xfId="1341" xr:uid="{687BB022-0483-4B04-8D46-0DE05408F1DE}"/>
    <cellStyle name="Comma 12" xfId="474" xr:uid="{72259432-2218-4A47-99F7-3C6A4B887624}"/>
    <cellStyle name="Comma 12 2" xfId="1190" xr:uid="{0FA8F83C-ECAC-4387-9B91-356FA7807148}"/>
    <cellStyle name="Comma 12 3" xfId="1344" xr:uid="{48F8B7B7-98C8-4598-BEC9-F7A19A18C69E}"/>
    <cellStyle name="Comma 13" xfId="477" xr:uid="{9DF87273-22C3-4D31-BEBC-E4BB2C7CA4D5}"/>
    <cellStyle name="Comma 13 2" xfId="1226" xr:uid="{C0172622-AED4-40D7-93C3-90D75115AEF2}"/>
    <cellStyle name="Comma 13 3" xfId="1347" xr:uid="{A42618D0-42D8-4EC1-9345-139E7ACEB4C4}"/>
    <cellStyle name="Comma 14" xfId="480" xr:uid="{78E0F4A5-E2A9-4330-B856-0C83222E5094}"/>
    <cellStyle name="Comma 14 2" xfId="1191" xr:uid="{8CB6182C-4CD8-4BDF-AB3D-59820D14AC4E}"/>
    <cellStyle name="Comma 14 3" xfId="1350" xr:uid="{1994A399-9D7C-4AA6-8FF4-6778326DA818}"/>
    <cellStyle name="Comma 15" xfId="483" xr:uid="{8243CE34-B001-4E08-90BD-7A2F3761CBC1}"/>
    <cellStyle name="Comma 15 2" xfId="1227" xr:uid="{684AD9FF-9C0C-48B7-BCF9-8EDCB4369A9E}"/>
    <cellStyle name="Comma 15 3" xfId="1353" xr:uid="{883C0DAF-F579-49A0-BEC9-87A87FC390A9}"/>
    <cellStyle name="Comma 16" xfId="486" xr:uid="{0D03541E-0A03-4982-8C25-6579CC6AF3EA}"/>
    <cellStyle name="Comma 16 2" xfId="1196" xr:uid="{AB55EA10-A55B-4C83-BE1E-DBC7A88413B9}"/>
    <cellStyle name="Comma 16 3" xfId="1356" xr:uid="{25837122-8D60-4218-8F0F-40AAE1129A0D}"/>
    <cellStyle name="Comma 17" xfId="489" xr:uid="{FE7C47F7-021B-4EE9-9C8B-EA9336ECBB60}"/>
    <cellStyle name="Comma 17 2" xfId="1229" xr:uid="{5070B868-7EC8-4D7F-BA89-2B2F148F6388}"/>
    <cellStyle name="Comma 17 3" xfId="1359" xr:uid="{478FAA27-9C78-4B2D-BBC6-EB9C01AFB952}"/>
    <cellStyle name="Comma 18" xfId="492" xr:uid="{E01C968D-CA12-455F-A0F3-E1C9833F3D15}"/>
    <cellStyle name="Comma 18 2" xfId="1200" xr:uid="{2DA9000E-0B01-4013-842B-A971BD4ED36E}"/>
    <cellStyle name="Comma 18 3" xfId="1362" xr:uid="{9FAF25EC-5F13-4B88-83BB-934C03AA2C5D}"/>
    <cellStyle name="Comma 19" xfId="495" xr:uid="{DFDC4838-935D-4B0D-BBEA-05EEF1852FDE}"/>
    <cellStyle name="Comma 19 2" xfId="1225" xr:uid="{3FD006E3-FBF4-49F1-9B9D-31B18464997E}"/>
    <cellStyle name="Comma 19 3" xfId="1365" xr:uid="{FE9BAE99-65E8-40A3-8EF3-081B020E97E8}"/>
    <cellStyle name="Comma 2" xfId="6" xr:uid="{119BA09C-27F0-49AC-BAE9-9347230F26C9}"/>
    <cellStyle name="Comma 2 2" xfId="866" xr:uid="{9D2356BF-0629-4210-9CDC-4FB3CE854E38}"/>
    <cellStyle name="Comma 2 2 2" xfId="1128" xr:uid="{AD84830E-2163-4335-AF8C-F66B34B7B091}"/>
    <cellStyle name="Comma 2 3" xfId="867" xr:uid="{112C589F-AC07-49FF-BB1B-FA1996F334C2}"/>
    <cellStyle name="Comma 2 3 2" xfId="1092" xr:uid="{0BDF9B72-D754-41B2-BC4F-6F099F9A3A7C}"/>
    <cellStyle name="Comma 2 3 2 2" xfId="1481" xr:uid="{5F60E58D-AEDA-4B22-AB34-999842B5C0A1}"/>
    <cellStyle name="Comma 2 3 3" xfId="1438" xr:uid="{8BC73286-A6B5-4664-B368-189A3D922394}"/>
    <cellStyle name="Comma 2 4" xfId="868" xr:uid="{381B313C-6A48-427C-96F2-03172A1345F1}"/>
    <cellStyle name="Comma 2 4 2" xfId="1093" xr:uid="{FC107B45-255D-40FF-A76A-4F2AB732B80D}"/>
    <cellStyle name="Comma 2 4 2 2" xfId="1482" xr:uid="{26BD50B1-C1B4-4E17-91B7-F960E16D26E4}"/>
    <cellStyle name="Comma 2 4 3" xfId="1439" xr:uid="{1E91E35C-84D8-4907-85DB-DCEB462874F4}"/>
    <cellStyle name="Comma 2 5" xfId="869" xr:uid="{6317D2FA-33A6-4E5F-8557-34B9871BD2B0}"/>
    <cellStyle name="Comma 2 5 2" xfId="1134" xr:uid="{87571CAB-68EE-449A-98F3-9D21DE823198}"/>
    <cellStyle name="Comma 2 5 2 2" xfId="1488" xr:uid="{6FC443B0-8E04-465B-AABB-190EBE0D3767}"/>
    <cellStyle name="Comma 2 5 3" xfId="1440" xr:uid="{3C3309B4-E690-490A-9130-691AB1CE8E66}"/>
    <cellStyle name="Comma 2 6" xfId="870" xr:uid="{5018D4A7-723C-427B-919E-B4BCEA9B1705}"/>
    <cellStyle name="Comma 2 6 2" xfId="1094" xr:uid="{7B3C5A16-D068-4BEE-BAAB-E053F2063FFD}"/>
    <cellStyle name="Comma 2 6 2 2" xfId="1483" xr:uid="{ADF52A83-186C-4539-AAB2-C624E0C613EB}"/>
    <cellStyle name="Comma 2 6 3" xfId="1441" xr:uid="{1C8B108D-FC0E-4FCD-8066-BE4912508391}"/>
    <cellStyle name="Comma 2 7" xfId="626" xr:uid="{91A4E039-124A-43AF-8932-B1CCD561E274}"/>
    <cellStyle name="Comma 2 8" xfId="976" xr:uid="{BD1DD025-E96C-422B-A05B-CE3F02EC4094}"/>
    <cellStyle name="Comma 2 9" xfId="89" xr:uid="{246CA501-595E-48E3-BD50-26C701777C09}"/>
    <cellStyle name="Comma 20" xfId="498" xr:uid="{31A517BE-0EAE-4472-92C4-71072D12B36B}"/>
    <cellStyle name="Comma 20 2" xfId="1368" xr:uid="{2649EFD7-54E7-4EDE-84AF-BD57B38D07F8}"/>
    <cellStyle name="Comma 21" xfId="501" xr:uid="{D4CD99F8-5F4E-40D9-90F4-74728BC852B5}"/>
    <cellStyle name="Comma 21 2" xfId="1371" xr:uid="{02663135-3809-4F0B-9827-5828ED88FBD4}"/>
    <cellStyle name="Comma 22" xfId="504" xr:uid="{D4CE4220-1D51-4456-8856-BFF2FC9C26F0}"/>
    <cellStyle name="Comma 22 2" xfId="1374" xr:uid="{3CA47E4E-FD48-4B7E-B376-E72E97541646}"/>
    <cellStyle name="Comma 23" xfId="507" xr:uid="{5A9CDEC3-3EC4-4F34-8E64-7189A5537004}"/>
    <cellStyle name="Comma 23 2" xfId="1377" xr:uid="{4A62D42A-EAD6-490C-9E12-01995E97461F}"/>
    <cellStyle name="Comma 24" xfId="510" xr:uid="{0D9FCAF2-2099-40D7-9597-E82D462B495A}"/>
    <cellStyle name="Comma 24 2" xfId="1380" xr:uid="{AFC6C2E9-65FF-4447-B699-7FCD77FB047E}"/>
    <cellStyle name="Comma 25" xfId="513" xr:uid="{1508D49B-EFED-4E08-9C11-1F20AECE60E8}"/>
    <cellStyle name="Comma 25 2" xfId="1383" xr:uid="{A0D408F6-F0A2-40BD-9963-90FA4C394D43}"/>
    <cellStyle name="Comma 26" xfId="516" xr:uid="{1170DDE7-BB0D-42CB-8EBE-8CD41420611E}"/>
    <cellStyle name="Comma 26 2" xfId="1386" xr:uid="{636235DB-3BE5-4B5F-A2C4-98F262C48AC7}"/>
    <cellStyle name="Comma 27" xfId="519" xr:uid="{FB6CBC3E-EB1F-4201-92C0-9435A3595F0E}"/>
    <cellStyle name="Comma 27 2" xfId="1389" xr:uid="{591F6877-F83F-4750-9CFA-4F40A147D4E2}"/>
    <cellStyle name="Comma 28" xfId="522" xr:uid="{A1014698-E8B5-44D7-85DA-F0DB79EF94AF}"/>
    <cellStyle name="Comma 28 2" xfId="1392" xr:uid="{5B1EDE86-08B2-4E2F-960E-BD133672FED9}"/>
    <cellStyle name="Comma 29" xfId="525" xr:uid="{37825FDA-A44A-4116-920B-F46D30CF93B9}"/>
    <cellStyle name="Comma 29 2" xfId="1395" xr:uid="{92A8EF76-2D6F-4E2A-BD0C-21BEF634CDC7}"/>
    <cellStyle name="Comma 3" xfId="11" xr:uid="{7670BE2A-F78E-4D57-A374-B171BB6B267E}"/>
    <cellStyle name="Comma 3 2" xfId="837" xr:uid="{10E91343-2393-41D9-A689-EB45FDF9D779}"/>
    <cellStyle name="Comma 3 3" xfId="826" xr:uid="{6D036401-571B-468E-8DFE-4FBEAEB961FB}"/>
    <cellStyle name="Comma 3 3 2" xfId="1254" xr:uid="{C7EEF5B1-908B-4237-AF4F-7D1E2C545027}"/>
    <cellStyle name="Comma 3 4" xfId="1125" xr:uid="{FED2A4B2-9397-4A02-A3D6-F08CF3AE2364}"/>
    <cellStyle name="Comma 3 5" xfId="90" xr:uid="{E4EF7ED5-AF83-4224-B023-6D0577D45628}"/>
    <cellStyle name="Comma 30" xfId="528" xr:uid="{CD15032B-2DC0-4835-8BF7-642BCC0C16F1}"/>
    <cellStyle name="Comma 30 2" xfId="1398" xr:uid="{AFB565E7-3A6A-4DE7-AA22-53B63D9A6A06}"/>
    <cellStyle name="Comma 31" xfId="531" xr:uid="{9E18D661-0C27-47DF-8127-E5115A76FE8D}"/>
    <cellStyle name="Comma 31 2" xfId="1401" xr:uid="{B30590BA-B6B0-4300-A118-8FCE3DFB5103}"/>
    <cellStyle name="Comma 32" xfId="534" xr:uid="{757D4B10-91FC-4952-AA38-E5AC9B5EB9BB}"/>
    <cellStyle name="Comma 32 2" xfId="1404" xr:uid="{C1103E2E-08CD-48F3-B054-DD4C7E301741}"/>
    <cellStyle name="Comma 33" xfId="537" xr:uid="{FBA71331-6A01-48C6-B30E-82512B2D7448}"/>
    <cellStyle name="Comma 33 2" xfId="1407" xr:uid="{590D60B9-1170-414C-B766-2BD42B6A4B33}"/>
    <cellStyle name="Comma 34" xfId="540" xr:uid="{1837A749-3706-4DB0-B878-8C3C54882BC8}"/>
    <cellStyle name="Comma 34 2" xfId="1410" xr:uid="{6D4C8DD2-8B37-4438-B79B-40D4783AEF27}"/>
    <cellStyle name="Comma 35" xfId="543" xr:uid="{100CB099-4D54-4A64-BA60-AFAE2A61451D}"/>
    <cellStyle name="Comma 35 2" xfId="1413" xr:uid="{F2BB7B91-753E-4CBA-8D69-90C34FB42C22}"/>
    <cellStyle name="Comma 36" xfId="546" xr:uid="{CF7E9943-F7E1-4CB9-8590-103241AB9BAF}"/>
    <cellStyle name="Comma 36 2" xfId="1416" xr:uid="{835F8494-4C4F-4109-BDEE-6D3152E5AB4E}"/>
    <cellStyle name="Comma 37" xfId="549" xr:uid="{64727400-691B-4471-9980-781EE21BBE40}"/>
    <cellStyle name="Comma 37 2" xfId="1419" xr:uid="{8B81A9A2-00D9-42FB-A240-82FC8C5BB382}"/>
    <cellStyle name="Comma 38" xfId="613" xr:uid="{25232BA0-7DDC-4A16-AEFC-FF7F96F9F259}"/>
    <cellStyle name="Comma 39" xfId="906" xr:uid="{14BC703A-FF93-4191-A41A-F9D20C840EFD}"/>
    <cellStyle name="Comma 4" xfId="91" xr:uid="{B3F2C7E7-DDE2-4528-AEAE-F7B8982AFC1B}"/>
    <cellStyle name="Comma 4 2" xfId="834" xr:uid="{C12DB6E0-2FCE-46C5-A16F-24538331723D}"/>
    <cellStyle name="Comma 4 2 2" xfId="1437" xr:uid="{8A6B002F-3491-4D7D-B727-3A609295D67B}"/>
    <cellStyle name="Comma 4 3" xfId="920" xr:uid="{E16E998B-3A0F-4C3C-84D4-77C0A7823BEF}"/>
    <cellStyle name="Comma 4 3 2" xfId="1459" xr:uid="{5EFF8777-C0C1-45EC-8877-F666AD64881D}"/>
    <cellStyle name="Comma 4 4" xfId="1176" xr:uid="{02DFAECC-ED8E-43CF-A6DB-DBE7A8BA7D96}"/>
    <cellStyle name="Comma 4 5" xfId="1276" xr:uid="{073F0DE0-C12A-4A51-8B3E-9455550C5A6E}"/>
    <cellStyle name="Comma 40" xfId="917" xr:uid="{6FB2987C-3D45-4D71-9891-2BA2DD682E31}"/>
    <cellStyle name="Comma 41" xfId="972" xr:uid="{11BCC87A-BAEA-4233-8C4C-FFFC3A497DFE}"/>
    <cellStyle name="Comma 42" xfId="1056" xr:uid="{A9856960-3163-40E9-892E-4598B3CD4763}"/>
    <cellStyle name="Comma 43" xfId="954" xr:uid="{3E442B4F-379D-428E-A0AD-19DFCE4A93F8}"/>
    <cellStyle name="Comma 44" xfId="1049" xr:uid="{356FF143-42E5-4E93-B97F-95DBA08F8A5E}"/>
    <cellStyle name="Comma 45" xfId="959" xr:uid="{68F483CA-AC94-4B61-B25F-83F0F89306B8}"/>
    <cellStyle name="Comma 46" xfId="1085" xr:uid="{0DB10489-586F-4C46-8222-AC6B6CB71F10}"/>
    <cellStyle name="Comma 47" xfId="965" xr:uid="{E3483D19-CA89-4FDE-AD7B-3F771232E18B}"/>
    <cellStyle name="Comma 48" xfId="1054" xr:uid="{C60574EB-FBCA-4489-924B-947A2EC85CF4}"/>
    <cellStyle name="Comma 49" xfId="1102" xr:uid="{10D7DBB0-46FC-41FD-AC17-F6A221C3CA35}"/>
    <cellStyle name="Comma 5" xfId="453" xr:uid="{B2930E43-5AD6-48E2-A92A-44FA27FBA3BD}"/>
    <cellStyle name="Comma 5 2" xfId="871" xr:uid="{50065733-1FAD-4C19-91B7-F26E89EDBBEC}"/>
    <cellStyle name="Comma 5 2 2" xfId="1442" xr:uid="{5D9B569D-3623-4691-9E1D-378D1C2C439C}"/>
    <cellStyle name="Comma 5 3" xfId="1095" xr:uid="{70E24A83-B0D0-40A2-A311-54C82E8F86BA}"/>
    <cellStyle name="Comma 5 3 2" xfId="1484" xr:uid="{92B05958-2B9D-4353-80C0-E8894AEF1002}"/>
    <cellStyle name="Comma 5 4" xfId="1213" xr:uid="{6A49EA74-A3D3-4B33-9CDF-9BC12ABF45B4}"/>
    <cellStyle name="Comma 5 5" xfId="1323" xr:uid="{782D6FBD-E4AA-4A5A-AD2F-1888B26FE39E}"/>
    <cellStyle name="Comma 50" xfId="1130" xr:uid="{EBA72048-CE7D-412F-B9BD-A3D0347FE1D1}"/>
    <cellStyle name="Comma 51" xfId="975" xr:uid="{B4548C6A-DE17-457E-BA5D-F9148698916B}"/>
    <cellStyle name="Comma 52" xfId="1067" xr:uid="{531013C1-E29D-44EB-B837-D3E28E52AABD}"/>
    <cellStyle name="Comma 53" xfId="1105" xr:uid="{54F39940-A97A-4A6B-B6FF-773C58326BF1}"/>
    <cellStyle name="Comma 54" xfId="1101" xr:uid="{73B8A49D-0F07-4137-8DC9-585F781F62D8}"/>
    <cellStyle name="Comma 55" xfId="926" xr:uid="{442FB674-C60E-4086-9718-88E4AA2BA661}"/>
    <cellStyle name="Comma 56" xfId="964" xr:uid="{7229CE42-6B3B-40C6-9191-6DF06D04D292}"/>
    <cellStyle name="Comma 57" xfId="1266" xr:uid="{8C4D9543-E0DA-46FC-AC39-025984321D3D}"/>
    <cellStyle name="Comma 58" xfId="1275" xr:uid="{50BA2FDC-35D5-4CFB-9DB9-62D9F76D9313}"/>
    <cellStyle name="Comma 59" xfId="85" xr:uid="{9CF5A41B-18B8-4D2F-A5D1-5160FFDF7FC3}"/>
    <cellStyle name="Comma 6" xfId="456" xr:uid="{7640B29D-F05D-4EEC-A744-7D2DBB4E0FE0}"/>
    <cellStyle name="Comma 6 2" xfId="1177" xr:uid="{E4D912B5-D5BC-43B8-84C1-62CDD1DF248F}"/>
    <cellStyle name="Comma 6 3" xfId="1326" xr:uid="{9133D74C-B7A6-421F-A606-9E3DE4487237}"/>
    <cellStyle name="Comma 6 3 2" xfId="1704" xr:uid="{C08A4E68-86EA-4841-B8A7-F51F3D1EB19D}"/>
    <cellStyle name="Comma 6 4" xfId="1705" xr:uid="{39D1E2D3-B205-49BC-B9BC-F8CE5C64F429}"/>
    <cellStyle name="Comma 60" xfId="2383" xr:uid="{5EED4105-4A87-4B23-8B3D-94779D43BE23}"/>
    <cellStyle name="Comma 64" xfId="872" xr:uid="{E2376A76-E2FF-488F-8450-2B90AE0BF1A3}"/>
    <cellStyle name="Comma 64 2" xfId="1138" xr:uid="{1A061753-144A-4EE5-8D6B-4734E12E39F8}"/>
    <cellStyle name="Comma 64 2 2" xfId="1490" xr:uid="{440EDBA2-1AE4-4DDF-8F70-A0A09042B51A}"/>
    <cellStyle name="Comma 64 3" xfId="1443" xr:uid="{3D9661A5-7648-4965-B28C-E54092337005}"/>
    <cellStyle name="Comma 7" xfId="459" xr:uid="{83B7C834-EB7C-4F7A-9EC6-49FADF0400E5}"/>
    <cellStyle name="Comma 7 2" xfId="1214" xr:uid="{DCDF8829-6468-4EDB-943C-1F722CCE5D8F}"/>
    <cellStyle name="Comma 7 3" xfId="1329" xr:uid="{B8DA8607-39A8-48EC-B1BE-D89B47ED4B61}"/>
    <cellStyle name="Comma 8" xfId="462" xr:uid="{BB09642A-ECE4-478B-8A77-60A46B284BB0}"/>
    <cellStyle name="Comma 8 2" xfId="1185" xr:uid="{CEFE709A-E968-4408-B6CF-D0A7A7A03336}"/>
    <cellStyle name="Comma 8 3" xfId="1332" xr:uid="{F0922E2A-E659-4302-BA89-20029C4B928E}"/>
    <cellStyle name="Comma 9" xfId="465" xr:uid="{1D2C608B-B2B3-484A-9D74-A8FDA3EF477F}"/>
    <cellStyle name="Comma 9 2" xfId="1215" xr:uid="{B7BF37EB-5B3F-42F7-950C-874253D19AF7}"/>
    <cellStyle name="Comma 9 3" xfId="1335" xr:uid="{AAB1BA8F-805C-4129-863C-6A70B938A4BA}"/>
    <cellStyle name="Comma 9 4" xfId="1509" xr:uid="{1C5FC99B-A1EA-456A-AD97-B4E91CBBBA9E}"/>
    <cellStyle name="Comma(1)" xfId="92" xr:uid="{D40758FA-D262-48AA-8C6A-9189F50DBD7E}"/>
    <cellStyle name="Comma, 1 dec" xfId="93" xr:uid="{A3434B9A-90A1-4627-95DE-C41D0EB72052}"/>
    <cellStyle name="Comma, 1 dec 2" xfId="1706" xr:uid="{8EDCDA79-D0CC-492C-9C23-2CAEAC9E79CA}"/>
    <cellStyle name="Comma, 1 dec 2 2" xfId="1707" xr:uid="{9D8E30FA-5D2C-402D-87E6-E05B722B791D}"/>
    <cellStyle name="Comma, 1 dec 2 3" xfId="1708" xr:uid="{C5D59A1B-E1F9-4A64-BF12-4957FEF721C6}"/>
    <cellStyle name="Comma, 1 dec 2 3 2" xfId="1709" xr:uid="{03B25669-AA46-4FAE-BAAD-8BD05A492124}"/>
    <cellStyle name="Comma, 1 dec 3" xfId="1710" xr:uid="{CF12A568-0787-45CC-9ADD-159D6C0994CE}"/>
    <cellStyle name="Comma_BT3" xfId="2390" xr:uid="{FAE77DA9-DC63-437E-BB0A-3F3FD15F68F2}"/>
    <cellStyle name="Comma0" xfId="94" xr:uid="{1125AB0D-8B8E-42E5-909C-185EA2EF32CA}"/>
    <cellStyle name="Comma0 - Modelo1" xfId="1711" xr:uid="{263B297B-D329-49A1-8A50-5FD35D0663C9}"/>
    <cellStyle name="Comma0 - Style1" xfId="1712" xr:uid="{5F65ADEA-43AB-44F9-9EB0-4A79CFC84CB9}"/>
    <cellStyle name="Comma0 2" xfId="1713" xr:uid="{5E53249F-E069-4E3F-8E10-EFFFAEFFCC0E}"/>
    <cellStyle name="Comma0 2 2" xfId="1714" xr:uid="{B2E4EBD6-95D0-47E9-B333-F357FAB9CF24}"/>
    <cellStyle name="Comma1 - Modelo2" xfId="1715" xr:uid="{F6F9D6C3-19EB-49D8-931B-7C2F57809D3D}"/>
    <cellStyle name="Comma1 - Style2" xfId="1716" xr:uid="{41C537ED-B368-4170-B3B1-967302D8DF55}"/>
    <cellStyle name="Company" xfId="95" xr:uid="{AF69CE35-100B-47BE-A74E-C58AD89F5AFB}"/>
    <cellStyle name="Company 2" xfId="627" xr:uid="{186AB4D5-619D-4DA6-8AA7-5C3D9588EBB5}"/>
    <cellStyle name="Company 3" xfId="1717" xr:uid="{3C23D5CF-C39B-4D97-BEFC-7C75E67DCD0C}"/>
    <cellStyle name="Company 3 2" xfId="1718" xr:uid="{BE075CF6-1A2E-4EB8-92E8-37ACD41AAAD1}"/>
    <cellStyle name="Company name" xfId="628" xr:uid="{F1039E0E-16DA-4E3B-943D-BF4022E93C3B}"/>
    <cellStyle name="Company Name 2" xfId="1719" xr:uid="{951ADA1E-48CC-4803-91DA-046AE0784145}"/>
    <cellStyle name="Company_XOM model" xfId="629" xr:uid="{5FA6493E-132B-4961-BA2C-2D01A905393B}"/>
    <cellStyle name="Comps" xfId="630" xr:uid="{BD51879B-8B09-46F8-BD65-F85858B80D1A}"/>
    <cellStyle name="Comps 2" xfId="1046" xr:uid="{E2462B42-0452-4F27-A416-DBB8EC9BA340}"/>
    <cellStyle name="Cover Date" xfId="96" xr:uid="{62BC8AF4-677E-418D-BE3E-65E9E8EC0AFA}"/>
    <cellStyle name="Cover Date 2" xfId="1720" xr:uid="{8C1C8F96-E3EA-4167-A76B-41C06632368D}"/>
    <cellStyle name="Cover Date 2 2" xfId="1721" xr:uid="{119E0B29-F3C8-41ED-9465-F03F288E2D04}"/>
    <cellStyle name="Cover Subtitle" xfId="97" xr:uid="{B0987F81-7E3F-4F61-9E19-E47E051CFE2F}"/>
    <cellStyle name="Cover Subtitle 2" xfId="1722" xr:uid="{4288C315-BA38-4A7E-9AAD-19B6AD1E3957}"/>
    <cellStyle name="Cover Subtitle 2 2" xfId="1723" xr:uid="{37387DD3-13C1-4809-A5D8-B77DF1EAE8CA}"/>
    <cellStyle name="Cover Title" xfId="98" xr:uid="{45E8AA0E-E66F-4DF2-A70E-485781224228}"/>
    <cellStyle name="Cover Title 2" xfId="1724" xr:uid="{3CB9EA40-A645-4C5F-8180-F57322D382FA}"/>
    <cellStyle name="Cover Title 2 2" xfId="1725" xr:uid="{0CCE4F7D-94C0-4A95-80D6-A21BA7AA0273}"/>
    <cellStyle name="Cuadro 1" xfId="1726" xr:uid="{B1CE4054-BF84-469B-BD36-CDBA3AA1627E}"/>
    <cellStyle name="CurRatio" xfId="99" xr:uid="{50A331EF-F99D-4F36-A80A-3EB60C8C8B0A}"/>
    <cellStyle name="CurRatio 2" xfId="631" xr:uid="{26D2C931-A092-4D37-9A4F-A59BB0287AAC}"/>
    <cellStyle name="CurRatio 3" xfId="1727" xr:uid="{5E13315F-7683-46C6-974F-602562C5FFF1}"/>
    <cellStyle name="CurRatio 3 2" xfId="1728" xr:uid="{9201581C-15A5-4E19-9DCA-B44469FD2A2F}"/>
    <cellStyle name="CurRatio 4" xfId="1729" xr:uid="{75C4F0E6-A006-4F21-A33A-227DC3DF1C9A}"/>
    <cellStyle name="Currency - Euro" xfId="100" xr:uid="{785AEBF1-40AE-4971-ADE3-9FD6A2D6D2A1}"/>
    <cellStyle name="Currency (2dp)" xfId="101" xr:uid="{A44B12A4-4DBD-4411-93C1-594CBF24829B}"/>
    <cellStyle name="Currency (2dp) 2" xfId="1277" xr:uid="{F2960CEA-1483-42BB-8BDA-9814457A082F}"/>
    <cellStyle name="Currency (B)" xfId="633" xr:uid="{1078D506-438C-4027-A173-7D12FAB54F34}"/>
    <cellStyle name="Currency [0] - Euro" xfId="102" xr:uid="{C80E4DED-854D-4EFA-A3BD-F839B7E7C88F}"/>
    <cellStyle name="Currency [0] - Euro 2" xfId="1730" xr:uid="{BFC0E730-32CB-4248-88A2-CF5CCB5B3FBA}"/>
    <cellStyle name="Currency [0] - Euro 3" xfId="1731" xr:uid="{664E6C4B-40EA-4847-8C2E-E77F6C08D7DE}"/>
    <cellStyle name="Currency [0] - Euro 3 2" xfId="1732" xr:uid="{4AB7FFCD-C6D4-446F-9412-01B769D03F2D}"/>
    <cellStyle name="Currency [0] - Euro 3 3" xfId="1733" xr:uid="{A63B7637-B70D-4ADA-89EE-9A278A35D61F}"/>
    <cellStyle name="Currency [0] - Euro 3 3 2" xfId="1734" xr:uid="{A53B8A52-9EB8-4B18-8A11-2D113CA4E759}"/>
    <cellStyle name="Currency [0] - Euro 4" xfId="1735" xr:uid="{055C1B66-176A-4DBF-9CA4-F284F025D7CB}"/>
    <cellStyle name="Currency [0] - Euro 4 2" xfId="1736" xr:uid="{C5CD318B-1E72-4CB5-809C-E76569570E69}"/>
    <cellStyle name="Currency [1]" xfId="103" xr:uid="{42E64A47-308E-455E-ADD1-1FB7D8E0DB7D}"/>
    <cellStyle name="Currency [1] 2" xfId="634" xr:uid="{C07CD4DE-9A41-4C45-95D1-0F894FDE227F}"/>
    <cellStyle name="Currency [1] 2 2" xfId="1737" xr:uid="{061A4399-D72E-4DBE-8E88-C3686230E211}"/>
    <cellStyle name="Currency [2]" xfId="104" xr:uid="{11932BC8-3D65-4F60-B6EB-529C5EFDE473}"/>
    <cellStyle name="Currency [2] 2" xfId="635" xr:uid="{5AE0F96A-AD80-4CF6-9452-ADB8A456AA2F}"/>
    <cellStyle name="Currency [2] 2 2" xfId="1738" xr:uid="{7B38EC1C-C134-4077-A222-198D738A7877}"/>
    <cellStyle name="Currency 0" xfId="105" xr:uid="{24A26499-86A2-4E08-9F56-82E99C4E37C0}"/>
    <cellStyle name="Currency 0 2" xfId="636" xr:uid="{8C22B9F3-DD08-40EE-B4DE-D5F64738F653}"/>
    <cellStyle name="Currency 10" xfId="967" xr:uid="{EFEF4770-3512-4842-9C77-F73D54F1C005}"/>
    <cellStyle name="Currency 11" xfId="1040" xr:uid="{DDA9AE8B-B952-4B85-A99A-0A21B9EA9A53}"/>
    <cellStyle name="Currency 12" xfId="1109" xr:uid="{DBE86560-0BF6-4FB5-BC6B-A29FEA6303FE}"/>
    <cellStyle name="Currency 13" xfId="1113" xr:uid="{79F9EE30-9C51-4A52-8E8C-1D7653EEDB81}"/>
    <cellStyle name="Currency 14" xfId="1118" xr:uid="{5B943215-DF3A-40C6-BFED-B36DACAA88FC}"/>
    <cellStyle name="Currency 15" xfId="1122" xr:uid="{DBCE7C88-3CA8-4CAB-8875-FD21CCAE4664}"/>
    <cellStyle name="Currency 15 2" xfId="1062" xr:uid="{4AB379A6-1DC9-4F9C-88DF-83CB836B94AA}"/>
    <cellStyle name="Currency 16" xfId="1117" xr:uid="{C39DD812-5C5E-416A-9C88-4329BDFC9D35}"/>
    <cellStyle name="Currency 16 2" xfId="1171" xr:uid="{868AFDAA-64C0-457E-8F5A-2FEE572307CB}"/>
    <cellStyle name="Currency 17" xfId="1072" xr:uid="{4CE45AB7-AFBD-4552-AF2D-CA839AF2450D}"/>
    <cellStyle name="Currency 17 2" xfId="1114" xr:uid="{E54EC5DB-10B4-422F-9814-F90796477921}"/>
    <cellStyle name="Currency 18" xfId="922" xr:uid="{FDE7C821-B33D-41A1-8DC8-9A6490B2ECD8}"/>
    <cellStyle name="Currency 18 2" xfId="1172" xr:uid="{9A62F1C6-4675-4FEE-A559-57431BE4F30D}"/>
    <cellStyle name="Currency 19" xfId="1032" xr:uid="{E05AACD7-D5C7-4F52-AE4D-C4321CF50F21}"/>
    <cellStyle name="Currency 19 2" xfId="1077" xr:uid="{5CFCA8A9-BDFE-45A9-AD95-71B0337B5292}"/>
    <cellStyle name="Currency 2" xfId="106" xr:uid="{4D0297E0-39B7-47D3-8E3A-EB5799D9CC35}"/>
    <cellStyle name="Currency 2 2" xfId="873" xr:uid="{31E0BF61-348D-4B27-A0A1-20A095F5614E}"/>
    <cellStyle name="Currency 2 2 2" xfId="1139" xr:uid="{1E137E17-A3D7-418A-87F4-FD53B8099837}"/>
    <cellStyle name="Currency 2 2 2 2" xfId="1491" xr:uid="{D97DFC57-3308-4A94-B84A-E591C1CFB210}"/>
    <cellStyle name="Currency 2 2 3" xfId="1123" xr:uid="{874A0E40-C4D1-4C3A-83EC-DDC5578F3174}"/>
    <cellStyle name="Currency 2 2 4" xfId="1444" xr:uid="{6C50E107-A160-431E-A332-5C4E675456AD}"/>
    <cellStyle name="Currency 2 3" xfId="874" xr:uid="{02321A69-170D-4518-B3DE-22B945CBF44E}"/>
    <cellStyle name="Currency 2 3 2" xfId="1140" xr:uid="{2B47E979-6875-4E52-B957-63B26FAD2F9E}"/>
    <cellStyle name="Currency 2 3 2 2" xfId="1492" xr:uid="{68D3918A-9896-4D57-9DB4-8B7F3CF2F26B}"/>
    <cellStyle name="Currency 2 3 3" xfId="1445" xr:uid="{5B072465-5520-41FA-AA74-34EB52279598}"/>
    <cellStyle name="Currency 2 4" xfId="875" xr:uid="{37DEFFC1-1CF0-4359-8D2D-AFF9B8338599}"/>
    <cellStyle name="Currency 2 4 2" xfId="1141" xr:uid="{69D649F1-04A8-46F5-A709-11FC4D2572CA}"/>
    <cellStyle name="Currency 2 4 2 2" xfId="1493" xr:uid="{972C1502-142E-4FB2-9195-11D3B953122F}"/>
    <cellStyle name="Currency 2 4 3" xfId="1446" xr:uid="{26DB73B6-74D1-49F7-9370-B17DE34A2C9C}"/>
    <cellStyle name="Currency 2 5" xfId="876" xr:uid="{B294852F-3F5C-40FD-A777-E338B3CB370F}"/>
    <cellStyle name="Currency 2 5 2" xfId="1142" xr:uid="{B369D103-83BA-4C12-924E-51153F400780}"/>
    <cellStyle name="Currency 2 5 2 2" xfId="1494" xr:uid="{0F588A5B-0CAD-4717-A5DE-BDEC185EDE98}"/>
    <cellStyle name="Currency 2 5 3" xfId="1447" xr:uid="{7746C69F-73D8-4DDC-BF3C-3521BDB90E6C}"/>
    <cellStyle name="Currency 2 6" xfId="637" xr:uid="{8BDB494D-FE58-4E13-A9AE-685F59CB9936}"/>
    <cellStyle name="Currency 2 7" xfId="978" xr:uid="{69803EC0-2B45-490D-9C15-96F26BE6C6AD}"/>
    <cellStyle name="Currency 20" xfId="1249" xr:uid="{885DC17A-F02E-40F9-B381-860A1D35D8F1}"/>
    <cellStyle name="Currency 21" xfId="928" xr:uid="{2D51FC54-1465-448E-9DBD-15B935E10BFA}"/>
    <cellStyle name="Currency 22" xfId="1156" xr:uid="{18FD4664-FED7-4E78-A004-E87DEA425DAA}"/>
    <cellStyle name="Currency 23" xfId="1263" xr:uid="{63A079C9-D072-4C91-A1CF-A647794D92B6}"/>
    <cellStyle name="Currency 24" xfId="1121" xr:uid="{FD4DE583-AB76-48A1-8648-24B5A1CE51EB}"/>
    <cellStyle name="Currency 25" xfId="981" xr:uid="{42E8B2B5-1175-487A-A1EE-E79D87A1FFFA}"/>
    <cellStyle name="Currency 3" xfId="828" xr:uid="{CB88F377-6F0E-4648-90AB-8A37A2A1458D}"/>
    <cellStyle name="Currency 3 2" xfId="1083" xr:uid="{7C6FD61C-625D-49EE-8C84-A2E3A0621A83}"/>
    <cellStyle name="Currency 3 3" xfId="1080" xr:uid="{A3806F0F-E99E-48BE-AD87-0C062CD90172}"/>
    <cellStyle name="Currency 3 4" xfId="1091" xr:uid="{AE01BE0A-BF26-4E4E-A8F4-7B8F8F0C145E}"/>
    <cellStyle name="Currency 4" xfId="877" xr:uid="{8308DF35-E9BD-450D-BDB7-7FBA92C42821}"/>
    <cellStyle name="Currency 4 2" xfId="1143" xr:uid="{1D5DC3D6-7D29-4F28-BCDF-D5B4AD81EC87}"/>
    <cellStyle name="Currency 4 2 2" xfId="1495" xr:uid="{B4E5BCE1-9A2C-4B91-8C84-663DBC10A3AF}"/>
    <cellStyle name="Currency 4 3" xfId="1168" xr:uid="{6266088D-1DE1-4BEF-B44C-3C1F99F8D5B5}"/>
    <cellStyle name="Currency 4 4" xfId="1448" xr:uid="{4A321FB3-22A4-48B5-AF5B-BED38FEF5F68}"/>
    <cellStyle name="Currency 5" xfId="632" xr:uid="{371C3326-7241-4095-866B-CC8DCE1890D6}"/>
    <cellStyle name="Currency 5 2" xfId="1153" xr:uid="{D244ACEA-5C8D-4FBC-880C-A1E8E8CEEFE7}"/>
    <cellStyle name="Currency 6" xfId="907" xr:uid="{129AB9B5-E211-4C93-88E4-0CBDD78574AA}"/>
    <cellStyle name="Currency 6 2" xfId="1169" xr:uid="{8CCFBDFA-07C5-41E2-81AF-D6F24148CD4D}"/>
    <cellStyle name="Currency 7" xfId="916" xr:uid="{55C5A4B8-607B-4BD2-899C-03B87DC54B69}"/>
    <cellStyle name="Currency 7 2" xfId="956" xr:uid="{84280811-1839-495B-8A0C-56EBE4D9E594}"/>
    <cellStyle name="Currency 8" xfId="977" xr:uid="{42B69BFC-E288-4FE1-B409-1834EA95E288}"/>
    <cellStyle name="Currency 9" xfId="1047" xr:uid="{18509F93-9785-4B65-B89E-0036E14DB115}"/>
    <cellStyle name="Currency Dollar" xfId="107" xr:uid="{45FA3CE7-E083-434B-989D-82A2308D5888}"/>
    <cellStyle name="Currency Dollar (2dp)" xfId="108" xr:uid="{D27E2203-7F59-46BC-B510-73E85D9275D2}"/>
    <cellStyle name="Currency Dollar (2dp) 2" xfId="1279" xr:uid="{8B4F082A-785F-492B-9393-50F002E5CFCA}"/>
    <cellStyle name="Currency Dollar 2" xfId="1278" xr:uid="{ED491F81-532C-4C03-9E72-75581035C4D2}"/>
    <cellStyle name="Currency EUR" xfId="109" xr:uid="{3048C78A-9B7F-4CE1-BEAE-F37E21E87D61}"/>
    <cellStyle name="Currency EUR (2dp)" xfId="110" xr:uid="{6901B4C5-1D0A-4894-BD4A-13F6E0897537}"/>
    <cellStyle name="Currency EUR (2dp) 2" xfId="1281" xr:uid="{26352817-3BBF-4086-B155-AAA2ED4527D4}"/>
    <cellStyle name="Currency EUR 2" xfId="1280" xr:uid="{98CBF91C-75C5-4DA2-A987-C5F67BD17E9B}"/>
    <cellStyle name="Currency Euro" xfId="111" xr:uid="{D787B1C4-5A1F-4ACA-B7EA-6338CA4E2E57}"/>
    <cellStyle name="Currency Euro (2dp)" xfId="112" xr:uid="{55EF6F22-30BD-44AA-84B8-5B96B2C3EF6B}"/>
    <cellStyle name="Currency Euro (2dp) 2" xfId="1283" xr:uid="{914A5DC0-743D-4B0A-BA94-B1515A176684}"/>
    <cellStyle name="Currency Euro 2" xfId="1282" xr:uid="{52BCE93C-8B5E-4E6E-9473-3CE39EE11ECA}"/>
    <cellStyle name="Currency GBP" xfId="113" xr:uid="{42292B86-6402-485F-81FA-E459AE66913E}"/>
    <cellStyle name="Currency GBP (2dp)" xfId="114" xr:uid="{37F15703-FA14-4466-9F03-99A17F9F2BA4}"/>
    <cellStyle name="Currency GBP (2dp) 2" xfId="1285" xr:uid="{686B7B93-EA25-4546-BABF-29F5003EAE25}"/>
    <cellStyle name="Currency GBP 2" xfId="1284" xr:uid="{8D21E6B6-3F9F-4D48-9051-69A5DA484A08}"/>
    <cellStyle name="Currency Pound" xfId="115" xr:uid="{4E202357-7AEF-4956-A257-443FF1A83212}"/>
    <cellStyle name="Currency Pound (2dp)" xfId="116" xr:uid="{B3E21124-15FC-4D9B-87F7-59C2A3E68529}"/>
    <cellStyle name="Currency Pound (2dp) 2" xfId="1287" xr:uid="{CE4DF451-5A84-44E7-B7A3-C9F5E8962AEB}"/>
    <cellStyle name="Currency Pound 2" xfId="1286" xr:uid="{BF812EF1-2D90-4237-AB68-394ADFD20BAE}"/>
    <cellStyle name="Currency USD" xfId="117" xr:uid="{312FCBC7-1ACF-4B6F-8255-35927C0CEB5E}"/>
    <cellStyle name="Currency USD (2dp)" xfId="118" xr:uid="{71E57823-4FF2-4A95-A214-D6212A441D3A}"/>
    <cellStyle name="Currency USD (2dp) 2" xfId="1289" xr:uid="{5AE692B7-0896-471E-98A9-ADCD5AB45597}"/>
    <cellStyle name="Currency USD 2" xfId="1288" xr:uid="{0CDC6560-4AC7-437F-9736-4B7FFDE72089}"/>
    <cellStyle name="Currency0" xfId="119" xr:uid="{DF5B1D6B-0496-428E-89E0-73DA1AFDF227}"/>
    <cellStyle name="Currency0 2" xfId="1739" xr:uid="{C84CD3A6-81F1-4ECF-8B0D-4DFE1317939A}"/>
    <cellStyle name="Currency0 2 2" xfId="1740" xr:uid="{800C7524-D967-4670-8033-09AB37217EE5}"/>
    <cellStyle name="Dash" xfId="638" xr:uid="{F834BCAB-A6D7-43AD-A831-03E62DD46D0E}"/>
    <cellStyle name="Data" xfId="1741" xr:uid="{2060FD57-962B-4865-9785-1F0B0F403C5E}"/>
    <cellStyle name="Date" xfId="120" xr:uid="{E74A4054-D995-4C86-BBBE-85CB8757748D}"/>
    <cellStyle name="Date (Month)" xfId="121" xr:uid="{7977ECD4-216E-4EB5-912F-5133DB43CAB1}"/>
    <cellStyle name="Date (Month) 2" xfId="1290" xr:uid="{D1DE1C47-708F-4A11-AAC9-C5B1341DB4CD}"/>
    <cellStyle name="Date (Year)" xfId="122" xr:uid="{48469DBF-4FE1-42C9-B63E-7EC10375BB19}"/>
    <cellStyle name="Date (Year) 2" xfId="1291" xr:uid="{9908BD63-4E71-41FD-BFE1-66F0429AE76C}"/>
    <cellStyle name="Date [d-mmm-yy]" xfId="123" xr:uid="{6D0AEFE6-A2B2-47C0-B08B-CDB49BA31CF3}"/>
    <cellStyle name="Date [mm-d-yy]" xfId="124" xr:uid="{DF648EF6-C9BE-4C12-959E-2B5579D8FD13}"/>
    <cellStyle name="Date [mm-d-yy] 2" xfId="640" xr:uid="{ED62C9A0-D107-4362-AAED-4B7242DA9C1B}"/>
    <cellStyle name="Date [mm-d-yyyy]" xfId="125" xr:uid="{7F2905B7-A579-45C9-B39B-23FE993324BE}"/>
    <cellStyle name="Date [mm-d-yyyy] 2" xfId="641" xr:uid="{9A5E3454-2C7D-4AD0-8E0C-268C12566CCC}"/>
    <cellStyle name="Date [mm-d-yyyy] 2 2" xfId="1742" xr:uid="{C1452DD2-9B53-4A6F-801F-DD695FDE6CDE}"/>
    <cellStyle name="Date [mmm-d-yyyy]" xfId="126" xr:uid="{D4921516-550A-4C73-98D6-DDD6CD43ECD2}"/>
    <cellStyle name="Date [mmm-d-yyyy] 2" xfId="642" xr:uid="{79C921AE-4D2C-4ECE-96A5-B6BC635985F0}"/>
    <cellStyle name="Date [mmm-d-yyyy] 2 2" xfId="1743" xr:uid="{9EA758BA-2DBE-4505-860E-63F438513283}"/>
    <cellStyle name="Date [mmm-yy]" xfId="127" xr:uid="{9DBBE7E2-AB6C-4474-80AE-0BE1462CA20D}"/>
    <cellStyle name="Date [mmm-yyyy]" xfId="128" xr:uid="{21D50968-9153-44CD-9A10-63EAEC5B6D00}"/>
    <cellStyle name="Date [mmm-yyyy] 2" xfId="1744" xr:uid="{21E53E95-0DBA-48DA-BE7A-10281745178A}"/>
    <cellStyle name="Date [mmm-yyyy] 2 2" xfId="1745" xr:uid="{2BBB9F3D-CD91-4C6E-85E4-16BA9660D72B}"/>
    <cellStyle name="Date 10" xfId="1071" xr:uid="{B174439F-8408-459C-85E0-D82560BE65FA}"/>
    <cellStyle name="Date 11" xfId="1100" xr:uid="{560E844F-CE81-42CF-90D3-91649378B1A4}"/>
    <cellStyle name="Date 12" xfId="1112" xr:uid="{FAD9D63C-A542-458D-9CDC-1FD5BB853ABA}"/>
    <cellStyle name="Date 13" xfId="1124" xr:uid="{49013C0E-519F-4A1A-85F4-571756FC0ECA}"/>
    <cellStyle name="Date 14" xfId="1131" xr:uid="{D08FC6A5-DEA8-4769-A3D7-CE68CCF8F459}"/>
    <cellStyle name="Date 15" xfId="979" xr:uid="{B040E7A2-BBCF-4C1A-8B49-592B1E8CFDD6}"/>
    <cellStyle name="Date 16" xfId="1031" xr:uid="{54710ECE-3702-4AA6-8458-FD450E6042AD}"/>
    <cellStyle name="Date 17" xfId="929" xr:uid="{AD1C260D-B897-4F31-8487-21947AFF28E2}"/>
    <cellStyle name="Date 18" xfId="1155" xr:uid="{343AB8F4-3662-40FC-B9FC-6004332BFDA1}"/>
    <cellStyle name="Date 19" xfId="1265" xr:uid="{F4F05459-2D6D-4FD2-8430-003E2515546F}"/>
    <cellStyle name="Date 2" xfId="639" xr:uid="{DC35FC41-F13E-416C-8E32-8CF484F2C3B7}"/>
    <cellStyle name="Date 20" xfId="973" xr:uid="{93D6CE5A-CDCD-450A-99A6-68089C84EF80}"/>
    <cellStyle name="Date 21" xfId="1119" xr:uid="{D0F6D8E8-2D95-4E20-BABB-01FF08F0E90B}"/>
    <cellStyle name="Date 3" xfId="908" xr:uid="{82A6E17C-7245-46D4-B14A-1F0B8938CC1D}"/>
    <cellStyle name="Date 4" xfId="915" xr:uid="{B691FEA6-750E-43B4-BB28-97F4823FBAC7}"/>
    <cellStyle name="Date 5" xfId="980" xr:uid="{A7630EB4-3697-4EF1-9BC9-25BD3492057B}"/>
    <cellStyle name="Date 6" xfId="1041" xr:uid="{6F578C64-E44F-4421-9DF2-3011E8B3BFB1}"/>
    <cellStyle name="Date 7" xfId="1111" xr:uid="{86B8ABEA-D024-4779-B6B2-EE277896C82C}"/>
    <cellStyle name="Date 8" xfId="1075" xr:uid="{EEF67817-EA8E-42A1-A64C-A1CF96CFAA15}"/>
    <cellStyle name="Date 9" xfId="1106" xr:uid="{9A484065-6AA8-4CD7-A974-246BABC09424}"/>
    <cellStyle name="Date Aligned" xfId="129" xr:uid="{7E92EB67-804E-4B80-8FE2-456C16B182AD}"/>
    <cellStyle name="Date Aligned 2" xfId="643" xr:uid="{4E98C4C0-A411-44AB-9423-1F8312E17800}"/>
    <cellStyle name="Date_AMT Model New 11-16-2011" xfId="983" xr:uid="{6A9F7360-976A-4FCF-BCDE-85421E93B2FC}"/>
    <cellStyle name="Date2" xfId="130" xr:uid="{F5866337-7C73-4AA0-96EB-1615E0323E01}"/>
    <cellStyle name="Date2 2" xfId="644" xr:uid="{F033AC91-329A-4523-BF00-38A1BBA4FA28}"/>
    <cellStyle name="Date2 2 2" xfId="1746" xr:uid="{FFB47D07-8F9B-458D-88DD-12380B0002B1}"/>
    <cellStyle name="Dates" xfId="131" xr:uid="{E9DF4770-2220-4A23-8E11-1DEA89204E0C}"/>
    <cellStyle name="Dates 2" xfId="1747" xr:uid="{83A84C8A-12CF-46A7-B2D1-BB79A1B37046}"/>
    <cellStyle name="Dates 2 2" xfId="1748" xr:uid="{2776CD8B-CE8E-4E69-B8B5-48F94C4EA4AC}"/>
    <cellStyle name="DateYear" xfId="132" xr:uid="{6DE348C5-ABD0-44E4-BA7D-E0E50119C603}"/>
    <cellStyle name="DateYear 2" xfId="1749" xr:uid="{416EA6FB-96CD-4F4A-9942-CD3EEEEDA090}"/>
    <cellStyle name="DateYear 2 2" xfId="1750" xr:uid="{353E0E6E-6AD0-43A4-A030-08B66ECBB310}"/>
    <cellStyle name="Dec_0" xfId="645" xr:uid="{8BCAF5BB-824E-42F1-A718-F3740EB69CB2}"/>
    <cellStyle name="Definition" xfId="1751" xr:uid="{A894214A-974F-486B-8FD7-BD1F1CA29094}"/>
    <cellStyle name="Déprotégée" xfId="133" xr:uid="{3CCDF7B8-9481-4F9A-B4C7-10C3EE8C66F3}"/>
    <cellStyle name="Déprotégée 2" xfId="1752" xr:uid="{BF58EC61-AD0B-4F64-B7D4-FEBF142036E2}"/>
    <cellStyle name="Déprotégée 3" xfId="1753" xr:uid="{EDF17E27-16AB-416C-BF2B-2FDE84316C72}"/>
    <cellStyle name="Déprotégée 3 2" xfId="1754" xr:uid="{B69524EC-CCC1-4794-AFE4-02CEB38E3387}"/>
    <cellStyle name="Devise" xfId="134" xr:uid="{8CFB546E-2B47-49D4-BBE3-0F14E5C505C8}"/>
    <cellStyle name="Devise 2" xfId="1755" xr:uid="{BCFE8ACA-BE12-4280-A036-81ED69C2C5AD}"/>
    <cellStyle name="Devise 3" xfId="1756" xr:uid="{2668AD9A-A15A-4CD9-BA14-DE2083555A20}"/>
    <cellStyle name="Devise 3 2" xfId="1757" xr:uid="{EE0DA83D-6E93-4E45-840E-13BB531ECAF3}"/>
    <cellStyle name="Dezimal (0.0)" xfId="135" xr:uid="{564A3AA7-2856-4872-930F-34D8D7465F50}"/>
    <cellStyle name="Dezimal (0.0) 2" xfId="1758" xr:uid="{33996042-03CA-4844-9703-23AB88D62DF3}"/>
    <cellStyle name="Dezimal (0.0) 3" xfId="1759" xr:uid="{7002FE65-E7C0-4181-B918-6583E70E150D}"/>
    <cellStyle name="Dezimal (0.0) 3 2" xfId="1760" xr:uid="{E1753EFF-0471-4054-89EF-368B76CC199B}"/>
    <cellStyle name="Dezimal (0.0) 4" xfId="1761" xr:uid="{1AAF38FF-4784-4282-AAA0-B80D97B23A11}"/>
    <cellStyle name="Dezimal (0.0) 5" xfId="1762" xr:uid="{A00D8D0E-F41F-49C8-AC8D-E5641EE9994D}"/>
    <cellStyle name="Dia" xfId="1763" xr:uid="{25153189-8E79-42AA-8FF8-9EB0C94D186B}"/>
    <cellStyle name="Diseño" xfId="1764" xr:uid="{8C8CDD67-C189-4D1F-B89D-AB3F5CFE9504}"/>
    <cellStyle name="DOH" xfId="646" xr:uid="{324F28D1-3961-4B50-95CA-40BB4C257039}"/>
    <cellStyle name="Dollar" xfId="136" xr:uid="{27F9B33E-62E4-41CD-A7D1-C4659320CE06}"/>
    <cellStyle name="Dollar 2" xfId="1765" xr:uid="{D19D13BC-43FA-4F11-8050-9C70D6651D5E}"/>
    <cellStyle name="Dollar 2 2" xfId="1766" xr:uid="{16242E13-2AF3-42EB-9DED-EA33DC481C59}"/>
    <cellStyle name="dollars" xfId="137" xr:uid="{6A278716-F97B-4CE8-9DB0-3A64752FAA5B}"/>
    <cellStyle name="dollars 2" xfId="647" xr:uid="{B16402A1-8C9B-4715-A008-858B6847135F}"/>
    <cellStyle name="DollarWhole" xfId="138" xr:uid="{257A7D7A-E8E9-4F24-A475-45CCEA7672F4}"/>
    <cellStyle name="DollarWhole 2" xfId="1767" xr:uid="{0F50D825-7BB9-4A8B-8688-AE99CDC4E4CC}"/>
    <cellStyle name="DollarWhole 2 2" xfId="1768" xr:uid="{BE4576D2-D98D-4100-9B78-DC0756F7C94C}"/>
    <cellStyle name="Dotted Line" xfId="139" xr:uid="{A1F5183A-1076-4597-B8DB-8EF3EDC5AE0A}"/>
    <cellStyle name="Dotted Line 2" xfId="648" xr:uid="{0FF0C596-7CAF-4AF7-B588-2B170BFC4F12}"/>
    <cellStyle name="Double Accounting" xfId="140" xr:uid="{AC4CA617-E9D0-446F-94CE-8D022D36E081}"/>
    <cellStyle name="Download" xfId="649" xr:uid="{D08BF75B-0CF2-4EF3-BD69-3927CAE9FC70}"/>
    <cellStyle name="Download 2" xfId="1426" xr:uid="{C2EC30D0-D165-47CD-9763-2B8ECAD766AF}"/>
    <cellStyle name="Driver" xfId="141" xr:uid="{E6DEE8CA-AB89-438B-947A-A46D5A56CDD8}"/>
    <cellStyle name="Driver 10" xfId="651" xr:uid="{4D6FB9F8-77F6-4439-A338-A4486349DBE8}"/>
    <cellStyle name="Driver 11" xfId="652" xr:uid="{15FE745A-2ABD-4FF7-8412-2A0A5BC79303}"/>
    <cellStyle name="Driver 12" xfId="653" xr:uid="{4E087D00-0F04-4EAD-B74D-D5CF10338C5E}"/>
    <cellStyle name="Driver 13" xfId="654" xr:uid="{B9A3D79B-8097-4C28-B92C-53BEE7BDDC3B}"/>
    <cellStyle name="Driver 14" xfId="655" xr:uid="{24747250-EE0D-4C9C-9EE6-4176DFED2862}"/>
    <cellStyle name="Driver 15" xfId="656" xr:uid="{28689D84-C103-4089-9DD2-A15903DEFF0E}"/>
    <cellStyle name="Driver 16" xfId="657" xr:uid="{45138DB2-932D-4DCD-A406-749EB5A2B011}"/>
    <cellStyle name="Driver 17" xfId="658" xr:uid="{FB2A06F3-D613-47B1-8985-2A1D7A58FB15}"/>
    <cellStyle name="Driver 18" xfId="659" xr:uid="{CE45078F-6F1B-465F-A4B8-38DD43A4A514}"/>
    <cellStyle name="Driver 19" xfId="660" xr:uid="{1D56B482-DE6E-45C2-BA60-216C00CA8CFB}"/>
    <cellStyle name="Driver 2" xfId="661" xr:uid="{9653D9F8-62F7-4D32-9E17-DB407F93D552}"/>
    <cellStyle name="Driver 20" xfId="662" xr:uid="{6EB77ECC-E9F0-4246-B27C-40DF10147CE8}"/>
    <cellStyle name="Driver 21" xfId="663" xr:uid="{0D7B1125-AA04-4676-802F-B1CB8C836AFE}"/>
    <cellStyle name="Driver 22" xfId="650" xr:uid="{9BBD2882-AF2D-456D-BA4A-8A5CD606601E}"/>
    <cellStyle name="Driver 23" xfId="986" xr:uid="{8EF2E3D0-17E9-41EC-BEBA-222AF5BD320B}"/>
    <cellStyle name="Driver 3" xfId="664" xr:uid="{EA4C8E48-B43B-4608-8D98-30F0D535F44E}"/>
    <cellStyle name="Driver 4" xfId="665" xr:uid="{A887CE95-F12D-4FD8-9C41-E9862BC772D9}"/>
    <cellStyle name="Driver 5" xfId="666" xr:uid="{9A0DA82A-6E7C-4C4B-89AA-688844D73697}"/>
    <cellStyle name="Driver 6" xfId="667" xr:uid="{469562E6-1A49-425A-BB43-8223C4E38C10}"/>
    <cellStyle name="Driver 7" xfId="668" xr:uid="{EB144A76-F793-46DB-A340-28834B36CDAE}"/>
    <cellStyle name="Driver 8" xfId="669" xr:uid="{5C27425D-F1E8-4184-90B9-BA06861F45F2}"/>
    <cellStyle name="Driver 9" xfId="670" xr:uid="{BD23CA88-3C4A-412F-A839-31F928AF4EAD}"/>
    <cellStyle name="Driver Lable" xfId="142" xr:uid="{725E04D2-DCDC-44D2-83F8-4C23D92A4D6E}"/>
    <cellStyle name="Driver_AMT Model New 11-16-2011" xfId="1002" xr:uid="{33A12307-8207-49DF-A454-7F9E8FDF4EBB}"/>
    <cellStyle name="drivers" xfId="143" xr:uid="{4B130954-1D27-416F-9585-5096C29659EA}"/>
    <cellStyle name="Encabez1" xfId="1769" xr:uid="{5AA9E557-EC63-4AA9-BF1C-02D39D8DDF61}"/>
    <cellStyle name="Encabez2" xfId="1770" xr:uid="{D08042C2-F866-4442-A6E6-8E313584DB35}"/>
    <cellStyle name="Entités" xfId="144" xr:uid="{F33FD633-AAF6-41A3-9DFE-EE478461936F}"/>
    <cellStyle name="Entités 2" xfId="1771" xr:uid="{6D915BE7-FB86-4CF5-927E-1356145FBFB2}"/>
    <cellStyle name="Entités 3" xfId="1772" xr:uid="{E2451683-4BC7-4FA6-9B26-5F3B3252323D}"/>
    <cellStyle name="Entités 3 2" xfId="1773" xr:uid="{1894640C-916D-41D6-83A3-62763DC378D3}"/>
    <cellStyle name="Entries" xfId="671" xr:uid="{91CCD0EC-CCD0-4911-B1F8-6BC2638B1671}"/>
    <cellStyle name="Entry" xfId="672" xr:uid="{CE28C3A5-7838-4AD1-B2AB-6CAAE8C86B6D}"/>
    <cellStyle name="Entry 2" xfId="1162" xr:uid="{87A890A5-7D00-402E-A9C3-FFE0721E6461}"/>
    <cellStyle name="EPS" xfId="145" xr:uid="{FBAD5E84-3EB0-45F4-A0B9-E4BEBF6405ED}"/>
    <cellStyle name="EPS 2" xfId="1774" xr:uid="{B096CB05-AB71-415D-ADE4-A8346909E60E}"/>
    <cellStyle name="EPS 2 2" xfId="1775" xr:uid="{581AD98A-1377-4A30-A6DF-44C23D696917}"/>
    <cellStyle name="EPSActual" xfId="146" xr:uid="{DD5D5FA9-ABF7-461D-BFF4-E19F39E64130}"/>
    <cellStyle name="EPSActual 2" xfId="1776" xr:uid="{99BCE50E-B5A8-487A-81DB-2D9AB1F7B5F2}"/>
    <cellStyle name="EPSEstimate" xfId="147" xr:uid="{4B18000D-C10D-4D0F-94E6-A77BF38AC387}"/>
    <cellStyle name="EPSEstimate 2" xfId="1777" xr:uid="{5CA972C6-CC75-4A72-BCDC-255BF8894359}"/>
    <cellStyle name="Est - $" xfId="148" xr:uid="{324B3022-D7BC-4C52-B18A-4E35BA0C6C7E}"/>
    <cellStyle name="Est - $ 2" xfId="1778" xr:uid="{3F50088A-0E3E-4221-952C-48F4C20A199A}"/>
    <cellStyle name="Est - $ 2 2" xfId="1779" xr:uid="{23B7F155-983D-49BC-8FF4-A74E862A3B74}"/>
    <cellStyle name="Est - $ 3" xfId="1780" xr:uid="{BE4A964B-4EEA-4DB3-978E-7093675FC0A4}"/>
    <cellStyle name="Est - $ 4" xfId="1781" xr:uid="{4E89BBE0-AC45-4131-B6E8-7AF09142D9AB}"/>
    <cellStyle name="Est - %" xfId="149" xr:uid="{1CF17B0C-A2E3-4E41-8D4C-E0D8F836A73C}"/>
    <cellStyle name="Est - % 2" xfId="1782" xr:uid="{F00B3D21-AE45-45B6-81B7-94E36961C051}"/>
    <cellStyle name="Est - % 2 2" xfId="1783" xr:uid="{64075C1E-C3B6-4C11-9CD9-410466172A81}"/>
    <cellStyle name="Est - % 3" xfId="1784" xr:uid="{24220BEB-6ED6-4521-84BF-D92D1C15A10C}"/>
    <cellStyle name="Est - % 4" xfId="1785" xr:uid="{40671FA5-08B4-4B59-BF05-85B210810428}"/>
    <cellStyle name="Est 0,000.0" xfId="150" xr:uid="{28CB9ED2-BDEF-4265-A75B-F890E2758EC6}"/>
    <cellStyle name="Est 0,000.0 2" xfId="1786" xr:uid="{1D2CB0E3-12AC-48B0-805E-6180963A2C68}"/>
    <cellStyle name="Est 0,000.0 2 2" xfId="1787" xr:uid="{014A472C-1114-4836-983A-6E1CC26E381C}"/>
    <cellStyle name="Est 0,000.0 3" xfId="1788" xr:uid="{FB371BCB-7B9B-4BF9-9FD4-85BC486B4335}"/>
    <cellStyle name="Est 0,000.0 4" xfId="1789" xr:uid="{CDEC001E-087A-4B27-B0FC-53A12BC1E21B}"/>
    <cellStyle name="estimate" xfId="1790" xr:uid="{6CF6C322-7D33-4129-A8F4-3D2413CE7C4E}"/>
    <cellStyle name="Euro" xfId="151" xr:uid="{3ED26633-C710-4792-BAAA-43F26643F387}"/>
    <cellStyle name="Euro 2" xfId="673" xr:uid="{61D822EA-E83C-4E5B-B632-BD10B3DF5086}"/>
    <cellStyle name="Euro 2 2" xfId="1791" xr:uid="{B30940CC-BBA7-488C-A947-30F9C8DF356F}"/>
    <cellStyle name="Euro 3" xfId="1792" xr:uid="{A05D1A59-02A2-4782-8018-E3E4D81CAC2A}"/>
    <cellStyle name="ExchRate" xfId="674" xr:uid="{D52DA66A-EC71-4091-8CAC-29AC864C3FD4}"/>
    <cellStyle name="ExchRate 2" xfId="1163" xr:uid="{9B05CD56-4091-4A14-89B4-4626DF92CA63}"/>
    <cellStyle name="Explanatory Text 2" xfId="878" xr:uid="{5295FF5F-36AB-48BF-8B0B-ABF62C19F291}"/>
    <cellStyle name="Explanatory Text 3" xfId="1005" xr:uid="{AEF1CD7C-5911-4751-A560-2729EAAF96DC}"/>
    <cellStyle name="Explanatory Text 4" xfId="1793" xr:uid="{F0FA659A-BC27-4C93-AA80-A9C7B13AC379}"/>
    <cellStyle name="f" xfId="1794" xr:uid="{EBE9662C-8006-4F24-9F63-4700B93A8B16}"/>
    <cellStyle name="f_BASE VIVO 311203 - Val II" xfId="1795" xr:uid="{B0E51D97-AEAF-4AE6-99C5-7A7B59181B9C}"/>
    <cellStyle name="f_Brasilcel mar05 FINAL v0904" xfId="1796" xr:uid="{CBA7DDED-B758-4BCF-9309-92D4657774FF}"/>
    <cellStyle name="f_Concessão Licença" xfId="1797" xr:uid="{A3E70D7E-58E9-4CA6-8944-EA336463EB2D}"/>
    <cellStyle name="f_leasing TCO dez.03 a set.04 V.T-gestiona FEV.05 (ESTIMATIVA)" xfId="1798" xr:uid="{756CACFC-F62A-4782-A5E5-67FC450D1085}"/>
    <cellStyle name="f_Minoritários 0604 da v. ALEJANDRO final II" xfId="1799" xr:uid="{6CE11152-E8E8-478A-820C-99E0FCB9DD04}"/>
    <cellStyle name="f_Minoritários 0604 da v. ALEJANDRO final III" xfId="1800" xr:uid="{DB33F984-37A7-480C-BEF4-121D3820F0B5}"/>
    <cellStyle name="f_Minoritários Brasilcel mar 05" xfId="1801" xr:uid="{FBF21B3E-178E-46C9-BF37-8F95291C6A8F}"/>
    <cellStyle name="f_Mod.proposto Espanha Brasilcel dez.03 IV" xfId="1802" xr:uid="{F5170DA4-7316-4258-B428-D28EA7828627}"/>
    <cellStyle name="f_Planilha TCP Holding IAS set.04 - após revisão espanha" xfId="1803" xr:uid="{63A78D84-352E-4EE8-8AC0-7E82E53398B0}"/>
    <cellStyle name="f_Planilha TCP Holding IAS set.04 - após revisão espanha I" xfId="1804" xr:uid="{D8DD3A52-DEA1-4193-A9B0-33FAAC3CC436}"/>
    <cellStyle name="f_Recon. GT  set.04 após revisão Espanha" xfId="1805" xr:uid="{12E18752-33F5-43A4-B32B-4A4EB8AAD56B}"/>
    <cellStyle name="f_Recon. GT  set.04 após revisão Espanha I" xfId="1806" xr:uid="{948E6AB7-B778-452A-820F-07BFB57C17B9}"/>
    <cellStyle name="f_Recon. set.04 TCO após revisão Spanish I" xfId="1807" xr:uid="{44DB2F26-5410-4407-98D1-CE3796C1661B}"/>
    <cellStyle name="f_Template IAS TCP - março.04 após rev.Esp." xfId="1808" xr:uid="{CC9197AE-8D3B-4F18-A3EE-E557E1402FE8}"/>
    <cellStyle name="f_Template IAS TCP - março.04 após rev.Esp.1" xfId="1809" xr:uid="{C908C341-55D0-43EE-AEBA-22DA026B4394}"/>
    <cellStyle name="f_Template IAS TCP Consol. set.04" xfId="1810" xr:uid="{8D99942E-C9C5-4EDC-8D08-E7CBF1048BF1}"/>
    <cellStyle name="f_Template IAS TCP Consol. set.04 após rev.Esp." xfId="1811" xr:uid="{259FEA79-1FAA-4610-8C40-9C75E52F4454}"/>
    <cellStyle name="f_Template IAS TCP Consol. set.041" xfId="1812" xr:uid="{C94C8433-9189-4327-9B94-1C3989E5BF50}"/>
    <cellStyle name="f_Template IAS TCP Consol. set.042" xfId="1813" xr:uid="{714CCA39-BFCF-480F-823C-C22712587606}"/>
    <cellStyle name="f_Template TC set.04 após revisão espanha" xfId="1814" xr:uid="{2D698B09-7799-4E82-B7B2-CC1CC7253C0E}"/>
    <cellStyle name="f_Template TC set.04 após revisão espanha I" xfId="1815" xr:uid="{C3C6324C-711A-4B1A-B77E-376F167F34FC}"/>
    <cellStyle name="f_Template TCP MAR 05" xfId="1816" xr:uid="{5A846376-C82C-4D3D-BF23-7106D98885C9}"/>
    <cellStyle name="f_Templates IAS TCP - junho.04 c. e_sif" xfId="1817" xr:uid="{7BC791F2-054D-480D-86B2-63E62553330C}"/>
    <cellStyle name="f_Templates IAS TCP - junho.04 c. e_sif reclassif. 14.09" xfId="1818" xr:uid="{CCDF628B-970F-4AA4-AAE2-C3139CC20BDC}"/>
    <cellStyle name="f_Templates IAS TCP jun.04 Consol.após rev.espanha" xfId="1819" xr:uid="{2521E3DF-DC4A-4D84-B575-8285FF954105}"/>
    <cellStyle name="f_Templates IAS TCP jun.04 Consol.após rev.espanha1" xfId="1820" xr:uid="{C7618F7B-57AF-405E-96FC-261CCBFD1122}"/>
    <cellStyle name="f_Worksheet in (C)   IAS Dezembro_03" xfId="1821" xr:uid="{1558246E-A854-4793-A3B3-FAF38DA1A8D8}"/>
    <cellStyle name="f_Worksheet in (C) 2241 IAS Dezembro_03" xfId="1822" xr:uid="{881C5B2A-524C-4EF3-8827-62F7A67358E6}"/>
    <cellStyle name="f_Worksheet in (C) 2441-1 Resumo Ajustes" xfId="1823" xr:uid="{5DFF86E0-188A-4C9A-A91C-548AB7C5FFD4}"/>
    <cellStyle name="f_Worksheet in 2241 IAS Dezembro_03" xfId="1824" xr:uid="{77577243-3BC1-47FC-9749-31EBD02EEAD9}"/>
    <cellStyle name="f_Worksheet in 2242 IAS JUNHO 2004" xfId="1825" xr:uid="{A7401AED-8551-4975-840D-720C5BCEFEBB}"/>
    <cellStyle name="F2" xfId="1826" xr:uid="{DE836D60-86E7-4CA3-A3AF-A5AEF17F1FD6}"/>
    <cellStyle name="F3" xfId="1827" xr:uid="{98426E31-A895-4AA6-AACF-C9EA42784F53}"/>
    <cellStyle name="F4" xfId="1828" xr:uid="{D5EAA3F2-14F7-4D01-8B4B-3639ACA5E1D3}"/>
    <cellStyle name="F5" xfId="1829" xr:uid="{D7A39527-1FA4-415B-96CA-A27317AEB316}"/>
    <cellStyle name="F6" xfId="1830" xr:uid="{594544CF-CBC1-46BB-AD43-E525AE215D5A}"/>
    <cellStyle name="F7" xfId="1831" xr:uid="{2965ADD4-3237-4B12-93ED-151F2573963C}"/>
    <cellStyle name="F8" xfId="1832" xr:uid="{DABBB6C4-8016-476A-8C40-85FFFC7C4BFB}"/>
    <cellStyle name="fact_Feuil1 (8)" xfId="152" xr:uid="{3442DD39-C6C3-4146-93C8-AB6DDF4F22CD}"/>
    <cellStyle name="Fail" xfId="153" xr:uid="{11E682DB-19A5-4358-A555-F46A1BC6B666}"/>
    <cellStyle name="Fail 2" xfId="1833" xr:uid="{24A4DB89-CC79-475D-849E-91D763C5F1CC}"/>
    <cellStyle name="Fail 3" xfId="1834" xr:uid="{D0F57784-FEB0-4419-A22C-F4FAE6DE44E1}"/>
    <cellStyle name="Fail 3 2" xfId="1835" xr:uid="{67343437-E9CB-4A42-B8F8-0B4B39AA2323}"/>
    <cellStyle name="FAS Number" xfId="675" xr:uid="{F2F97A59-551F-47AF-9ABD-CF2333877D0C}"/>
    <cellStyle name="FAS Number 2" xfId="1164" xr:uid="{BCE1E95B-6536-4A88-903B-EEF3627BB49B}"/>
    <cellStyle name="FF_EURO" xfId="154" xr:uid="{E08D139F-4C9D-43E7-93E2-43D247258733}"/>
    <cellStyle name="Fijo" xfId="1836" xr:uid="{FE6DFC10-4E28-42D0-A56F-ED4FC944C53C}"/>
    <cellStyle name="Financial" xfId="676" xr:uid="{00E07083-91F0-46E3-B8A8-38C8AD522989}"/>
    <cellStyle name="Financial 2" xfId="1165" xr:uid="{5732E59C-0027-4840-89CA-90EFEE124739}"/>
    <cellStyle name="Financiero" xfId="1837" xr:uid="{A9536548-E7A3-4446-8B5E-FB9BFBA7C8F9}"/>
    <cellStyle name="FiscalPeriod" xfId="155" xr:uid="{C8BF02F3-5B9A-4426-8569-170909D1C1FA}"/>
    <cellStyle name="FiscalPeriod 2" xfId="1838" xr:uid="{D696A0AF-6F20-46C2-BAE4-CD2D7575F7FF}"/>
    <cellStyle name="FiscalPeriod 3" xfId="1839" xr:uid="{5C53246E-AC6E-40F8-800E-9E6A0FEDC746}"/>
    <cellStyle name="FiscalPeriod 3 2" xfId="1840" xr:uid="{BC20162E-3C34-46F7-B4CB-1C3F85FFE760}"/>
    <cellStyle name="Fixed" xfId="156" xr:uid="{6DFDEA58-3099-4458-84CB-4D2361A7E859}"/>
    <cellStyle name="Fixed [0]" xfId="157" xr:uid="{147F8520-2C05-4C75-AAA4-D447B98D0B0F}"/>
    <cellStyle name="Fixed [0] 2" xfId="677" xr:uid="{39F8024C-2F0E-4F50-AD68-10E9A7E844D9}"/>
    <cellStyle name="Fixed [0] 2 2" xfId="1841" xr:uid="{72DFB12E-BF0F-4D6D-B65A-BF71659410DD}"/>
    <cellStyle name="Fixed 2" xfId="1842" xr:uid="{AEC11B0F-A993-4FC3-BF51-A6A064D21769}"/>
    <cellStyle name="Fixed 2 2" xfId="1843" xr:uid="{5C0EADC7-7FD2-4F55-A65B-ACFF32422ED7}"/>
    <cellStyle name="Fixed 3" xfId="1844" xr:uid="{A340D9CD-6BA6-4434-88A6-EABFD83243BF}"/>
    <cellStyle name="Fixed 3 2" xfId="1845" xr:uid="{D89F210F-DD89-4E2F-A15D-98DE395A31F2}"/>
    <cellStyle name="Fixo" xfId="1846" xr:uid="{16F3CD7B-F1D7-4FB3-B32D-5B0F544418BF}"/>
    <cellStyle name="fo]_x000d__x000a_UserName=Murat Zelef_x000d__x000a_UserCompany=Bumerang_x000d__x000a__x000d__x000a_[File Paths]_x000d__x000a_WorkingDirectory=C:\EQUIS\DLWIN_x000d__x000a_DownLoader=C" xfId="158" xr:uid="{D8755CCF-057B-4D78-95F6-43CD6E47DCD3}"/>
    <cellStyle name="Följde hyperlänken" xfId="159" xr:uid="{07E6CC45-31ED-4CAB-A1EE-E83A5DC4DFDB}"/>
    <cellStyle name="Följde hyperlänken 2" xfId="1847" xr:uid="{84A16F1B-B140-4821-B9AD-22A1243AFC1C}"/>
    <cellStyle name="Följde hyperlänken 2 2" xfId="1848" xr:uid="{F79E3D72-F944-4CAF-870F-775C7EE77551}"/>
    <cellStyle name="Footer SBILogo1" xfId="160" xr:uid="{9A6E5F53-E1DA-4DDE-B20B-A5529001C6A7}"/>
    <cellStyle name="Footer SBILogo1 2" xfId="1849" xr:uid="{86AE98D6-6B9B-4654-8293-8F457E367670}"/>
    <cellStyle name="Footer SBILogo1 2 2" xfId="1850" xr:uid="{0BEE0242-2F94-45D8-9399-D92CBB69D55A}"/>
    <cellStyle name="Footer SBILogo2" xfId="161" xr:uid="{5C5F2E4A-FDE9-4537-B9C1-6F151AB0FD64}"/>
    <cellStyle name="Footer SBILogo2 2" xfId="1851" xr:uid="{E6BE9113-5A38-4A7F-8532-EE839016FAFF}"/>
    <cellStyle name="Footer SBILogo2 2 2" xfId="1852" xr:uid="{AD99A473-08F6-4041-8B53-70D3D41D115B}"/>
    <cellStyle name="Footnote" xfId="162" xr:uid="{2BE8A10C-E321-4B82-909E-7A94137F81DE}"/>
    <cellStyle name="Footnote 2" xfId="678" xr:uid="{4800861D-1A65-4E86-A2BA-B0EEC0FC7852}"/>
    <cellStyle name="Footnote 3" xfId="1853" xr:uid="{02695294-E99A-46D4-AF7D-E43E8D4EADD6}"/>
    <cellStyle name="Footnote 3 2" xfId="1854" xr:uid="{DA1D1069-656E-4162-9D75-9EAE8A33BDE3}"/>
    <cellStyle name="Footnote 4" xfId="1855" xr:uid="{266B8A4B-A461-4496-919A-1F09A7840913}"/>
    <cellStyle name="Footnote Reference" xfId="163" xr:uid="{3E2AB9DE-457C-4548-98B7-67B1B943D2F8}"/>
    <cellStyle name="Footnote Reference 2" xfId="1856" xr:uid="{A0523D48-1DED-4710-8084-0C75809A5C1C}"/>
    <cellStyle name="Footnote Reference 2 2" xfId="1857" xr:uid="{580CE04C-A0D4-4C31-9590-DEF3F921D7BF}"/>
    <cellStyle name="Footnote_Innsamling" xfId="164" xr:uid="{0BA0BEFB-767A-43CB-96A1-9FF17D7D2EA8}"/>
    <cellStyle name="Forecast" xfId="679" xr:uid="{EC85C839-AA11-4BE2-94E2-2086AE5D623A}"/>
    <cellStyle name="ForecastData" xfId="680" xr:uid="{5852AE79-9EB1-425C-BE97-24FA3351D16D}"/>
    <cellStyle name="fourdecplace" xfId="681" xr:uid="{E2417429-B9A5-41DA-B7B0-D39469074C02}"/>
    <cellStyle name="front page small" xfId="165" xr:uid="{E118A7FD-42A1-44CC-8735-B16AEB57C2D9}"/>
    <cellStyle name="General" xfId="166" xr:uid="{8D57808A-23C6-4C6E-8549-47BFBC4462FC}"/>
    <cellStyle name="General 2" xfId="682" xr:uid="{DAADFF35-59F7-43F5-AE8B-7705911FA852}"/>
    <cellStyle name="General 2 2" xfId="1858" xr:uid="{5AB4CA96-C522-4465-B65F-BAC171393E41}"/>
    <cellStyle name="Good 2" xfId="879" xr:uid="{489D77B1-11D4-45F5-803B-02FD3D727E28}"/>
    <cellStyle name="Good 3" xfId="1010" xr:uid="{21B8D144-2EE7-4321-8C86-EFDE84725854}"/>
    <cellStyle name="Good 4" xfId="1859" xr:uid="{9BD3C178-F3EE-40A1-BFD9-2507E171C1DA}"/>
    <cellStyle name="Green" xfId="683" xr:uid="{439B22FB-D7DB-469F-B850-ACAC1FC5BAA2}"/>
    <cellStyle name="Grey" xfId="167" xr:uid="{F354FBBD-47D7-488A-8BA2-04E79CA61359}"/>
    <cellStyle name="Grey 2" xfId="1012" xr:uid="{8CBB0589-709D-481D-A388-ADCA796BDF42}"/>
    <cellStyle name="Grey 3" xfId="1860" xr:uid="{05BFCBB3-AA80-4FD1-95F3-29467457EEAB}"/>
    <cellStyle name="GrowthRate" xfId="168" xr:uid="{A4C4B192-B5FA-40DE-BC25-BBD0AC404FC8}"/>
    <cellStyle name="GrowthRate 2" xfId="684" xr:uid="{51771BFD-1A14-4D90-BFC4-4FF88A6EFF2F}"/>
    <cellStyle name="GrowthRate 2 2" xfId="1861" xr:uid="{2F2FB2AD-71B0-4F76-BDAC-3998FDA80325}"/>
    <cellStyle name="GrowthSeq" xfId="169" xr:uid="{371525A7-1D8F-4CE9-A8C8-36DE0D15B0A1}"/>
    <cellStyle name="GrowthSeq 2" xfId="1862" xr:uid="{48C23777-4AB8-40D5-BBCB-ADF060D89D36}"/>
    <cellStyle name="GrowthSeq 2 2" xfId="1863" xr:uid="{14A2080E-1C80-4AF7-947B-6E10AD3296EC}"/>
    <cellStyle name="GWN Table Body" xfId="170" xr:uid="{55DC239A-C292-45E7-B149-13532053CB47}"/>
    <cellStyle name="GWN Table Header" xfId="171" xr:uid="{52189376-5686-421E-880E-22DC3673F15B}"/>
    <cellStyle name="GWN Table Left Header" xfId="172" xr:uid="{742D05FE-4098-4F85-B5EA-1AFD928153CE}"/>
    <cellStyle name="GWN Table Note" xfId="173" xr:uid="{BB859B89-671C-4B3C-A1A1-5017AA2E4A00}"/>
    <cellStyle name="GWN Table Title" xfId="174" xr:uid="{86BFDCB8-46A0-451D-A206-91748B76D291}"/>
    <cellStyle name="H0" xfId="175" xr:uid="{F3C68202-D577-4F8A-A68B-112944E7600D}"/>
    <cellStyle name="H1" xfId="176" xr:uid="{F564B0BB-6825-45CD-8F84-1C05B42800BA}"/>
    <cellStyle name="H2" xfId="177" xr:uid="{DE30424E-1862-4FC4-84ED-FA1A5806C686}"/>
    <cellStyle name="H3" xfId="178" xr:uid="{785854CD-A33F-4C2F-B19E-9302B5735916}"/>
    <cellStyle name="H4" xfId="179" xr:uid="{433D25E5-86EC-4243-B014-A347A076DC40}"/>
    <cellStyle name="haeding 2" xfId="180" xr:uid="{C04F1E34-11DF-4EEA-BACD-8EF6FF22231A}"/>
    <cellStyle name="haeding 2 2" xfId="1864" xr:uid="{4C0D9A16-0762-4203-958C-48EEED304760}"/>
    <cellStyle name="haeding 2 2 2" xfId="1865" xr:uid="{D2E5C879-431C-4FD4-A0B5-E89E91F08DB7}"/>
    <cellStyle name="haeding 2 3" xfId="1866" xr:uid="{1A335B13-AC60-494B-BEB0-2B3F61D82F99}"/>
    <cellStyle name="Hard" xfId="181" xr:uid="{D9ACBA97-6EAB-4659-AD4D-664EF1964449}"/>
    <cellStyle name="Hard input" xfId="182" xr:uid="{C17CCF99-0631-4FD7-910C-BAA5832B829E}"/>
    <cellStyle name="hard no." xfId="183" xr:uid="{AC876BB0-D080-470D-AFD5-7DE3C267551A}"/>
    <cellStyle name="Hard Percent" xfId="184" xr:uid="{E9657740-6CE3-46E5-B40F-5834EA177F57}"/>
    <cellStyle name="Hard Percent 2" xfId="685" xr:uid="{E69BEEBF-0738-4FDB-BB1F-3577B190C4A5}"/>
    <cellStyle name="head1" xfId="686" xr:uid="{678D7628-02F9-45A4-B4F9-1CAB42653F75}"/>
    <cellStyle name="head2" xfId="185" xr:uid="{DC239614-46C6-470C-9879-923A5044AC86}"/>
    <cellStyle name="head2 2" xfId="687" xr:uid="{5783EE67-1331-4BD2-A7D6-553D156529E9}"/>
    <cellStyle name="head2 2 2" xfId="1867" xr:uid="{18FD3FB2-06C4-40C3-9775-3E6A26B6DB06}"/>
    <cellStyle name="Header" xfId="186" xr:uid="{2763E646-93BE-498C-A630-08627534E678}"/>
    <cellStyle name="Header 2" xfId="688" xr:uid="{00445479-D60A-4BE5-BE33-BEDFEAE9661D}"/>
    <cellStyle name="Header 3" xfId="1868" xr:uid="{7B055184-8091-47FF-8368-1F3191A6EDDE}"/>
    <cellStyle name="Header 3 2" xfId="1869" xr:uid="{CCF9AE2B-51C3-485B-A20F-8E494641E1F2}"/>
    <cellStyle name="Header 4" xfId="1870" xr:uid="{8FCD256E-F80E-4BD2-8FE4-D4E150C38F03}"/>
    <cellStyle name="Header Draft Stamp" xfId="187" xr:uid="{0975A99D-F597-44F3-91A9-017F7A697EE0}"/>
    <cellStyle name="Header Draft Stamp 2" xfId="1871" xr:uid="{4D328046-65CE-409D-9127-E65A27CE7992}"/>
    <cellStyle name="Header Draft Stamp 2 2" xfId="1872" xr:uid="{1954AF9C-3E04-467A-ADBF-9D556F1247F6}"/>
    <cellStyle name="Header_Innsamling" xfId="188" xr:uid="{1315A016-BB55-41A3-8FC1-D9771209D201}"/>
    <cellStyle name="Header1" xfId="689" xr:uid="{464FB181-4467-48DB-9A58-0718317F1C29}"/>
    <cellStyle name="Header2" xfId="690" xr:uid="{1D876F5E-D205-4765-86C4-3BDCA06886D4}"/>
    <cellStyle name="Heading" xfId="189" xr:uid="{73740D91-042E-40A6-8E40-6E7BB30215B1}"/>
    <cellStyle name="heading 1 10" xfId="1028" xr:uid="{D11C33CA-00B6-4A63-AEAD-AFA14FC07D8E}"/>
    <cellStyle name="Heading 1 2" xfId="880" xr:uid="{22CAFDA6-E771-4A53-8BC9-B5D8F8F846B5}"/>
    <cellStyle name="heading 1 3" xfId="1018" xr:uid="{7B2D8E6E-8CE0-4120-8CF3-1CAE95B48E82}"/>
    <cellStyle name="heading 1 4" xfId="998" xr:uid="{0F35E1C8-A77E-4F2E-A6E2-FCA0FF01946E}"/>
    <cellStyle name="heading 1 5" xfId="995" xr:uid="{C39FED79-E96A-4519-9EB9-A1974358BBB9}"/>
    <cellStyle name="heading 1 6" xfId="1000" xr:uid="{5A819193-B4A4-4028-9C96-1C243FC9C29B}"/>
    <cellStyle name="heading 1 7" xfId="993" xr:uid="{6DD5090B-6D0B-4615-A492-E13CF9D3E4FD}"/>
    <cellStyle name="heading 1 8" xfId="1003" xr:uid="{B7F9E108-A562-43DF-A34E-5EA1529367C6}"/>
    <cellStyle name="heading 1 9" xfId="991" xr:uid="{A4FA4CE4-376E-44E6-90B6-D3A77AE5861B}"/>
    <cellStyle name="Heading 1 Above" xfId="190" xr:uid="{BAC33C41-084E-449E-ADF8-6F8772B27A87}"/>
    <cellStyle name="Heading 1 Above 2" xfId="1873" xr:uid="{5E203337-6251-4A9D-B1C3-57D83AA97435}"/>
    <cellStyle name="Heading 1 Above 2 2" xfId="1874" xr:uid="{041C51C6-F31C-4183-AA08-BC86D85420E1}"/>
    <cellStyle name="Heading 1+" xfId="191" xr:uid="{4505A0BD-354C-4232-9C6A-5BE59988E9E5}"/>
    <cellStyle name="Heading 1+ 2" xfId="1875" xr:uid="{07AA7459-F889-4B69-8A43-34E5CAFBCF5C}"/>
    <cellStyle name="Heading 1+ 2 2" xfId="1876" xr:uid="{235AC671-0CF4-4B2B-A817-48D98188BEBF}"/>
    <cellStyle name="heading 2 10" xfId="1029" xr:uid="{731D7E6A-94E3-442E-878A-7B096F666382}"/>
    <cellStyle name="Heading 2 11" xfId="1292" xr:uid="{390321D5-E618-4387-BBD0-394B9EA2C148}"/>
    <cellStyle name="Heading 2 12" xfId="192" xr:uid="{9987F12D-4BF0-4F9F-B40A-4E16492F7BF8}"/>
    <cellStyle name="Heading 2 13" xfId="2384" xr:uid="{0091B5D3-4A0D-4E2C-8DAF-A013415FF824}"/>
    <cellStyle name="Heading 2 2" xfId="881" xr:uid="{E9A739B1-0CF6-4112-B86A-F23C448EB97F}"/>
    <cellStyle name="Heading 2 2 2" xfId="1877" xr:uid="{0B97D16E-A6FD-4242-A572-CD66603001E8}"/>
    <cellStyle name="heading 2 3" xfId="1019" xr:uid="{5641902D-6889-41C1-A519-05C313CD5D05}"/>
    <cellStyle name="Heading 2 3 2" xfId="1878" xr:uid="{187FB7AF-6459-4FE4-BA41-3A6D33A4EE7A}"/>
    <cellStyle name="heading 2 4" xfId="997" xr:uid="{67AD7A79-653F-45A2-B5BE-EF2EB91DAA97}"/>
    <cellStyle name="heading 2 5" xfId="996" xr:uid="{39356B67-1F70-437C-A80B-04F9E0AA4E95}"/>
    <cellStyle name="heading 2 6" xfId="999" xr:uid="{EB6D689D-A8E7-44F4-99EB-13274190FC50}"/>
    <cellStyle name="heading 2 7" xfId="994" xr:uid="{A65F0E5B-C9B1-476E-A83E-7D75E519C943}"/>
    <cellStyle name="heading 2 8" xfId="1001" xr:uid="{DA88D17C-C601-43A3-9E5F-DCAF3E2BF3E2}"/>
    <cellStyle name="heading 2 9" xfId="992" xr:uid="{3EAF626A-C044-4DD9-ABDA-355F6688EBC7}"/>
    <cellStyle name="Heading 2 Below" xfId="193" xr:uid="{F166E15D-2E91-4AB6-A086-B1C35C98A84C}"/>
    <cellStyle name="Heading 2 Below 2" xfId="1879" xr:uid="{4967466F-290B-4845-AB39-09C6358BF936}"/>
    <cellStyle name="Heading 2 Below 2 2" xfId="1880" xr:uid="{1B2A995E-71B8-4050-86E2-7704378DFAD3}"/>
    <cellStyle name="Heading 2+" xfId="194" xr:uid="{67A902C0-26EA-46E7-A1AA-80DDA66D3594}"/>
    <cellStyle name="Heading 2+ 2" xfId="1881" xr:uid="{E64F8EB9-43D4-4D34-AC55-B64C9100357A}"/>
    <cellStyle name="Heading 2+ 2 2" xfId="1882" xr:uid="{6D175616-0EC2-4332-AC93-80354E75630B}"/>
    <cellStyle name="Heading 3 2" xfId="882" xr:uid="{C19EB00C-E44E-4384-802E-62541D09834E}"/>
    <cellStyle name="Heading 3 2 2" xfId="1883" xr:uid="{2E6B940B-64B9-4614-BC48-204EF4230E33}"/>
    <cellStyle name="Heading 3 3" xfId="1020" xr:uid="{BB8351D8-6EA1-46EF-921C-77AF3814B2B5}"/>
    <cellStyle name="Heading 3 3 2" xfId="1884" xr:uid="{7EDF9FC5-D286-44DC-9DC7-A738EF22E16C}"/>
    <cellStyle name="Heading 3 4" xfId="1293" xr:uid="{34237536-8400-4327-AE20-7291EBAE7473}"/>
    <cellStyle name="Heading 3 5" xfId="195" xr:uid="{AFF1EA34-8375-4075-8254-13D0B9C684FF}"/>
    <cellStyle name="Heading 3+" xfId="196" xr:uid="{3C8EC80D-F478-44E9-A4CC-2880C7CE1CAD}"/>
    <cellStyle name="Heading 3+ 2" xfId="1885" xr:uid="{3FC1E90D-8473-4C76-B6B8-7D199A56CF34}"/>
    <cellStyle name="Heading 3+ 2 2" xfId="1886" xr:uid="{9FE7A7B2-64EC-40D6-B4A0-B13BDBB2C3C6}"/>
    <cellStyle name="Heading 4 2" xfId="883" xr:uid="{C53C7542-0302-4EF5-83CE-3FEFFABD9F6E}"/>
    <cellStyle name="Heading 4 3" xfId="1021" xr:uid="{34C8C3E9-91C7-43EB-88F0-23A92FC9685E}"/>
    <cellStyle name="Heading 4 4" xfId="1887" xr:uid="{5B8A4EEE-296A-4861-B823-D5EFDD10B070}"/>
    <cellStyle name="Heading 4 5" xfId="1888" xr:uid="{2ABA8401-B416-4FEF-A3A9-C78E6F3DE38F}"/>
    <cellStyle name="Heading 4 6" xfId="1889" xr:uid="{ACACB57B-2E41-401B-87F8-2DCBB30766D1}"/>
    <cellStyle name="Heading 5" xfId="197" xr:uid="{F3135C55-A307-4418-9B99-8F5FAA5E8906}"/>
    <cellStyle name="Heading 5 2" xfId="1890" xr:uid="{485E54BE-00E6-48FB-92B5-82389AB15D3B}"/>
    <cellStyle name="Heading 5 2 2" xfId="1891" xr:uid="{A51C94ED-B213-4A77-B6EB-3E032D7788A2}"/>
    <cellStyle name="Heading 6" xfId="1892" xr:uid="{23F5FCA1-F16E-45A1-9504-115A5483E807}"/>
    <cellStyle name="Heading 6 2" xfId="1893" xr:uid="{8921E70B-2421-4F5C-A8BA-B6968A12D1DC}"/>
    <cellStyle name="Heading 7" xfId="1894" xr:uid="{B1CEBBE1-B3E8-4F76-B9EB-6834B866FE60}"/>
    <cellStyle name="Heading 7 2" xfId="1895" xr:uid="{2FD6B5BA-DF9C-4BD0-AB82-458B8E72E482}"/>
    <cellStyle name="Heading1" xfId="691" xr:uid="{42B9A791-2D21-4024-AA06-AA31A486D023}"/>
    <cellStyle name="Hidden" xfId="198" xr:uid="{A994B029-5250-416C-B080-E23BE13E03A1}"/>
    <cellStyle name="Hidden 2" xfId="692" xr:uid="{4F9A85C2-2AE2-4C80-B161-040B3EB82310}"/>
    <cellStyle name="Hidden 3" xfId="1896" xr:uid="{120EEF64-CFD8-41E0-B14C-0CDF2C8A7988}"/>
    <cellStyle name="Hidden 3 2" xfId="1897" xr:uid="{DE17C72C-4172-4CB5-89BF-5D59E241EAC3}"/>
    <cellStyle name="Highlight" xfId="199" xr:uid="{A8C8DAA1-B620-4AAF-B790-E1DA26E83D4D}"/>
    <cellStyle name="Highlight 2" xfId="1294" xr:uid="{C762699A-5DA9-4C83-9F22-7387A5035178}"/>
    <cellStyle name="Hipervínculo" xfId="1898" xr:uid="{1672E0C5-7963-4E0E-AA65-99A930053E83}"/>
    <cellStyle name="Hipervínculo visitado" xfId="1899" xr:uid="{637BA0FB-7F0C-4A05-9A88-5B70B1E42155}"/>
    <cellStyle name="Hist inmatning" xfId="200" xr:uid="{E8BF4DC0-2821-486A-BBE7-B8477B39B87D}"/>
    <cellStyle name="Historic" xfId="693" xr:uid="{93CF5900-F9B6-4607-85DC-D4675273AFFD}"/>
    <cellStyle name="HistoricData" xfId="694" xr:uid="{3E107C23-EFF4-4DE0-B4CB-327063881622}"/>
    <cellStyle name="Hyperlänk" xfId="201" xr:uid="{0758231A-3839-4D48-89FE-D914E1F9BEE7}"/>
    <cellStyle name="Hyperlänk 2" xfId="1900" xr:uid="{4FD1E770-1DD8-4009-A76E-956A8DEE23A5}"/>
    <cellStyle name="Hyperlänk 2 2" xfId="1901" xr:uid="{A159F67A-36ED-403B-B4C6-EC83450CA4C8}"/>
    <cellStyle name="Hyperlink" xfId="2393" builtinId="8"/>
    <cellStyle name="Hyperlink 2" xfId="13" xr:uid="{33BF8F01-28FB-4D79-B2FF-4BC9698ED4D2}"/>
    <cellStyle name="Hyperlink 2 2" xfId="1260" xr:uid="{85CAAE51-3513-42C8-9A6F-5DF9A33FA5AF}"/>
    <cellStyle name="Hyperlink 2 3" xfId="695" xr:uid="{7AD41F36-3BC1-474D-A687-ACE48A07A561}"/>
    <cellStyle name="Hyperlink 3" xfId="1902" xr:uid="{EBABAA50-F0F2-4C09-BE8E-E03594E712C3}"/>
    <cellStyle name="Hyperlink 4" xfId="1903" xr:uid="{419A67BF-5636-40B6-A0DB-7FEBB7ECF144}"/>
    <cellStyle name="Hyperlink black" xfId="1904" xr:uid="{90AB3CB7-4DA4-4A89-98AE-E7852B09E562}"/>
    <cellStyle name="Hyperlink seguido" xfId="1905" xr:uid="{D5175795-4E69-4D18-99EC-71FC21626D56}"/>
    <cellStyle name="IncomeStatement" xfId="202" xr:uid="{6827212F-A01A-49BD-8736-2C81976C8095}"/>
    <cellStyle name="IncomeStatement 2" xfId="696" xr:uid="{D5F8EDEA-3BA1-480E-876C-6E756071B981}"/>
    <cellStyle name="IncomeStatement 2 2" xfId="1906" xr:uid="{E3877CB6-D014-493A-8D4D-9DBF98191D97}"/>
    <cellStyle name="InLink" xfId="203" xr:uid="{C3D3EA6D-E34A-4594-B9D1-9D05999ECA65}"/>
    <cellStyle name="InLink 2" xfId="1907" xr:uid="{4175C606-630E-405D-A337-5038AA7F4BCD}"/>
    <cellStyle name="Input %" xfId="1908" xr:uid="{CF1AB3D8-8FDF-425B-A6B6-F0E4A435A6BA}"/>
    <cellStyle name="Input (%)" xfId="697" xr:uid="{20B07BB4-4CAF-482F-8751-57C216893F15}"/>
    <cellStyle name="Input (%) 2" xfId="1167" xr:uid="{6B3B302B-90BC-4F8C-A022-C84871185C11}"/>
    <cellStyle name="Input [yellow]" xfId="205" xr:uid="{BF0A0845-D3A5-4F43-AD62-E736F6C184A1}"/>
    <cellStyle name="Input 0" xfId="1909" xr:uid="{730965D4-4A0C-43A0-AC94-324D992C925D}"/>
    <cellStyle name="Input 0,0" xfId="1910" xr:uid="{E9DD3F05-047C-41D3-9915-D8EB64C7B533}"/>
    <cellStyle name="Input 0_Analise PDD 2003 " xfId="1911" xr:uid="{65AD8546-7366-487B-8E47-376B9524ACE7}"/>
    <cellStyle name="iNPUT 10" xfId="1145" xr:uid="{4FE4BE06-3371-4CE5-82C3-70132B17C6C7}"/>
    <cellStyle name="iNPUT 11" xfId="1166" xr:uid="{3029863D-A41F-4B2E-AC44-8538BCF4715C}"/>
    <cellStyle name="iNPUT 12" xfId="1261" xr:uid="{A97FD736-7CD7-4DD9-8224-B52B203DE560}"/>
    <cellStyle name="iNPUT 13" xfId="1126" xr:uid="{1DA7FF89-A1A5-4985-86F0-DB0DA040E689}"/>
    <cellStyle name="iNPUT 14" xfId="1089" xr:uid="{E36B82BE-FBF6-4D56-AE0C-AB958F7B647A}"/>
    <cellStyle name="input 15" xfId="1295" xr:uid="{F875A83C-9639-4152-8323-191AA7C77317}"/>
    <cellStyle name="input 16" xfId="204" xr:uid="{9BAE1910-F3C2-4681-AD5D-0F1C1DE28980}"/>
    <cellStyle name="input 17" xfId="2385" xr:uid="{5A9917DB-D060-4683-8305-EB15FC4DDBCD}"/>
    <cellStyle name="Input 2" xfId="884" xr:uid="{6525B6D5-DB3A-4E9A-8A0A-AC368A9CBC05}"/>
    <cellStyle name="Input 2 2" xfId="1912" xr:uid="{1EF97A0F-2119-4C6C-A5EA-73801679B2E0}"/>
    <cellStyle name="iNPUT 3" xfId="1024" xr:uid="{624D6BD7-34BA-4EFD-B596-C3E1FC70DCA3}"/>
    <cellStyle name="iNPUT 4" xfId="990" xr:uid="{4A5DDB97-6C93-4DB9-9AA4-6A6B2BEA0F8F}"/>
    <cellStyle name="iNPUT 5" xfId="1006" xr:uid="{7AAE39A3-868A-4B04-9530-EE533081A0C9}"/>
    <cellStyle name="iNPUT 6" xfId="989" xr:uid="{1F314073-9647-4E2B-B87E-302CF37598F3}"/>
    <cellStyle name="iNPUT 7" xfId="1008" xr:uid="{7F025BDD-2616-4A5F-A20A-1FFC5AE52FF3}"/>
    <cellStyle name="iNPUT 8" xfId="988" xr:uid="{EA1E202B-6B46-411D-81A1-8D6B3247B1A0}"/>
    <cellStyle name="iNPUT 9" xfId="1009" xr:uid="{83039262-B63D-44F4-98E8-8074854885F9}"/>
    <cellStyle name="Input calculation" xfId="206" xr:uid="{F184B56C-AB4E-4AC5-859A-1B11FED63FB2}"/>
    <cellStyle name="Input calculation 2" xfId="1296" xr:uid="{936A57E6-0D46-44E0-A9DA-8C35F9C109F1}"/>
    <cellStyle name="Input Cell" xfId="1913" xr:uid="{8C556480-6435-4023-A89E-9E3F43C24411}"/>
    <cellStyle name="Input Cells" xfId="207" xr:uid="{894E7461-EF79-4BBB-B224-5AA932FE2E8B}"/>
    <cellStyle name="Input Currency" xfId="208" xr:uid="{310005BF-2823-478D-AF68-F8F42B47E4A9}"/>
    <cellStyle name="Input Currency 2" xfId="698" xr:uid="{21F3BD6B-C057-4467-8F69-D4E676E3579A}"/>
    <cellStyle name="Input data" xfId="209" xr:uid="{229D3AE2-ECEA-4F01-8737-515484EEB268}"/>
    <cellStyle name="Input data 2" xfId="1297" xr:uid="{25F9339C-358B-4AF9-ACB4-881EAEFA5495}"/>
    <cellStyle name="Input Date" xfId="210" xr:uid="{B52C226F-DB63-41BC-8A42-6100F12A0B31}"/>
    <cellStyle name="Input Date 2" xfId="699" xr:uid="{06812F11-B403-4601-A45D-9AC921320A46}"/>
    <cellStyle name="Input Date 2 2" xfId="1914" xr:uid="{51AB6122-13DC-4B00-A111-AA8FF4F97438}"/>
    <cellStyle name="Input estimate" xfId="211" xr:uid="{8A7F1FD5-47A7-4670-9554-0F37163CC503}"/>
    <cellStyle name="Input estimate 2" xfId="1298" xr:uid="{AC1CD697-2A15-48DB-A27E-0488094B1D39}"/>
    <cellStyle name="Input Fixed [0]" xfId="212" xr:uid="{05679265-0743-432A-89E8-EF932E96F99A}"/>
    <cellStyle name="Input Fixed [0] 2" xfId="700" xr:uid="{04774A4D-5FC7-4C4E-B3D2-A96C1E547997}"/>
    <cellStyle name="Input link" xfId="213" xr:uid="{4DE818A7-BEA2-436A-AEAA-AAB3D8B950C0}"/>
    <cellStyle name="Input link (different workbook)" xfId="214" xr:uid="{B3BF4FD2-9D6F-4D6A-B71A-7444DDA7EE9E}"/>
    <cellStyle name="Input link (different workbook) 2" xfId="1300" xr:uid="{9EB588D1-6BE0-41CA-BB0B-C22FED0EE3B0}"/>
    <cellStyle name="Input link 2" xfId="1299" xr:uid="{62F06D85-F766-4264-951F-E1B6C872DBBB}"/>
    <cellStyle name="Input Link_Copy of ESA5 ForecastScaling" xfId="215" xr:uid="{3745CD5F-AAAD-44AB-AE10-B241C9059E64}"/>
    <cellStyle name="Input Normal" xfId="216" xr:uid="{6EDD094D-4C49-487D-AB5D-732D2EF12EA4}"/>
    <cellStyle name="Input parameter" xfId="217" xr:uid="{C20DF04E-28E7-40B0-9F9B-97DDED98DD36}"/>
    <cellStyle name="Input parameter 2" xfId="1301" xr:uid="{A8178DC4-A059-4F8C-9347-7A199B8B4EC9}"/>
    <cellStyle name="Input Percent" xfId="218" xr:uid="{72200BCC-0008-41E4-B8D8-1ECCE7B7696A}"/>
    <cellStyle name="Input Percent [2]" xfId="219" xr:uid="{85063328-9516-4ADA-882E-E6CDBD91F731}"/>
    <cellStyle name="Input Percent 10" xfId="984" xr:uid="{3EC2FAE1-553C-4293-89F7-45F8D495850C}"/>
    <cellStyle name="Input Percent 11" xfId="1016" xr:uid="{B55B25BE-7F89-49DA-82D7-25804B342B1C}"/>
    <cellStyle name="Input Percent 12" xfId="1023" xr:uid="{84E3E556-A61C-4219-9229-99433E6D1D1C}"/>
    <cellStyle name="Input Percent 13" xfId="1013" xr:uid="{E6F838FD-B06A-49E3-9469-8B469B028558}"/>
    <cellStyle name="Input Percent 14" xfId="1026" xr:uid="{A12D2A28-CD48-45A8-9356-605FFA0437C2}"/>
    <cellStyle name="Input Percent 15" xfId="1014" xr:uid="{AF80421D-4BA0-4E02-A6A3-9A8939D5DFA6}"/>
    <cellStyle name="Input Percent 16" xfId="1025" xr:uid="{A2A480CF-C183-4044-971F-5FC0076496EE}"/>
    <cellStyle name="Input Percent 17" xfId="1144" xr:uid="{7CDCB16E-0813-4929-A359-F7BFC59207B8}"/>
    <cellStyle name="Input Percent 18" xfId="1022" xr:uid="{3FA69414-6682-4798-8015-D43ED50C16BC}"/>
    <cellStyle name="Input Percent 19" xfId="1004" xr:uid="{97024C19-9A17-49E2-B7AA-F142D86F4758}"/>
    <cellStyle name="Input Percent 2" xfId="701" xr:uid="{C71E2E5B-F67F-452D-8447-F5094CE4A551}"/>
    <cellStyle name="Input Percent 2 2" xfId="1915" xr:uid="{26EB4900-9747-4825-B9EB-A10986467A81}"/>
    <cellStyle name="Input Percent 20" xfId="1017" xr:uid="{50F5408D-99ED-4660-BDCE-A9287710995D}"/>
    <cellStyle name="Input Percent 21" xfId="1007" xr:uid="{CA55ECD4-EA12-4902-84B9-63B7447E0B49}"/>
    <cellStyle name="Input Percent 3" xfId="911" xr:uid="{8179C5F4-DE57-486E-A50E-78F1A144D606}"/>
    <cellStyle name="Input Percent 3 2" xfId="1916" xr:uid="{472CBCC5-7A79-4856-B19B-1BC331E043DA}"/>
    <cellStyle name="Input Percent 4" xfId="912" xr:uid="{C81BBE8E-BB34-46C8-BE2E-140669967BDD}"/>
    <cellStyle name="Input Percent 5" xfId="1027" xr:uid="{717A200B-5C66-4256-B17B-D3EDC60B096B}"/>
    <cellStyle name="Input Percent 6" xfId="987" xr:uid="{25FE9DE3-5178-4A24-92E8-8FB8115FD09C}"/>
    <cellStyle name="Input Percent 7" xfId="1011" xr:uid="{D8E1B3E1-72F6-4C57-B002-26452600569D}"/>
    <cellStyle name="Input Percent 8" xfId="985" xr:uid="{C87CB4F3-C6E0-41CC-81CA-A38C813C9127}"/>
    <cellStyle name="Input Percent 9" xfId="1015" xr:uid="{4F12157E-68AA-40E7-8581-2D9807C312BD}"/>
    <cellStyle name="Input Percent_Book1" xfId="220" xr:uid="{ACA8D11E-02FF-473E-B973-422A6547EDBA}"/>
    <cellStyle name="Input Titles" xfId="221" xr:uid="{47195287-B2CD-4C04-ACD1-304B8A272849}"/>
    <cellStyle name="Input%" xfId="222" xr:uid="{5B8CB334-DD4A-47CF-8E19-9899EF67D36F}"/>
    <cellStyle name="Input% 2" xfId="702" xr:uid="{5E9544A6-335E-4003-B1CC-BCC16A903D65}"/>
    <cellStyle name="Input% 3" xfId="1917" xr:uid="{EEDAB670-AA9B-4E9A-83D8-D6EC0BF99CB7}"/>
    <cellStyle name="Input% 3 2" xfId="1918" xr:uid="{3B07C3A8-048A-48C7-8F1E-3344D0CC2380}"/>
    <cellStyle name="Input0dec" xfId="223" xr:uid="{0C8A2FF7-BFE4-42EC-A3F2-8493B56AA490}"/>
    <cellStyle name="Input0dec 2" xfId="703" xr:uid="{92B57763-10A8-4C64-B605-E6DDE3DA2CA0}"/>
    <cellStyle name="Input0dec 2 2" xfId="1919" xr:uid="{01F5C30B-EC1E-4188-BAB1-0FFBAA0ABB85}"/>
    <cellStyle name="Input2" xfId="1920" xr:uid="{DA7978D3-350C-4D99-A630-84F276B5068B}"/>
    <cellStyle name="Input2dec" xfId="224" xr:uid="{763DB667-1DFB-4E31-8A6E-6F4A52FB6FAE}"/>
    <cellStyle name="Input2dec 2" xfId="704" xr:uid="{6A126FED-D550-403D-A05E-BA66467D2590}"/>
    <cellStyle name="Input2dec 2 2" xfId="1921" xr:uid="{036E4B27-D9BB-485F-85AE-AB3D45203B5B}"/>
    <cellStyle name="InputBlueFont" xfId="225" xr:uid="{EBF2AC68-3B64-4F67-BF20-20818F3BE9A1}"/>
    <cellStyle name="InputBlueFont 2" xfId="1922" xr:uid="{0F95576A-5A0E-42FA-B158-FA04C5A90C1F}"/>
    <cellStyle name="InputBlueFont 3" xfId="1923" xr:uid="{A50F6E63-8A4C-4990-B5DB-34400D730D76}"/>
    <cellStyle name="InputBlueFont 3 2" xfId="1924" xr:uid="{BC79846A-CBA3-451A-9D41-84A4CC29A6CC}"/>
    <cellStyle name="InputBlueFont 4" xfId="1925" xr:uid="{83DF43E1-C365-4EF5-B397-50F944FF2B98}"/>
    <cellStyle name="InputBlueFont 5" xfId="1926" xr:uid="{23058B2A-F120-4C66-8298-73592018CE3D}"/>
    <cellStyle name="InputDate" xfId="226" xr:uid="{F20E52F4-3405-45DE-BD2B-594AF43DB190}"/>
    <cellStyle name="InputDate 2" xfId="1927" xr:uid="{E41F6DC6-6AB3-4CEA-AAD0-7B243A652811}"/>
    <cellStyle name="InputDate 3" xfId="1928" xr:uid="{20C2E817-C3D5-458B-B357-93A24873A8BB}"/>
    <cellStyle name="InputDate 3 2" xfId="1929" xr:uid="{68AAEAC2-8C32-416E-8C42-48C040A1D6E2}"/>
    <cellStyle name="InputDecimal" xfId="227" xr:uid="{E4880753-0CB0-4448-95B2-0DE6E31A16FD}"/>
    <cellStyle name="InputDecimal 2" xfId="1930" xr:uid="{E8DF8609-2201-4C7C-8D16-A3E4C537D465}"/>
    <cellStyle name="InputDecimal 3" xfId="1931" xr:uid="{9836FE1A-E78F-428B-A1FF-ED84638DD809}"/>
    <cellStyle name="InputDecimal 3 2" xfId="1932" xr:uid="{ABB4DECA-D38E-4937-8B21-64C748DDF84E}"/>
    <cellStyle name="InputValue" xfId="228" xr:uid="{B90B150C-D044-420E-BD60-7D21992931EF}"/>
    <cellStyle name="InputValue 2" xfId="1933" xr:uid="{D620C392-3756-47C6-8A79-0803510EDDFF}"/>
    <cellStyle name="InputValue 3" xfId="1934" xr:uid="{F43F5B6F-08DB-460B-B5F6-A8AFEA760AA8}"/>
    <cellStyle name="InputValue 3 2" xfId="1935" xr:uid="{E547A22D-BB66-4D21-A672-EC1031434FC0}"/>
    <cellStyle name="Integer" xfId="229" xr:uid="{CB6F40B8-8E45-476E-A82D-D84FCA2F2C49}"/>
    <cellStyle name="Integer 2" xfId="705" xr:uid="{E2786D40-2B34-4C56-8105-358210F6476B}"/>
    <cellStyle name="Integer 3" xfId="1936" xr:uid="{0FF106B1-973F-49DD-B6C2-0CBE20991653}"/>
    <cellStyle name="Integer 3 2" xfId="1937" xr:uid="{A83E07B2-C02A-4DE4-9A16-66304B136B41}"/>
    <cellStyle name="Item" xfId="230" xr:uid="{0D1F48EC-A0C1-4F55-85A5-76F62FD726DE}"/>
    <cellStyle name="Item 2" xfId="706" xr:uid="{A2F74590-F05C-4ED7-8A26-FB6EA070CB6E}"/>
    <cellStyle name="Item 3" xfId="1938" xr:uid="{3FF7EE07-E6CC-4563-84EA-1524BE64F0BF}"/>
    <cellStyle name="Item 3 2" xfId="1939" xr:uid="{59EF0731-2B55-455B-9E1B-B00E55F7E9C9}"/>
    <cellStyle name="Item 4" xfId="1940" xr:uid="{1C3B5671-3DB0-4200-A35E-921EF6DD6069}"/>
    <cellStyle name="Items_Optional" xfId="231" xr:uid="{9B3652A8-A907-4D0D-B96B-9D0CBE395030}"/>
    <cellStyle name="ItemTypeClass" xfId="232" xr:uid="{F7004A44-1E22-45B3-8BA1-78824CE65C2E}"/>
    <cellStyle name="ItemTypeClass 2" xfId="707" xr:uid="{7DFC659D-7637-4782-8797-E4830E55C842}"/>
    <cellStyle name="ItemTypeClass 2 2" xfId="1427" xr:uid="{45CBEA98-71A3-499A-B4AF-7501CE08EEA3}"/>
    <cellStyle name="ItemTypeClass 3" xfId="1302" xr:uid="{A62D29C1-4DA7-4FCB-AD6A-36BA1F69E47B}"/>
    <cellStyle name="ItemTypeClass 3 2" xfId="1941" xr:uid="{B9B14B36-D589-4DFF-B281-35D5F374644C}"/>
    <cellStyle name="James" xfId="233" xr:uid="{5DC4BF3E-2AAF-49C1-9FD3-2152243F3979}"/>
    <cellStyle name="kopregel" xfId="234" xr:uid="{FA23407F-91BA-4F61-82BE-D26AD3A276F1}"/>
    <cellStyle name="KP_Normal" xfId="708" xr:uid="{975F51F4-5DD0-4127-90AF-D86F34E4A24A}"/>
    <cellStyle name="KPMG Heading 1" xfId="1942" xr:uid="{609D67F2-A618-40C7-9D0C-60D320478FB6}"/>
    <cellStyle name="KPMG Heading 2" xfId="1943" xr:uid="{1CE6917B-A253-456D-85C3-70DF18BAD50F}"/>
    <cellStyle name="KPMG Heading 3" xfId="1944" xr:uid="{C8B5AED4-155D-41C8-B5A0-6819AEF186AE}"/>
    <cellStyle name="KPMG Heading 4" xfId="1945" xr:uid="{656B10F8-DA61-448F-B9B0-6269636B6F92}"/>
    <cellStyle name="KPMG Normal" xfId="1946" xr:uid="{35E1E738-1072-4D2C-8550-AA8A7D9F5380}"/>
    <cellStyle name="KPMG Normal Text" xfId="1947" xr:uid="{2106FCD0-C5D9-4084-8F57-AFB50CE82565}"/>
    <cellStyle name="LEVERS69" xfId="709" xr:uid="{B62E6030-DB1E-4CBB-802E-E9FB42D4B90C}"/>
    <cellStyle name="LEVERS69 2" xfId="1173" xr:uid="{DCA518FD-F437-4BF0-BEA5-B23F845CDDEA}"/>
    <cellStyle name="Libellés" xfId="235" xr:uid="{CF7918F3-9A6D-410E-ADBF-FBABE4021C8A}"/>
    <cellStyle name="Link" xfId="1948" xr:uid="{02ADA089-5432-467C-BA88-830CB59CA905}"/>
    <cellStyle name="Linked" xfId="236" xr:uid="{4A6F86B9-6D30-4146-BF16-D703BA62F046}"/>
    <cellStyle name="Linked 2" xfId="1949" xr:uid="{4D46E23D-E1F6-4295-8195-7059EF931B5D}"/>
    <cellStyle name="Linked 2 2" xfId="1950" xr:uid="{1F6CB555-8E37-47FE-A141-919143BFB5EA}"/>
    <cellStyle name="Linked 3" xfId="1951" xr:uid="{D2063973-1FF9-4262-BECA-E521B3F88313}"/>
    <cellStyle name="Linked 4" xfId="1952" xr:uid="{490D007D-13AE-4068-9735-6CD0456B594B}"/>
    <cellStyle name="Linked Cell 2" xfId="885" xr:uid="{763F0D39-42B9-4849-A772-E913821E0626}"/>
    <cellStyle name="Linked Cell 3" xfId="1030" xr:uid="{37D495F7-0056-4F0B-997F-99DCD5897901}"/>
    <cellStyle name="Linked Cells" xfId="237" xr:uid="{CEEE6BA9-DCDF-42C0-8F11-F1B957614B3B}"/>
    <cellStyle name="Linked Cells 2" xfId="1953" xr:uid="{7960A230-4215-4380-9098-6141E9AE5ECD}"/>
    <cellStyle name="Linked Cells 3" xfId="1954" xr:uid="{0ACACDD7-DEDA-44DD-9E84-3358444E479C}"/>
    <cellStyle name="Linked Cells 3 2" xfId="1955" xr:uid="{45563664-0877-4776-8668-7C77FC3030B6}"/>
    <cellStyle name="Locked" xfId="238" xr:uid="{517FF5D1-7DD5-488F-BA5A-9693FC3F8ED1}"/>
    <cellStyle name="Lookup_target" xfId="1956" xr:uid="{D4049679-2068-4BC9-B8D7-5AF29D112EE3}"/>
    <cellStyle name="MacroCode" xfId="710" xr:uid="{862D775C-AFBF-492C-BA4E-FA0682BB80A8}"/>
    <cellStyle name="Main Title" xfId="239" xr:uid="{1B7D857A-EF58-4C88-9AFC-2652CF9FA1D6}"/>
    <cellStyle name="Main Title 2" xfId="1957" xr:uid="{E19FDD64-ECC1-42C1-BA37-418474D9A43D}"/>
    <cellStyle name="Main Title 3" xfId="1958" xr:uid="{22F4C9BD-A49B-44FA-8AA0-A63AACB2FE05}"/>
    <cellStyle name="Main Title 3 2" xfId="1959" xr:uid="{46235F82-98A2-4C9A-A34C-D8B763D15E11}"/>
    <cellStyle name="Mainhead" xfId="711" xr:uid="{F140E2E0-F52E-47EA-867B-FA0F07DFE5D2}"/>
    <cellStyle name="margenta-f" xfId="240" xr:uid="{811EC681-FF78-4D50-8CCD-00CA4D363767}"/>
    <cellStyle name="margenta-f 2" xfId="1960" xr:uid="{DF632B7A-B96F-45B1-BE30-7A2B18596997}"/>
    <cellStyle name="margenta-f 2 2" xfId="1961" xr:uid="{0BACB5D4-8485-4C3E-825B-2FBE086655C2}"/>
    <cellStyle name="Margin" xfId="241" xr:uid="{9B224B89-0214-43BD-B725-4E44055C5EB3}"/>
    <cellStyle name="Margin 2" xfId="1962" xr:uid="{7A27E497-DFC0-4F4B-B910-C5D4B3CF331A}"/>
    <cellStyle name="Margin 3" xfId="1963" xr:uid="{A8FB2579-28E8-4279-A619-A56579D1D331}"/>
    <cellStyle name="Margins" xfId="242" xr:uid="{D9DD6C07-291A-426F-B705-C05EE5F387CC}"/>
    <cellStyle name="Margins 2" xfId="712" xr:uid="{F75E0DB0-8E59-4D18-BBFA-6A7808A17B7B}"/>
    <cellStyle name="Margins 2 2" xfId="1964" xr:uid="{85337B32-E884-408D-8038-40205A8C5877}"/>
    <cellStyle name="MetricLabel" xfId="243" xr:uid="{A66D494B-F19F-4FB9-8F90-34FAE3904230}"/>
    <cellStyle name="MetricLabel 2" xfId="1965" xr:uid="{B6A0E8FA-39E0-459D-A7FD-1321E8681F5B}"/>
    <cellStyle name="MetricLabel 3" xfId="1966" xr:uid="{7FEDF0FF-6BC5-43B5-8F11-1E875ACB6B6A}"/>
    <cellStyle name="MetricLabel 3 2" xfId="1967" xr:uid="{BB29A972-9C5E-4203-8CD5-9892F34D900E}"/>
    <cellStyle name="MetricLabelBlue" xfId="244" xr:uid="{3F80D46B-E9D4-4207-9A1D-0CA6DE3C3AD8}"/>
    <cellStyle name="MetricLabelBlue 2" xfId="1968" xr:uid="{3FFB9FA8-C323-4916-AB24-1438C0CA4902}"/>
    <cellStyle name="MetricLabelBlue 3" xfId="1969" xr:uid="{F6F9DCBD-F1DC-44F3-AF56-07954B14D2F6}"/>
    <cellStyle name="MetricLabelBlue 3 2" xfId="1970" xr:uid="{7DC71EA8-7D62-45F7-87A5-20838ADE444B}"/>
    <cellStyle name="MetricValue" xfId="245" xr:uid="{A51E0273-50DC-4B96-8298-4D6D2564F880}"/>
    <cellStyle name="MetricValue 2" xfId="1971" xr:uid="{93082CD6-E2B6-438A-8932-3A2CE24B96D5}"/>
    <cellStyle name="MetricValue 3" xfId="1972" xr:uid="{F5897FC6-3691-43F4-8E82-1C8D433EABB8}"/>
    <cellStyle name="MetricValue 3 2" xfId="1973" xr:uid="{C708A62D-110D-40EA-BCEE-C1434259B678}"/>
    <cellStyle name="Migliaia (0)" xfId="1974" xr:uid="{CD2B9609-D038-4C8E-96B5-2AFF4EA6F5EC}"/>
    <cellStyle name="Migliaia_Foglio1" xfId="246" xr:uid="{B5D66613-C5DD-4E07-8AA9-C0A4E59E28B6}"/>
    <cellStyle name="Mike" xfId="713" xr:uid="{E7DD97AF-FEDD-46C9-B17F-D32A94CB9CAD}"/>
    <cellStyle name="Millares [0]_10 AVERIAS MASIVAS + ANT" xfId="1975" xr:uid="{35BC6C67-83C5-470F-BE97-2974C617E2BC}"/>
    <cellStyle name="Millares_10 AVERIAS MASIVAS + ANT" xfId="1976" xr:uid="{E830D482-3F22-4BD7-9984-1F1DA8438A36}"/>
    <cellStyle name="Milliers [0]_Aimants permanents" xfId="247" xr:uid="{56956521-5B4C-4A36-A0A9-EF2C63FB9323}"/>
    <cellStyle name="Milliers [00]" xfId="248" xr:uid="{5EC4C5E5-CB0B-4DE5-9190-244F5AB44629}"/>
    <cellStyle name="Milliers [00] 2" xfId="1977" xr:uid="{73A5126B-6029-4B0A-871B-D18C01AB9F8D}"/>
    <cellStyle name="Milliers [00] 3" xfId="1978" xr:uid="{771FF424-E794-498C-AB09-B63D7D3B1965}"/>
    <cellStyle name="Milliers [00] 3 2" xfId="1979" xr:uid="{001282EF-B712-4CA1-ADBF-B6A751184D1A}"/>
    <cellStyle name="Milliers_Aimants permanents" xfId="249" xr:uid="{B129E007-EA73-400D-9342-F6E4CB0E9A15}"/>
    <cellStyle name="Millions" xfId="714" xr:uid="{213579A8-2F17-49B0-B33D-A43C1218A29E}"/>
    <cellStyle name="mine" xfId="250" xr:uid="{67CF7194-2035-495F-BF97-C702C5BFCCF1}"/>
    <cellStyle name="mine 2" xfId="1980" xr:uid="{A3AB1F17-3BB7-4D28-9CB9-1786B6AEB3C9}"/>
    <cellStyle name="mine 3" xfId="1981" xr:uid="{BA6A41BF-208B-43F5-9CDF-3D6C7AAFC012}"/>
    <cellStyle name="mine 3 2" xfId="1982" xr:uid="{030201D1-22D3-4DA9-BB0E-954513443431}"/>
    <cellStyle name="Model" xfId="251" xr:uid="{D21B3B52-2342-47EB-BD33-5B782A5D90B5}"/>
    <cellStyle name="Model 2" xfId="715" xr:uid="{B457D48E-8530-4882-B1DF-850CCBF49411}"/>
    <cellStyle name="Model 3" xfId="1983" xr:uid="{FC42E84A-80FC-4ABE-9541-799F126E3D66}"/>
    <cellStyle name="Model 3 2" xfId="1984" xr:uid="{0249BF8B-9630-4B63-95F7-C70CCDA125E4}"/>
    <cellStyle name="Models" xfId="716" xr:uid="{C14C1A9D-55A4-4FEB-9CDC-B33B69ED831A}"/>
    <cellStyle name="Moneda [0]_10 AVERIAS MASIVAS + ANT" xfId="1985" xr:uid="{9DB8982F-920D-4D7D-997B-9CA4075DD8E8}"/>
    <cellStyle name="Moneda_10 AVERIAS MASIVAS + ANT" xfId="1986" xr:uid="{92A3BF20-A509-4BDC-ADDB-D32EEF9E8837}"/>
    <cellStyle name="Monétaire [0]_Aimants permanents" xfId="252" xr:uid="{3AC26484-9CA4-46D3-99A3-24A0CB47F9E0}"/>
    <cellStyle name="Monetaire [0]_laroux" xfId="1987" xr:uid="{E4B63821-034D-4F13-A7C6-CE79CCF7EC8F}"/>
    <cellStyle name="Monétaire [0]_laroux" xfId="1988" xr:uid="{10687AD0-917B-40FE-BD1A-7924D037524A}"/>
    <cellStyle name="Monetaire [0]_laroux_1" xfId="1989" xr:uid="{99B90B01-7001-4871-81C1-EDD230222416}"/>
    <cellStyle name="Monétaire [0]_laroux_1" xfId="1990" xr:uid="{8BE078C2-69C9-46B3-A3AB-17A4CE900FCA}"/>
    <cellStyle name="Monetaire [0]_laroux_2" xfId="1991" xr:uid="{4E20FF65-9E8A-4DF3-86A1-B02454F98954}"/>
    <cellStyle name="Monétaire [0]_laroux_2" xfId="1992" xr:uid="{B80BFFB3-1322-4E3F-8709-C1089EED5992}"/>
    <cellStyle name="Monétaire [00]" xfId="253" xr:uid="{C836E0DD-B35D-4B57-AED4-89CD08238369}"/>
    <cellStyle name="Monétaire [00] 2" xfId="1993" xr:uid="{7A011A80-957B-4811-8F6A-7E5A65D9BE2F}"/>
    <cellStyle name="Monétaire [00] 3" xfId="1994" xr:uid="{E3FC8372-92BE-4386-915A-506210E9005D}"/>
    <cellStyle name="Monétaire [00] 3 2" xfId="1995" xr:uid="{CBBEF495-53CA-405F-AE3D-9D8CB6D870E6}"/>
    <cellStyle name="Monétaire_Aimants permanents" xfId="254" xr:uid="{27123BC4-E1EA-4712-B2AB-4EDD256DB459}"/>
    <cellStyle name="Monetaire_laroux" xfId="1996" xr:uid="{6FF7D91C-EA8C-4B8F-9F82-FE1E2FB02A24}"/>
    <cellStyle name="Monétaire_laroux" xfId="1997" xr:uid="{06DDA9D8-62A9-4339-96E3-836F5C558107}"/>
    <cellStyle name="Monetaire_laroux_1" xfId="1998" xr:uid="{4488F74E-4404-4C1D-899E-109BCF2D4FE5}"/>
    <cellStyle name="Monétaire_laroux_1" xfId="1999" xr:uid="{F5082AAF-A082-4547-8C5E-91A312288DDA}"/>
    <cellStyle name="Monetaire_laroux_2" xfId="2000" xr:uid="{B3BCD0C9-53E4-48A4-97FD-6FDBDFA5CE2A}"/>
    <cellStyle name="Monétaire_laroux_2" xfId="2001" xr:uid="{34457BF4-CBF2-4FA1-BA1D-3086B5BA1B8A}"/>
    <cellStyle name="Monetario" xfId="2002" xr:uid="{C9A2A218-1D02-4AC8-AD1D-EF160A3F83C6}"/>
    <cellStyle name="Multiple" xfId="255" xr:uid="{435FA0F7-1B86-41F8-A181-CCAF0A4EE47F}"/>
    <cellStyle name="Multiple 2" xfId="717" xr:uid="{375AA110-6D30-48F5-86D9-E173A5D65860}"/>
    <cellStyle name="MultipleBelow" xfId="718" xr:uid="{1F9E3C53-9FE9-4B8D-A63B-D90BE8696CA9}"/>
    <cellStyle name="MultipleBelow 2" xfId="1178" xr:uid="{F1A0895A-994E-4956-911E-7D862EEBCFD6}"/>
    <cellStyle name="NA is zero" xfId="256" xr:uid="{A9A617A1-C8AA-4AF2-A432-BC19EC21FDA6}"/>
    <cellStyle name="NA is zero 2" xfId="719" xr:uid="{EFB0E4B8-B0C0-4206-85AA-E163C4F2209C}"/>
    <cellStyle name="NA is zero 2 2" xfId="2003" xr:uid="{436D982B-7141-4D9C-87CF-1EC7FFACE9B7}"/>
    <cellStyle name="Name" xfId="257" xr:uid="{4EAB1BBE-B768-4188-9349-31368B172952}"/>
    <cellStyle name="neg0.0" xfId="258" xr:uid="{F5B19517-36B0-49A3-B766-939D49C9A4A9}"/>
    <cellStyle name="neg0.0 2" xfId="2004" xr:uid="{4D637E7E-99ED-4782-80D2-C457F572B701}"/>
    <cellStyle name="neg0.0 3" xfId="2005" xr:uid="{593ABD01-B718-4D8F-AA99-4E2E1118F089}"/>
    <cellStyle name="neg0.0 3 2" xfId="2006" xr:uid="{A0207D2F-C2E7-48EA-AF66-8F02ED23393C}"/>
    <cellStyle name="neg0.0 4" xfId="2007" xr:uid="{E0A81135-00C9-402C-952A-D19EA2391B23}"/>
    <cellStyle name="neg0.0 5" xfId="2008" xr:uid="{5016B3B8-1AF1-497A-9AFD-4C5C63B25949}"/>
    <cellStyle name="neg0.0 6" xfId="2009" xr:uid="{393CA48D-52D5-4067-97DE-6611697A8320}"/>
    <cellStyle name="Neutral 2" xfId="886" xr:uid="{13879E1A-A4B5-412C-AF0B-D28FD2DDD8A5}"/>
    <cellStyle name="Neutral 3" xfId="887" xr:uid="{6437A57A-EB96-4559-BD2F-0A62EBC41A7C}"/>
    <cellStyle name="Neutral 4" xfId="1034" xr:uid="{341C92AE-D8E8-4DF8-B671-4265718A4186}"/>
    <cellStyle name="no dec" xfId="259" xr:uid="{D719E5A9-9714-4B23-856F-4996E94E4ECF}"/>
    <cellStyle name="no dec 2" xfId="2010" xr:uid="{67BB2EE2-399B-43EE-8410-83EFDE6FF54D}"/>
    <cellStyle name="no dec 2 2" xfId="2011" xr:uid="{9231D5EB-88FB-4A98-A442-092AEE7A55C3}"/>
    <cellStyle name="No zero - 1dp" xfId="720" xr:uid="{421ED318-51BD-403B-842F-968E77DB5A61}"/>
    <cellStyle name="No zero - 1dp 2" xfId="1181" xr:uid="{4B5F39EC-8467-4A15-9476-3AA03A34D6F8}"/>
    <cellStyle name="No zero - percent" xfId="721" xr:uid="{6BF72FA9-EF91-4F17-879F-C9BE05AEBD2C}"/>
    <cellStyle name="No zero - percent 2" xfId="1182" xr:uid="{028A86ED-AF4E-4711-BE88-EB688DC5DB51}"/>
    <cellStyle name="No zero - percent 2 2" xfId="1505" xr:uid="{6562C281-4F24-4813-ACC0-77C79B10862E}"/>
    <cellStyle name="No zero - percent 3" xfId="1428" xr:uid="{1C045FF8-642D-40E1-89E9-7DE28CF053FF}"/>
    <cellStyle name="Normal" xfId="0" builtinId="0"/>
    <cellStyle name="Normal - Style1" xfId="260" xr:uid="{4E6AC981-AAA4-43BC-972B-80DA678FF842}"/>
    <cellStyle name="Normal - Style1 2" xfId="722" xr:uid="{604C5585-3670-4C22-A18D-32BFFDA8D91D}"/>
    <cellStyle name="Normal - Style1 3" xfId="2012" xr:uid="{29CE3840-7DD4-4370-A6A4-1D81DAC4FA92}"/>
    <cellStyle name="Normal - Style1 3 2" xfId="2013" xr:uid="{558061C2-E2B7-4873-8A7C-DDBD36CA41EC}"/>
    <cellStyle name="Normal - Style1 4" xfId="2014" xr:uid="{F34EA12E-761B-4200-BA99-EB6CE9A3FFB9}"/>
    <cellStyle name="Normal (%)" xfId="723" xr:uid="{6F7A4658-9831-4280-A248-46C1246C9A1C}"/>
    <cellStyle name="Normal (%) 2" xfId="1183" xr:uid="{4B50359E-BAC6-4B00-9865-FE3411ABBCE6}"/>
    <cellStyle name="Normal (£m)" xfId="724" xr:uid="{6C42E787-6372-4EAB-BBD1-143BF679AB07}"/>
    <cellStyle name="Normal (B)" xfId="725" xr:uid="{CB5347B3-2EBC-466E-876D-ACF20F08189C}"/>
    <cellStyle name="Normal (G)" xfId="726" xr:uid="{534475CF-01B9-488D-B754-3ACAE68D8057}"/>
    <cellStyle name="Normal (No)" xfId="727" xr:uid="{DDA242D9-C0EE-4239-88CC-4716B9EC41DE}"/>
    <cellStyle name="Normal (no,)" xfId="261" xr:uid="{01DC271B-C0E4-4FB3-9FB2-32BA402E9BBE}"/>
    <cellStyle name="Normal (x)" xfId="728" xr:uid="{24DB8874-750E-41F9-9CCB-61F8970A63F5}"/>
    <cellStyle name="Normal (x) 2" xfId="1187" xr:uid="{F03583CF-0BB5-4DF7-AC76-9B6F3E68C68B}"/>
    <cellStyle name="Normal [0]" xfId="262" xr:uid="{56137B8D-686B-4C89-AC13-6F0723B1E39D}"/>
    <cellStyle name="Normal [1]" xfId="263" xr:uid="{9B6B617D-176A-444B-878F-47B1C52E4BC4}"/>
    <cellStyle name="Normal [1] 2" xfId="2015" xr:uid="{7532E5A5-0E64-4D82-8582-B4C576150C50}"/>
    <cellStyle name="Normal [1] 2 2" xfId="2016" xr:uid="{868F5E3D-2AC7-4BD2-8653-7D826611567A}"/>
    <cellStyle name="Normal [2]" xfId="264" xr:uid="{F68E0C13-CF55-4C72-8924-9723DC729727}"/>
    <cellStyle name="Normal [3]" xfId="265" xr:uid="{5D18C9A1-F31A-4CEA-8B6C-F25EEA06F41F}"/>
    <cellStyle name="Normal [3] 2" xfId="729" xr:uid="{E8B8A34A-BDFA-4E31-A322-7B517DD51A56}"/>
    <cellStyle name="Normal [3] 2 2" xfId="2017" xr:uid="{A51CBCBB-D93B-4B3E-AB5F-65B76268E75F}"/>
    <cellStyle name="Normal 1" xfId="266" xr:uid="{D90F6C9B-B835-4FD6-AC76-7B744FEB2C5A}"/>
    <cellStyle name="Normal 1 2" xfId="2018" xr:uid="{52C85525-26E7-4244-BA8E-B8C78DD737B5}"/>
    <cellStyle name="Normal 1 3" xfId="2019" xr:uid="{613C3BE7-DC5E-4006-B822-54FFAC89C3F6}"/>
    <cellStyle name="Normal 1 3 2" xfId="2020" xr:uid="{94720830-7438-4BEA-90F7-2C8F87F1D2B3}"/>
    <cellStyle name="Normal 10" xfId="473" xr:uid="{78339C6A-8169-470A-850E-CABEFE667AC4}"/>
    <cellStyle name="Normal 10 2" xfId="1238" xr:uid="{F1AD3425-5622-459E-B702-FA2766C16ECF}"/>
    <cellStyle name="Normal 10 3" xfId="1343" xr:uid="{1A6DCAB8-0D15-4038-B116-C291C21A1943}"/>
    <cellStyle name="Normal 11" xfId="476" xr:uid="{112F0005-32D4-42BC-8C87-61C09393CE19}"/>
    <cellStyle name="Normal 11 2" xfId="1239" xr:uid="{55E2E62C-EEE0-48C8-907F-4A355708549D}"/>
    <cellStyle name="Normal 11 3" xfId="1346" xr:uid="{17BA5BC7-508A-431E-910B-829C7E0DBE0C}"/>
    <cellStyle name="Normal 12" xfId="479" xr:uid="{99B8D87D-ED2D-4859-B49F-AB262946B8DD}"/>
    <cellStyle name="Normal 12 2" xfId="1240" xr:uid="{2A16858E-A933-4637-B031-ED77F040A10D}"/>
    <cellStyle name="Normal 12 3" xfId="1349" xr:uid="{714F4860-B82B-4FAA-8DF6-F99ABD353437}"/>
    <cellStyle name="Normal 13" xfId="482" xr:uid="{8B8C6AB8-696F-4259-9FFA-FF748334C92B}"/>
    <cellStyle name="Normal 13 2" xfId="1241" xr:uid="{BA21EC25-A81E-4B8A-884E-BBA1828D81C2}"/>
    <cellStyle name="Normal 13 3" xfId="1352" xr:uid="{8FA1EFE8-A99C-4032-9C2B-1F3E040FDF1F}"/>
    <cellStyle name="Normal 14" xfId="485" xr:uid="{6F404505-A0AA-4BCC-BC5F-9272D3BCAD77}"/>
    <cellStyle name="Normal 14 2" xfId="1242" xr:uid="{0E9C9E66-4CA7-4246-AD49-2D83B080C16B}"/>
    <cellStyle name="Normal 14 3" xfId="1355" xr:uid="{85DA30E1-D002-48F5-BD70-3CDFDA85740F}"/>
    <cellStyle name="Normal 144" xfId="888" xr:uid="{A04163D4-DF3E-4C17-92A1-8D9E54092013}"/>
    <cellStyle name="Normal 15" xfId="488" xr:uid="{3483C47B-754D-4508-98AA-7EA543045578}"/>
    <cellStyle name="Normal 15 2" xfId="1243" xr:uid="{9438F22B-0183-4DED-A4B1-2924279D9F5C}"/>
    <cellStyle name="Normal 15 3" xfId="1358" xr:uid="{FB47846B-2AB5-4EFF-90DC-5EF4B5FEAA51}"/>
    <cellStyle name="Normal 16" xfId="491" xr:uid="{7DF20C69-75D5-41C7-A59D-AEAF1BBD8B49}"/>
    <cellStyle name="Normal 16 2" xfId="1244" xr:uid="{E645D7C8-15E6-48AE-820D-F71E3388835E}"/>
    <cellStyle name="Normal 16 3" xfId="1361" xr:uid="{57173401-C2ED-4072-8378-FB2BF7102701}"/>
    <cellStyle name="Normal 17" xfId="494" xr:uid="{2EDCC6C2-2D28-4E3B-A301-C820882F6760}"/>
    <cellStyle name="Normal 17 2" xfId="1245" xr:uid="{AD57DA12-3D5D-4678-816D-BF5122725F37}"/>
    <cellStyle name="Normal 17 3" xfId="1364" xr:uid="{44A50BB2-FAA4-40D9-82C6-0F50E1D823AF}"/>
    <cellStyle name="Normal 18" xfId="497" xr:uid="{E27D4DA5-19F7-49BB-BA94-EA956C3189F8}"/>
    <cellStyle name="Normal 18 2" xfId="1246" xr:uid="{FB9E2CF1-E520-4708-BDF8-650F3D7268DB}"/>
    <cellStyle name="Normal 18 3" xfId="1367" xr:uid="{A0EA9A84-184B-44AC-86C0-19105E648D26}"/>
    <cellStyle name="Normal 19" xfId="500" xr:uid="{3F7CAA9A-AF69-4856-B964-9F4081C063B1}"/>
    <cellStyle name="Normal 19 2" xfId="835" xr:uid="{C0CDF006-9370-4161-BABC-372E8B1FA7BA}"/>
    <cellStyle name="Normal 19 3" xfId="1247" xr:uid="{6C92AA0D-0C91-4D6A-B0FB-909594396387}"/>
    <cellStyle name="Normal 19 4" xfId="1370" xr:uid="{B9A5E6BA-A6C2-4FB8-8326-CA181DB45F83}"/>
    <cellStyle name="Normal 2" xfId="5" xr:uid="{A58F6368-30E2-4DE9-BC1B-092E630AD724}"/>
    <cellStyle name="Normal 2 2" xfId="825" xr:uid="{24CC1FD8-38EF-4990-8BBE-6697AC2E23FC}"/>
    <cellStyle name="Normal 2 3" xfId="889" xr:uid="{D0FBB2CA-C5A2-4E4A-9A30-86CD73FCBFBD}"/>
    <cellStyle name="Normal 2 3 2" xfId="1147" xr:uid="{9CA5E241-FA60-4781-9229-482D3D6AD949}"/>
    <cellStyle name="Normal 2 3 2 2" xfId="1497" xr:uid="{48C37F52-4FE7-434B-9BF9-9626CADEFF0B}"/>
    <cellStyle name="Normal 2 3 3" xfId="1449" xr:uid="{3936957D-6111-4943-9E95-8B87907746E2}"/>
    <cellStyle name="Normal 2 4" xfId="890" xr:uid="{AB53F6E5-A61E-4D89-A998-64ABA39B2D22}"/>
    <cellStyle name="Normal 2 4 2" xfId="1148" xr:uid="{380E8FB0-74A5-4EAB-BF9C-B9F11929BA11}"/>
    <cellStyle name="Normal 2 4 2 2" xfId="1498" xr:uid="{9C8696A4-1859-48D8-B18A-108E92DBECD2}"/>
    <cellStyle name="Normal 2 4 3" xfId="1450" xr:uid="{5A93D053-3EB1-4F40-97F5-8D3F8642C7F7}"/>
    <cellStyle name="Normal 2 5" xfId="891" xr:uid="{6237C29C-0AFB-499A-A78E-EEBC1DF8D57C}"/>
    <cellStyle name="Normal 2 5 2" xfId="1149" xr:uid="{92B067A3-B2DB-413C-93BA-DD439E97707E}"/>
    <cellStyle name="Normal 2 5 2 2" xfId="1499" xr:uid="{04EE5062-8FA8-41A0-8D48-BB26466790F8}"/>
    <cellStyle name="Normal 2 5 3" xfId="1451" xr:uid="{467B2A62-AF40-4208-B6F0-C4791856730F}"/>
    <cellStyle name="Normal 2 6" xfId="892" xr:uid="{B73AFFAF-9D5E-474A-A9B7-EC388201C0E1}"/>
    <cellStyle name="Normal 2 6 2" xfId="1150" xr:uid="{7C57AB2D-4990-461E-8E1D-A7D56271E601}"/>
    <cellStyle name="Normal 2 6 2 2" xfId="1500" xr:uid="{94169ACE-6E93-464B-9AFF-328FF10EFFC7}"/>
    <cellStyle name="Normal 2 6 3" xfId="1452" xr:uid="{82569A25-E009-4DBA-9A70-D0C911F399D7}"/>
    <cellStyle name="Normal 2 7" xfId="893" xr:uid="{ACA77014-49CF-4CD0-9ADA-D3C50B501108}"/>
    <cellStyle name="Normal 2 7 2" xfId="1151" xr:uid="{140B8A33-CF6D-4779-9831-28927605BC01}"/>
    <cellStyle name="Normal 2 7 2 2" xfId="1501" xr:uid="{1DA57EF3-61F4-4993-B03B-92D303638074}"/>
    <cellStyle name="Normal 2 7 3" xfId="1453" xr:uid="{A52E74E0-4595-4FA4-8EC1-0216BA344927}"/>
    <cellStyle name="Normal 2 8" xfId="894" xr:uid="{5F2F3D35-2A3B-4B2C-8B41-890E513483CF}"/>
    <cellStyle name="Normal 2 8 2" xfId="1152" xr:uid="{A4CA2B90-995C-4C90-B4F4-6BF744AEC974}"/>
    <cellStyle name="Normal 2 8 2 2" xfId="1502" xr:uid="{78F9E409-9706-442D-B570-08E2543707D8}"/>
    <cellStyle name="Normal 2 8 3" xfId="1454" xr:uid="{E8020566-0CE3-4B7D-9B3B-BACBCBE189A5}"/>
    <cellStyle name="Normal 2 9" xfId="730" xr:uid="{131A7224-A4F4-4A2D-BB5D-746DDA5A6110}"/>
    <cellStyle name="Normal 20" xfId="503" xr:uid="{6969755A-D06F-4306-B4EC-C6279DB72E55}"/>
    <cellStyle name="Normal 20 2" xfId="1248" xr:uid="{38CF6995-DF1D-4200-8D09-30FA715B50B4}"/>
    <cellStyle name="Normal 20 3" xfId="1373" xr:uid="{CF60DE8B-46D1-41F9-83BE-2834E4FF56D4}"/>
    <cellStyle name="Normal 21" xfId="506" xr:uid="{AA5D6626-6E65-436F-AD03-D682C79EA1B7}"/>
    <cellStyle name="Normal 21 2" xfId="1250" xr:uid="{CC82697C-7710-4AE5-B51B-22781B3F05F3}"/>
    <cellStyle name="Normal 21 2 2" xfId="1506" xr:uid="{D211FC01-3FB9-4212-8D2A-8DC9415C194A}"/>
    <cellStyle name="Normal 21 3" xfId="1376" xr:uid="{A4031B9E-30C8-4AD0-97AE-3EE92B9B1907}"/>
    <cellStyle name="Normal 22" xfId="509" xr:uid="{86093053-79B8-4EA2-B327-A24861F11F03}"/>
    <cellStyle name="Normal 22 2" xfId="1252" xr:uid="{52CE8453-BF2E-44CC-8581-87B7DA1E33D6}"/>
    <cellStyle name="Normal 22 2 2" xfId="1507" xr:uid="{178B6D07-1ED9-4FD1-9A34-040EF32AE1AE}"/>
    <cellStyle name="Normal 22 3" xfId="1379" xr:uid="{96B4F6D8-7328-4A65-8617-B6E85F321D1A}"/>
    <cellStyle name="Normal 23" xfId="512" xr:uid="{0CD69913-6C5B-46A9-A1A4-AAA82DC7EA3D}"/>
    <cellStyle name="Normal 23 2" xfId="1382" xr:uid="{5BCAFD28-FA57-443F-B7A9-26BA2962A5AA}"/>
    <cellStyle name="Normal 24" xfId="515" xr:uid="{D3948F4B-DA59-4CC8-8D1A-4A57B832D59F}"/>
    <cellStyle name="Normal 24 2" xfId="1385" xr:uid="{6C2B8270-0EFF-40B9-918E-F3E2FF90581C}"/>
    <cellStyle name="Normal 25" xfId="518" xr:uid="{61EDB917-8CD3-4108-8445-85DD15DDC28D}"/>
    <cellStyle name="Normal 25 2" xfId="1388" xr:uid="{B7EE25BD-BBDB-49D0-841D-09D4D164C63D}"/>
    <cellStyle name="Normal 26" xfId="521" xr:uid="{44B7944F-AA69-4385-89DE-2FB79346CB2D}"/>
    <cellStyle name="Normal 26 2" xfId="1391" xr:uid="{FEC7E0B1-85ED-4EA5-9698-B188CBB32FE1}"/>
    <cellStyle name="Normal 27" xfId="524" xr:uid="{584124A4-F58E-4540-A5BB-CC1F07DABCD2}"/>
    <cellStyle name="Normal 27 2" xfId="1394" xr:uid="{0CA3A106-E66D-4436-8797-20B3EE3F721F}"/>
    <cellStyle name="Normal 28" xfId="527" xr:uid="{03165CCE-7564-41A3-AB7C-C912563A69D4}"/>
    <cellStyle name="Normal 28 2" xfId="1397" xr:uid="{4F79E490-C17C-4E2D-9086-93C6BD7166CC}"/>
    <cellStyle name="Normal 29" xfId="530" xr:uid="{857F130D-1964-416D-8BD7-B31075B78973}"/>
    <cellStyle name="Normal 29 2" xfId="1400" xr:uid="{092304C4-EC9C-46FE-B647-DEB329455713}"/>
    <cellStyle name="Normal 3" xfId="452" xr:uid="{FEF83403-4933-49F4-B7ED-5E0E03AB5FB4}"/>
    <cellStyle name="Normal 3 2" xfId="832" xr:uid="{1FA50850-A8EC-4CEE-B296-5C6E6C9C8402}"/>
    <cellStyle name="Normal 3 2 2" xfId="2021" xr:uid="{FF2BFF91-199B-4BF5-B3AC-1B313B43A6EF}"/>
    <cellStyle name="Normal 3 3" xfId="731" xr:uid="{3C8ED6AA-EB64-4846-BA20-66D40D8B5420}"/>
    <cellStyle name="Normal 3 4" xfId="1322" xr:uid="{F0425BF4-AF78-44D1-BC2C-5A5662F675F7}"/>
    <cellStyle name="Normal 30" xfId="533" xr:uid="{725F6335-2801-4814-8515-89247D06357A}"/>
    <cellStyle name="Normal 30 2" xfId="1403" xr:uid="{5285E093-F2F5-41FA-893E-529C0013C052}"/>
    <cellStyle name="Normal 31" xfId="536" xr:uid="{478D2DDC-62D4-48E8-AFC6-6EA619F0D469}"/>
    <cellStyle name="Normal 31 2" xfId="1406" xr:uid="{30AB0404-58AD-40C6-8591-1E3234ABEFA5}"/>
    <cellStyle name="Normal 32" xfId="539" xr:uid="{1E79DBCE-118C-4BC4-8FA9-887F8EA6443C}"/>
    <cellStyle name="Normal 32 2" xfId="1409" xr:uid="{DCC77777-DAD5-49A1-BE53-A84C356F20C5}"/>
    <cellStyle name="Normal 33" xfId="542" xr:uid="{6A64AAD9-3E1A-46B3-B71A-EC80056133E9}"/>
    <cellStyle name="Normal 33 2" xfId="1412" xr:uid="{6FC7D483-BA08-4322-A8BC-F924C3B9DDEA}"/>
    <cellStyle name="Normal 34" xfId="545" xr:uid="{7BFF7CE2-860F-4895-8A2B-D699DDCD70EA}"/>
    <cellStyle name="Normal 34 2" xfId="1415" xr:uid="{626E0A29-D4C0-4A63-B525-CFE0F5C91ABF}"/>
    <cellStyle name="Normal 35" xfId="548" xr:uid="{D7080C92-2858-4F7D-8CA8-FA9D268CAA33}"/>
    <cellStyle name="Normal 35 2" xfId="1418" xr:uid="{F206E154-6FF9-4394-8E71-9F4731D82FD9}"/>
    <cellStyle name="Normal 36" xfId="551" xr:uid="{472A28FB-AE15-4A1B-9CE4-96EACED5A719}"/>
    <cellStyle name="Normal 36 2" xfId="1421" xr:uid="{8087BAB8-E3C1-44AC-A66C-A1A9AA4000B9}"/>
    <cellStyle name="Normal 37" xfId="815" xr:uid="{D32824D9-BCDF-420C-8284-5791CC7FF57C}"/>
    <cellStyle name="Normal 37 2" xfId="1432" xr:uid="{B89271C2-A60D-45A8-9518-A892D72075CB}"/>
    <cellStyle name="Normal 38" xfId="918" xr:uid="{EB8E40EC-C59A-47B9-BA28-14807C630614}"/>
    <cellStyle name="Normal 38 2" xfId="1458" xr:uid="{438FE3BC-B2EF-4D92-BFE4-8EC81BB83B84}"/>
    <cellStyle name="Normal 39" xfId="919" xr:uid="{B0914D33-1A86-4728-85BA-D387E3C9E470}"/>
    <cellStyle name="Normal 4" xfId="455" xr:uid="{160EC049-55DF-4BB7-977F-C01468F9EE88}"/>
    <cellStyle name="Normal 4 2" xfId="827" xr:uid="{5688902F-714E-4631-88A7-B08A5608F4F3}"/>
    <cellStyle name="Normal 4 2 2" xfId="2022" xr:uid="{FE52AACF-5193-4E96-8AE1-B3055DCA6911}"/>
    <cellStyle name="Normal 4 3" xfId="1061" xr:uid="{B1DB31E8-C84C-419B-B2FE-A0BA2A7C3D6F}"/>
    <cellStyle name="Normal 4 4" xfId="1325" xr:uid="{71894263-A762-494B-AAA8-F6B1B5A63DB4}"/>
    <cellStyle name="Normal 40" xfId="1079" xr:uid="{48D597F8-22D3-4570-8250-734832181EE3}"/>
    <cellStyle name="Normal 41" xfId="1108" xr:uid="{95630C9C-0D0A-47B9-8333-F5797CE48D46}"/>
    <cellStyle name="Normal 42" xfId="1073" xr:uid="{91F0CCFD-962E-41BA-BA5D-CB76C081B94D}"/>
    <cellStyle name="Normal 43" xfId="1103" xr:uid="{811B16F5-5A20-423A-A609-097119BD9F5B}"/>
    <cellStyle name="Normal 44" xfId="1068" xr:uid="{D9A47CBE-B353-4531-B255-A2C66D2E3151}"/>
    <cellStyle name="Normal 45" xfId="1096" xr:uid="{5A692C70-54CA-47E0-97A5-959EE96D37B7}"/>
    <cellStyle name="Normal 46" xfId="1065" xr:uid="{72BB6331-463B-4622-85FE-6E0DCDAFEA96}"/>
    <cellStyle name="Normal 46 2" xfId="1473" xr:uid="{CE7C48B3-D74B-40C2-82F8-D828D57D64F5}"/>
    <cellStyle name="Normal 47" xfId="925" xr:uid="{D522E9B9-E010-4E73-8318-235BD0DC6F04}"/>
    <cellStyle name="Normal 47 2" xfId="1460" xr:uid="{6865D40F-C79B-4C5C-81B7-5E9036D739A6}"/>
    <cellStyle name="Normal 48" xfId="1059" xr:uid="{C6B76E11-C053-4B4F-9290-4E83E6D83A64}"/>
    <cellStyle name="Normal 48 2" xfId="1471" xr:uid="{01635CA8-A931-4051-B050-3F4FEE8464D0}"/>
    <cellStyle name="Normal 49" xfId="970" xr:uid="{080B618F-CF88-4D5D-83B3-6D20F8B1D4FD}"/>
    <cellStyle name="Normal 49 2" xfId="1464" xr:uid="{8D180724-A367-45F7-BC86-D6B45D1CDB15}"/>
    <cellStyle name="Normal 5" xfId="458" xr:uid="{731710E7-7978-459B-88BC-7714EA8A2B52}"/>
    <cellStyle name="Normal 5 2" xfId="838" xr:uid="{6ACD38E0-D48D-4C12-85CA-019DFAA7FCA8}"/>
    <cellStyle name="Normal 5 3" xfId="1081" xr:uid="{BE4C1512-3568-4928-A92A-1908F4F496EF}"/>
    <cellStyle name="Normal 5 3 2" xfId="1477" xr:uid="{3D392376-A010-4BE4-9804-9586696E436C}"/>
    <cellStyle name="Normal 5 4" xfId="1206" xr:uid="{562D1CA1-3D50-4899-9E06-329D9FF765B3}"/>
    <cellStyle name="Normal 5 5" xfId="1328" xr:uid="{F062EDC7-CA16-44FE-9DE4-2ADB98CF1FC6}"/>
    <cellStyle name="Normal 50" xfId="1048" xr:uid="{3F2BA9CA-F6A5-4D37-A1DC-E2A405BCBA1D}"/>
    <cellStyle name="Normal 50 2" xfId="1467" xr:uid="{C87CD6A2-D2B4-4FD7-BD3E-A473C6DBA8D8}"/>
    <cellStyle name="Normal 51" xfId="924" xr:uid="{FC0D0237-2F13-4B51-BA55-0BC473A18ADF}"/>
    <cellStyle name="Normal 52" xfId="1116" xr:uid="{6D8B5CA6-06AC-49AB-AF15-B77FC5BE1D42}"/>
    <cellStyle name="Normal 53" xfId="1264" xr:uid="{8C3978AC-BADB-4FB3-AAD6-5810D70DB4DC}"/>
    <cellStyle name="Normal 54" xfId="1033" xr:uid="{80DCFB52-0F2A-43BF-98AE-0B8F3CCD1CA6}"/>
    <cellStyle name="Normal 55" xfId="1115" xr:uid="{21180DCB-CF58-41FC-BE51-C638D883C3BE}"/>
    <cellStyle name="Normal 56" xfId="1271" xr:uid="{A0EB6765-EC5D-4B68-82FB-D837973C59F7}"/>
    <cellStyle name="Normal 57" xfId="1270" xr:uid="{54453ECF-4179-4B16-80AD-8D2D0EA048C4}"/>
    <cellStyle name="Normal 58" xfId="376" xr:uid="{BFA6B87A-DB50-43D3-892B-99C8B16122F7}"/>
    <cellStyle name="Normal 6" xfId="461" xr:uid="{DE625620-F183-4EEF-A8D8-95FEA40ABF4C}"/>
    <cellStyle name="Normal 6 2" xfId="895" xr:uid="{985FD364-27D4-4018-A690-BD6F20CDEAE0}"/>
    <cellStyle name="Normal 6 2 2" xfId="1088" xr:uid="{A429A3B5-B7CB-4485-ADDA-E694E29E2A3C}"/>
    <cellStyle name="Normal 6 2 2 2" xfId="1480" xr:uid="{761F9AB6-025C-4064-B5DD-A408A0D85AB4}"/>
    <cellStyle name="Normal 6 2 3" xfId="1455" xr:uid="{8DB34448-D594-43CE-B9EB-6776188BD81B}"/>
    <cellStyle name="Normal 6 3" xfId="1234" xr:uid="{20ECC71B-8AA3-4298-BDDF-E674EB297E4D}"/>
    <cellStyle name="Normal 6 4" xfId="1331" xr:uid="{520733E0-5BE1-46C4-B01D-1A901774EE63}"/>
    <cellStyle name="Normal 7" xfId="464" xr:uid="{3FCD4002-B803-4C05-866A-988B9F1DB6EF}"/>
    <cellStyle name="Normal 7 2" xfId="1235" xr:uid="{912F65E9-AE9B-4927-B88B-5E04029E1011}"/>
    <cellStyle name="Normal 7 3" xfId="1334" xr:uid="{E1FDB80E-332D-4F77-952F-28B01E75DEFD}"/>
    <cellStyle name="Normal 8" xfId="467" xr:uid="{C786CE38-BC92-4277-8118-8E0EC07C3C6C}"/>
    <cellStyle name="Normal 8 2" xfId="1236" xr:uid="{5031EA93-11AB-464F-8B5A-2564A3416148}"/>
    <cellStyle name="Normal 8 3" xfId="1337" xr:uid="{2C87975A-29C7-4188-A98A-2F9E2508AC3A}"/>
    <cellStyle name="Normal 9" xfId="470" xr:uid="{DA91AD43-B9D4-4333-B3B6-CF386BC4D486}"/>
    <cellStyle name="Normal 9 2" xfId="1237" xr:uid="{510F0316-F0E4-452B-97AB-C8B34F6610CE}"/>
    <cellStyle name="Normal 9 3" xfId="1340" xr:uid="{2AE8FDC0-C14E-4898-A207-210FE3358912}"/>
    <cellStyle name="Normal Bold" xfId="267" xr:uid="{E3BD18C3-8077-42D2-B0C0-668B42E8FC98}"/>
    <cellStyle name="Normal bold 2" xfId="2023" xr:uid="{073EC1B8-2E9D-4AD3-8F3E-B0F1BEB93080}"/>
    <cellStyle name="Normal Cells" xfId="2024" xr:uid="{7042421D-27CE-4016-9D16-855A67EFDF3B}"/>
    <cellStyle name="Normal Italic" xfId="2025" xr:uid="{209EC55C-DE5E-4D29-85B7-FAD51B785EA9}"/>
    <cellStyle name="Normal Italics" xfId="2026" xr:uid="{48C053AE-F990-4199-B8A7-2ABAC56D5E6B}"/>
    <cellStyle name="Normal Pct" xfId="268" xr:uid="{1B7705D4-789D-45E8-ACDA-CB40F9A67C4D}"/>
    <cellStyle name="Normal Pct 2" xfId="732" xr:uid="{2950CBCD-AADB-49B2-90F0-72635B9C902A}"/>
    <cellStyle name="Normal_bt debt model" xfId="2391" xr:uid="{96B5AEC3-9F47-4F88-9CAF-58D087629B1F}"/>
    <cellStyle name="Normal_BT3 2" xfId="2389" xr:uid="{B523C59A-11E0-41BC-B064-54E5A5EBC251}"/>
    <cellStyle name="Normal_dt2" xfId="2387" xr:uid="{F137F0DD-CF21-45F3-B25D-8B0A5E495C18}"/>
    <cellStyle name="Normal_FTsummod1" xfId="2394" xr:uid="{9346606F-76C4-4BA8-AE37-66D6CDCF3521}"/>
    <cellStyle name="Normal_MATAV_wip" xfId="2388" xr:uid="{8E88B2A3-9240-4FE0-8459-078D8F4799FA}"/>
    <cellStyle name="Normal_Telkom latest" xfId="3" xr:uid="{81D8F6DF-EB2A-418E-9BCF-AB6D96B28284}"/>
    <cellStyle name="Normal_Telkom_4" xfId="7" xr:uid="{258C0792-C90A-401E-8406-1D3DF4AC2462}"/>
    <cellStyle name="Normal_Vodafone(2sep03)" xfId="2392" xr:uid="{E7454DAE-B322-4E6A-92AC-98A89E2492AA}"/>
    <cellStyle name="NormalE" xfId="269" xr:uid="{DFC41A80-A507-4A04-850B-49297BD460F5}"/>
    <cellStyle name="NormalE 2" xfId="1195" xr:uid="{6933F756-16C8-4932-B89E-28BA887B2A2D}"/>
    <cellStyle name="Normale_Astelit bp fix" xfId="2027" xr:uid="{BF973D7F-6913-418C-A016-C1C5AA901B97}"/>
    <cellStyle name="NormalGB" xfId="270" xr:uid="{00024915-C36C-4601-92BB-0E908D9C3C3C}"/>
    <cellStyle name="NormalGB 2" xfId="2028" xr:uid="{7A1C5E5D-6037-4D74-823A-7EE53E2C652B}"/>
    <cellStyle name="NormalGB 2 2" xfId="2029" xr:uid="{AFADC30D-9A94-4BA9-8FAA-114E3D5D6445}"/>
    <cellStyle name="NormalMultiple" xfId="271" xr:uid="{854D29F4-7AA4-45A5-910D-AE07180A8ABA}"/>
    <cellStyle name="NormalMultiple 2" xfId="2030" xr:uid="{A27710F8-637E-491F-AD92-8D94A80C16A2}"/>
    <cellStyle name="NormalMultiple 2 2" xfId="2031" xr:uid="{AD6238F7-B794-439F-81EE-0F362434B7C2}"/>
    <cellStyle name="NOT" xfId="272" xr:uid="{0E397391-F5DB-4248-A920-8E429EA32555}"/>
    <cellStyle name="Note 2" xfId="896" xr:uid="{E73F205C-5D5E-4DB3-A42F-BA77E78138A5}"/>
    <cellStyle name="Note 3" xfId="1050" xr:uid="{ED0D4927-55EE-4D5B-ABE0-5CBB994462E2}"/>
    <cellStyle name="Note 3 2" xfId="1468" xr:uid="{1F263DA8-CC24-4A53-9A82-3FD29EF20E3D}"/>
    <cellStyle name="Note 4" xfId="1303" xr:uid="{F9805AEE-B93B-4C4E-89E0-4A8CFD815416}"/>
    <cellStyle name="Note 5" xfId="273" xr:uid="{812C1B05-DEC0-47FD-BF72-5C5813A335FD}"/>
    <cellStyle name="Notes" xfId="274" xr:uid="{164461CE-37CC-4C7E-A649-2C2D85CF80C9}"/>
    <cellStyle name="NPPESalesPct" xfId="275" xr:uid="{4545BFED-BFB1-4BCA-B2C7-1AE3DD02EA4B}"/>
    <cellStyle name="NPPESalesPct 2" xfId="733" xr:uid="{FD9DC930-9D06-489A-ABEB-D7E7B1B4B9E2}"/>
    <cellStyle name="NPPESalesPct 2 2" xfId="2032" xr:uid="{E6B20915-B45C-4C87-9482-E7497007169B}"/>
    <cellStyle name="NSR_Actual" xfId="20" xr:uid="{4F032144-A81A-40FF-BB88-804AD1BC41F0}"/>
    <cellStyle name="NSR_Estimate" xfId="18" xr:uid="{82650FF4-442A-4907-BD67-D582BA1605FE}"/>
    <cellStyle name="NSR_Multiple" xfId="19" xr:uid="{8D02ADED-CD11-4449-B983-0DF359A7332D}"/>
    <cellStyle name="NSR_Number" xfId="16" xr:uid="{799EF23D-EB47-470A-A31B-C52D1CE2EE62}"/>
    <cellStyle name="NSR_Percent" xfId="17" xr:uid="{B550F2B9-6BDC-489F-9E69-7D09E1FCC32F}"/>
    <cellStyle name="Number" xfId="276" xr:uid="{359E13F4-85EA-4998-A8A5-B29505654E24}"/>
    <cellStyle name="Number (2dp)" xfId="277" xr:uid="{D92895D8-FE34-40F4-ACC5-AECDFB65339A}"/>
    <cellStyle name="Number (2dp) 2" xfId="1305" xr:uid="{F01A8EEA-0932-4DBF-8D1B-E8AE44999A2F}"/>
    <cellStyle name="Number 10" xfId="1070" xr:uid="{584EE235-81C9-488A-9F37-B792F4E09CF6}"/>
    <cellStyle name="Number 10 2" xfId="1475" xr:uid="{0BFFFE0D-BFE3-4154-A53A-0A7F75A147D7}"/>
    <cellStyle name="Number 11" xfId="1098" xr:uid="{FBEC5AC6-DE92-4B1D-BA9E-0BB267473FAB}"/>
    <cellStyle name="Number 11 2" xfId="1485" xr:uid="{DBC1BA11-5734-4219-AC23-6C45DCC4E772}"/>
    <cellStyle name="Number 12" xfId="1087" xr:uid="{A59ACB29-A2EB-4326-952A-F4054789DA25}"/>
    <cellStyle name="Number 12 2" xfId="1479" xr:uid="{8B6DA5EB-C141-45D0-A625-4717E6AA7792}"/>
    <cellStyle name="Number 13" xfId="1135" xr:uid="{4240773B-18AE-4BE7-8B1B-84B56526F7BF}"/>
    <cellStyle name="Number 13 2" xfId="1489" xr:uid="{8E39595A-D34A-4A5E-AAB1-239F411809E8}"/>
    <cellStyle name="Number 14" xfId="982" xr:uid="{BA60157D-9070-4B78-BC78-C3836E466332}"/>
    <cellStyle name="Number 14 2" xfId="1466" xr:uid="{38F624B3-C884-48B9-8B27-9542C2249BBD}"/>
    <cellStyle name="Number 15" xfId="1154" xr:uid="{B22091AE-66FA-48A2-9F53-866DDBF7B182}"/>
    <cellStyle name="Number 15 2" xfId="1503" xr:uid="{F105FC2A-028B-45C5-ADED-04E3FE9A660B}"/>
    <cellStyle name="Number 16" xfId="927" xr:uid="{EF787596-4565-4D4B-B297-9B4D502EDE0B}"/>
    <cellStyle name="Number 16 2" xfId="1461" xr:uid="{4F20D458-653B-4927-AD94-7A59768DA7A5}"/>
    <cellStyle name="Number 17" xfId="1158" xr:uid="{1A04ACE4-2BC7-4203-B74F-1B389B827419}"/>
    <cellStyle name="Number 17 2" xfId="1504" xr:uid="{94D36445-B79B-4FFF-8B9D-700C83C219F9}"/>
    <cellStyle name="Number 18" xfId="1146" xr:uid="{50A40EFC-0CCE-46F1-941C-CD1BD29250E0}"/>
    <cellStyle name="Number 18 2" xfId="1496" xr:uid="{2D8EA6B9-A026-4DD2-9887-7D2507651085}"/>
    <cellStyle name="Number 19" xfId="971" xr:uid="{655DC7ED-6B0C-4B96-9F18-0583FE637084}"/>
    <cellStyle name="Number 19 2" xfId="1465" xr:uid="{B4CAD10D-E51E-4C91-B813-08F9DAD1AD8C}"/>
    <cellStyle name="Number 2" xfId="734" xr:uid="{D0505E49-DC1F-4CC0-A30D-8A64794E7ED0}"/>
    <cellStyle name="Number 2 2" xfId="1429" xr:uid="{42769F92-75D2-4AA2-A336-000482F9B567}"/>
    <cellStyle name="Number 20" xfId="1267" xr:uid="{396AE2E7-8D85-497A-B726-C21BA199863A}"/>
    <cellStyle name="Number 20 2" xfId="1508" xr:uid="{72CF11E8-9E97-49EF-9ED3-BD1D9D02860C}"/>
    <cellStyle name="Number 21" xfId="1060" xr:uid="{D7B72138-6F29-4365-9214-3C0C9E39CBA5}"/>
    <cellStyle name="Number 21 2" xfId="1472" xr:uid="{0D20F91D-20C9-4C00-9749-C19AA28CB298}"/>
    <cellStyle name="Number 22" xfId="1304" xr:uid="{E43DBD14-C6C7-4534-8DDD-B84804799BF5}"/>
    <cellStyle name="Number 3" xfId="913" xr:uid="{39CB2EA1-FD00-43E8-B69D-B6222E7F8735}"/>
    <cellStyle name="Number 3 2" xfId="1457" xr:uid="{947B4CF9-C899-4E48-9972-D9C4035B06F7}"/>
    <cellStyle name="Number 4" xfId="910" xr:uid="{71CF15B9-44D2-486C-B04B-508733CC2053}"/>
    <cellStyle name="Number 4 2" xfId="1456" xr:uid="{B81906C2-0839-49AC-B174-68D5B795889D}"/>
    <cellStyle name="Number 5" xfId="1051" xr:uid="{010E042B-AA58-4325-B2AC-D1F54333D259}"/>
    <cellStyle name="Number 5 2" xfId="1469" xr:uid="{C8257BFD-CF22-411E-ADCD-102343AD1CD2}"/>
    <cellStyle name="Number 6" xfId="963" xr:uid="{32C34C8F-67EC-4512-933F-BFEF3D63FE27}"/>
    <cellStyle name="Number 6 2" xfId="1462" xr:uid="{C218B4EF-4439-4765-B257-7104DAA48EB5}"/>
    <cellStyle name="Number 7" xfId="1110" xr:uid="{6D86FB1E-4F54-4433-AFB7-D2D5A93A28B4}"/>
    <cellStyle name="Number 7 2" xfId="1487" xr:uid="{D014E9FF-615C-4C26-9DF5-E30901107E2D}"/>
    <cellStyle name="Number 8" xfId="1074" xr:uid="{F7BD7DBF-ED1B-45F4-BFF7-A6A7A11ACC78}"/>
    <cellStyle name="Number 8 2" xfId="1476" xr:uid="{42D57478-FC08-46FD-B745-829694C1C633}"/>
    <cellStyle name="Number 9" xfId="1104" xr:uid="{ACBF61E8-35A4-4757-8D99-A1AAD6211016}"/>
    <cellStyle name="Number 9 2" xfId="1486" xr:uid="{69F3EB10-6174-4E5B-A0EE-C92092B06A3D}"/>
    <cellStyle name="Number_Copy of ESA5 ForecastScaling" xfId="278" xr:uid="{CF926EC3-E604-4A5C-A593-A63872E6557D}"/>
    <cellStyle name="NWI%S" xfId="279" xr:uid="{23256F06-C876-4531-92C4-DA8E93528C44}"/>
    <cellStyle name="NWI%S 2" xfId="735" xr:uid="{1FDAD3BD-B3FC-44B5-A23D-6A16E72FF469}"/>
    <cellStyle name="NWI%S 2 2" xfId="2033" xr:uid="{894EF3F9-930E-41BC-9A1C-071A1094078D}"/>
    <cellStyle name="Œ…‹æØ‚è [0.00]_GE 3 MINIMUM" xfId="280" xr:uid="{17872B7F-E7E9-47DF-A566-07FA1FC7707C}"/>
    <cellStyle name="Œ…‹æØ‚è_GE 3 MINIMUM" xfId="281" xr:uid="{B065D878-B371-48C3-B247-DC696BB3A8C7}"/>
    <cellStyle name="Ombrée" xfId="282" xr:uid="{713FD01D-227F-4A17-AF4F-A19838110806}"/>
    <cellStyle name="Ombrée 2" xfId="2034" xr:uid="{9A8F6AEA-F7D0-49AE-999F-E81AA34B7AE3}"/>
    <cellStyle name="Ombrée 3" xfId="2035" xr:uid="{77179B97-EFB7-4B8E-9430-9DE3D57364FE}"/>
    <cellStyle name="Ombrée 3 2" xfId="2036" xr:uid="{05D5606C-EC0D-4C5E-BE1A-5891519ED451}"/>
    <cellStyle name="Onedec" xfId="283" xr:uid="{50FFA817-1605-4919-84DE-21F0F0C72F7B}"/>
    <cellStyle name="Onedec 2" xfId="736" xr:uid="{ECE415D4-C75B-45B9-87A3-06A84E1B363D}"/>
    <cellStyle name="Option" xfId="284" xr:uid="{3A6A4273-15B9-4B5C-AD2D-2DEB0EFF3B75}"/>
    <cellStyle name="Option 2" xfId="2037" xr:uid="{74280924-844B-4259-99CC-E95A498A7F05}"/>
    <cellStyle name="Option 2 2" xfId="2038" xr:uid="{76C88568-B8AB-4375-8424-D902EA8A2371}"/>
    <cellStyle name="outh America" xfId="737" xr:uid="{D9C353C0-EEB2-4BEC-A104-D8FC0CE2A989}"/>
    <cellStyle name="Output 2" xfId="897" xr:uid="{A43A4D91-2706-40C2-9744-CD207825F4E2}"/>
    <cellStyle name="Output 3" xfId="1052" xr:uid="{A805F7FE-6C64-41CB-8B0C-196AE2E90A7C}"/>
    <cellStyle name="Output 3 2" xfId="1470" xr:uid="{F1967B1E-E0AB-4EFC-944C-07F1FFD47211}"/>
    <cellStyle name="Output 4" xfId="1306" xr:uid="{04174550-DECA-4549-93FD-D8910425C314}"/>
    <cellStyle name="Output 5" xfId="285" xr:uid="{0D7D1D7E-4862-4E4F-BA41-ADF0CDE0367C}"/>
    <cellStyle name="Output Amounts" xfId="898" xr:uid="{ED3F8281-E21E-49D4-B065-798E708DC083}"/>
    <cellStyle name="Output Column Headings" xfId="899" xr:uid="{C8838430-8210-4BEA-B176-102CF0CD7357}"/>
    <cellStyle name="Output Line Items" xfId="900" xr:uid="{5F045E21-B316-4370-A84C-C1E17EE3A9CB}"/>
    <cellStyle name="Output Report Heading" xfId="901" xr:uid="{37095273-65C6-4A6C-A5D8-18B7EEA313A6}"/>
    <cellStyle name="Output Report Title" xfId="902" xr:uid="{A141D0BF-504C-4578-8293-48A153C2FE56}"/>
    <cellStyle name="Page header" xfId="738" xr:uid="{53641196-C42E-4DA7-AF54-BCE619B0ADF7}"/>
    <cellStyle name="Page Number" xfId="286" xr:uid="{1DD3B134-5994-44F5-B69C-7A7F0A67C779}"/>
    <cellStyle name="Page Number 2" xfId="739" xr:uid="{8A84A276-AB06-47A7-831D-EA34ED882568}"/>
    <cellStyle name="Page Number 2 2" xfId="2039" xr:uid="{08A27CD2-2C68-4BE6-836B-1E4DF7FF2C22}"/>
    <cellStyle name="Page Number 3" xfId="2040" xr:uid="{DF41371D-B9F4-4140-9F81-AB2C41B362AC}"/>
    <cellStyle name="Page Number 4" xfId="2041" xr:uid="{62F0E97D-F987-4B8F-ACC6-88A1418320D0}"/>
    <cellStyle name="Page Number 5" xfId="2042" xr:uid="{4699E984-BCE1-4975-A2E9-C95239470425}"/>
    <cellStyle name="Pass" xfId="287" xr:uid="{CDFBA80F-CE47-4FE1-9328-EEBF3AE33FB7}"/>
    <cellStyle name="Pass 2" xfId="2043" xr:uid="{FC535F69-6835-481C-941A-DDBEC2F30260}"/>
    <cellStyle name="Pass 3" xfId="2044" xr:uid="{72001BF4-7543-4526-B58C-7DBEF9E54F11}"/>
    <cellStyle name="Pass 3 2" xfId="2045" xr:uid="{D22A8704-B026-4E2A-A18B-7506E6071703}"/>
    <cellStyle name="PB Table Heading" xfId="288" xr:uid="{C89CCC3E-ED36-4397-8ADA-B8D0A42B3F9C}"/>
    <cellStyle name="PB Table Heading 2" xfId="2046" xr:uid="{88B60E4B-D4D5-4AA0-B6CC-7E5B3C44184B}"/>
    <cellStyle name="PB Table Highlight1" xfId="289" xr:uid="{FBE0A356-8679-4F9E-94FA-37E18C4E3373}"/>
    <cellStyle name="PB Table Highlight1 2" xfId="2047" xr:uid="{D5AE637D-93E1-44C3-92C4-373FDC870CEF}"/>
    <cellStyle name="PB Table Highlight2" xfId="290" xr:uid="{ABE78F9B-C589-4EBC-8D55-A1CCCCDF4020}"/>
    <cellStyle name="PB Table Highlight3" xfId="291" xr:uid="{77E10962-0638-4585-9765-AB9A42E40AAF}"/>
    <cellStyle name="PB Table Standard Row" xfId="292" xr:uid="{CBD753DF-9C5C-454A-8924-260BD4ED5CBB}"/>
    <cellStyle name="PB Table Standard Row 2" xfId="2048" xr:uid="{3C2D630D-D4E1-4718-9B17-DFB9960297D7}"/>
    <cellStyle name="PB Table Subtotal Row" xfId="293" xr:uid="{D14184DF-029C-4D3F-8634-B1C66ABCBEB2}"/>
    <cellStyle name="PB Table Subtotal Row 2" xfId="2049" xr:uid="{4F58DCB8-913B-44F3-919A-42530EB43838}"/>
    <cellStyle name="PB Table Total Row" xfId="294" xr:uid="{5F8384DB-E709-4776-AB09-B8FF4DB2E192}"/>
    <cellStyle name="PB Table Total Row 2" xfId="2050" xr:uid="{91BCAB9A-DED1-4936-BA02-FAE0EBB7459E}"/>
    <cellStyle name="pb_page_heading_LS" xfId="295" xr:uid="{6215834E-DF65-4A30-97CB-7EE0488D3E33}"/>
    <cellStyle name="pc1" xfId="296" xr:uid="{92A9CD37-374D-4513-B892-2507BF12E5B2}"/>
    <cellStyle name="pc1 2" xfId="740" xr:uid="{01ED8877-105C-424D-8F21-3231F8E8941B}"/>
    <cellStyle name="PctLine" xfId="297" xr:uid="{E5C0EFD1-CCDB-4068-9D1E-CEAA98E2F29F}"/>
    <cellStyle name="per.style" xfId="298" xr:uid="{BA4F8498-A5D7-4E0A-8DB8-D1C999F71558}"/>
    <cellStyle name="per.style 2" xfId="2051" xr:uid="{FDC2995E-C278-49E8-811B-415F03FF772D}"/>
    <cellStyle name="per.style 3" xfId="2052" xr:uid="{32F85157-9C38-4EF5-A982-EE83B5F7959E}"/>
    <cellStyle name="per.style 3 2" xfId="2053" xr:uid="{A1414000-18E6-4C80-AAB4-7F675CAD077C}"/>
    <cellStyle name="Percent" xfId="2" builtinId="5"/>
    <cellStyle name="Percent (0)" xfId="299" xr:uid="{8A10955B-0AC6-4E48-86EA-07C90904E059}"/>
    <cellStyle name="Percent (0) 2" xfId="2054" xr:uid="{83941B4F-DA76-45AA-985C-0C366F3CEAC2}"/>
    <cellStyle name="Percent (0) 3" xfId="2055" xr:uid="{33CAB073-93F8-4046-8DC4-31AD5507322B}"/>
    <cellStyle name="Percent (0) 3 2" xfId="2056" xr:uid="{81898323-3AD3-4493-B7C5-192549C54DE9}"/>
    <cellStyle name="Percent (0.0)" xfId="300" xr:uid="{5A315F29-1462-4994-A4C3-C4888F10A19F}"/>
    <cellStyle name="Percent (0.00)" xfId="301" xr:uid="{49FEBE25-558F-463C-A900-95FC3DFB4EEB}"/>
    <cellStyle name="Percent (M)" xfId="742" xr:uid="{8E871DA0-91B1-4776-B7D4-74E66F164537}"/>
    <cellStyle name="Percent [0]" xfId="302" xr:uid="{2B5ADDB0-2294-4AD0-9C52-35560AB24539}"/>
    <cellStyle name="Percent [0] 2" xfId="743" xr:uid="{310CDB7A-7A6C-4FF0-861E-FCFDCBD9529A}"/>
    <cellStyle name="Percent [0] 2 2" xfId="2057" xr:uid="{3B9C16E0-8D02-4EA9-8E73-AFC1CDAF0B0C}"/>
    <cellStyle name="Percent [1]" xfId="303" xr:uid="{3924158F-FC99-47DE-A987-70C1DD66CB90}"/>
    <cellStyle name="Percent [1] 2" xfId="744" xr:uid="{5B8E6695-1F20-4479-91D9-32899E764147}"/>
    <cellStyle name="Percent [1] 2 2" xfId="2058" xr:uid="{58501F72-D9BF-4CA9-BFF2-84AA136AAA79}"/>
    <cellStyle name="Percent [2]" xfId="304" xr:uid="{988F384C-5374-4203-8032-5572B47F9275}"/>
    <cellStyle name="Percent [2] 2" xfId="745" xr:uid="{5FEA17D6-52DB-4AD8-887D-314D75070B7D}"/>
    <cellStyle name="Percent [2] 2 2" xfId="2059" xr:uid="{785B2AEE-EEDC-475D-B1AD-4E17DAB26CD8}"/>
    <cellStyle name="Percent [2] 3" xfId="1057" xr:uid="{F5C1D3DC-B59F-4333-BD9E-A878594EF253}"/>
    <cellStyle name="Percent [2] 4" xfId="2060" xr:uid="{6E320EA1-77A9-4697-AB00-F870EDF607FF}"/>
    <cellStyle name="Percent 0" xfId="305" xr:uid="{40CE57AA-89CF-4509-85E4-226D6717C557}"/>
    <cellStyle name="Percent 0 2" xfId="2061" xr:uid="{4AE56F2E-D1A1-421F-B6F6-75459E713245}"/>
    <cellStyle name="Percent 0 2 2" xfId="2062" xr:uid="{0D7539C7-89D3-4EFC-A083-B419FA672B52}"/>
    <cellStyle name="Percent 0 3" xfId="2063" xr:uid="{112B934C-67D4-49DF-9614-A46A4A971AC0}"/>
    <cellStyle name="Percent 0.00" xfId="306" xr:uid="{E48D8483-E2D3-4ED0-B50C-FD30431731CE}"/>
    <cellStyle name="Percent 0.00 2" xfId="2064" xr:uid="{E05D1CD7-C921-45AF-9E1F-A6EFC48F8BA2}"/>
    <cellStyle name="Percent 0.00 2 2" xfId="2065" xr:uid="{F301FEE3-D7AB-44AE-8EEC-E5CE49FA8D83}"/>
    <cellStyle name="Percent 0.00 3" xfId="2066" xr:uid="{E35D537C-A92B-401C-BD12-CE715B38F2B4}"/>
    <cellStyle name="Percent 0_3q" xfId="307" xr:uid="{A794CA1F-FB7E-4498-A496-7C536B25F9A0}"/>
    <cellStyle name="Percent 10" xfId="472" xr:uid="{3FEEC72F-934E-4A09-94C7-04AF4815B4E4}"/>
    <cellStyle name="Percent 10 2" xfId="836" xr:uid="{8C05E627-99A7-4A6E-BE06-28A23B786C72}"/>
    <cellStyle name="Percent 10 3" xfId="1342" xr:uid="{8C29A862-38C4-47D0-9C13-DB84BBAE76A4}"/>
    <cellStyle name="Percent 11" xfId="475" xr:uid="{BACE3549-A0A0-4173-8847-CFA5ED13BFB2}"/>
    <cellStyle name="Percent 11 2" xfId="1216" xr:uid="{6B78C9AB-612A-46F9-B83A-8B1DF053EDE1}"/>
    <cellStyle name="Percent 11 3" xfId="1345" xr:uid="{6B6A68DB-D93B-4FDD-A35E-417059412A10}"/>
    <cellStyle name="Percent 12" xfId="478" xr:uid="{84C4E14E-74B5-4044-8A18-33D08985DF07}"/>
    <cellStyle name="Percent 12 2" xfId="1179" xr:uid="{5641A468-156F-4C5C-89D3-23FA756CB6D3}"/>
    <cellStyle name="Percent 12 3" xfId="1348" xr:uid="{ABF8D3FD-1186-4D3C-93B4-4C30D2A98384}"/>
    <cellStyle name="Percent 13" xfId="481" xr:uid="{3DBB5813-9675-4BE8-827A-F8FDAFF3494D}"/>
    <cellStyle name="Percent 13 2" xfId="1218" xr:uid="{AE4D5DBD-4A63-4878-8C05-F31F07610BB9}"/>
    <cellStyle name="Percent 13 3" xfId="1351" xr:uid="{A6FB9F8F-B081-48CC-B9E7-1463EF96799D}"/>
    <cellStyle name="Percent 14" xfId="484" xr:uid="{2A5EAB20-DB79-4F9F-9A5B-9EE25AB263AD}"/>
    <cellStyle name="Percent 14 2" xfId="1180" xr:uid="{48788C11-C117-4BCE-8657-2A2A249009BF}"/>
    <cellStyle name="Percent 14 3" xfId="1354" xr:uid="{46A97B66-6D37-47D1-AE47-5A7B2787626D}"/>
    <cellStyle name="Percent 15" xfId="487" xr:uid="{386C3C59-BB97-4980-BA11-2C4168D112D8}"/>
    <cellStyle name="Percent 15 2" xfId="1224" xr:uid="{BCA23B02-14E4-40A5-82A5-3EF01EF510DE}"/>
    <cellStyle name="Percent 15 3" xfId="1357" xr:uid="{2B8EFEDB-BCE5-4CD7-AEAF-D5B5ACC7659C}"/>
    <cellStyle name="Percent 16" xfId="490" xr:uid="{6E29DEF2-1506-42A8-9E25-B83872B73169}"/>
    <cellStyle name="Percent 16 2" xfId="1189" xr:uid="{C60ECA11-8C3D-4A67-B3DA-2232F9170ABD}"/>
    <cellStyle name="Percent 16 3" xfId="1360" xr:uid="{0959326B-4391-4ED0-B090-222D3DF66A13}"/>
    <cellStyle name="Percent 17" xfId="493" xr:uid="{FF13A272-42D7-45C3-94BC-CA9306AE287D}"/>
    <cellStyle name="Percent 17 2" xfId="1222" xr:uid="{6FF3342A-514C-4BEB-80E4-26413165AB2C}"/>
    <cellStyle name="Percent 17 3" xfId="1363" xr:uid="{0C97070B-1ECD-4252-A6B7-901AB426066D}"/>
    <cellStyle name="Percent 18" xfId="496" xr:uid="{E103101E-19DC-4404-B025-D4A8600D8E25}"/>
    <cellStyle name="Percent 18 2" xfId="1193" xr:uid="{27C76BCE-7A53-4386-8E79-2AEE3BC16350}"/>
    <cellStyle name="Percent 18 3" xfId="1366" xr:uid="{C5B851A2-FD83-4E20-8981-9135F1187F80}"/>
    <cellStyle name="Percent 19" xfId="499" xr:uid="{5BAC98FE-EEE5-4E34-95B1-5A67D80779FD}"/>
    <cellStyle name="Percent 19 2" xfId="1220" xr:uid="{378AD191-EF26-452E-B842-A5AE832C0DA3}"/>
    <cellStyle name="Percent 19 3" xfId="1369" xr:uid="{C3C26DA2-AE06-4B98-97D9-23E532D9F111}"/>
    <cellStyle name="Percent 2" xfId="8" xr:uid="{BD4768A3-44B3-4C14-8B3F-F6DC895BCD4B}"/>
    <cellStyle name="Percent 2 2" xfId="746" xr:uid="{FB010915-C8A1-4188-A62A-0525C4565554}"/>
    <cellStyle name="Percent 2 3" xfId="2067" xr:uid="{46F7F1BB-08C9-46CA-BE7C-24D41FDE13A2}"/>
    <cellStyle name="Percent 2 3 2" xfId="2068" xr:uid="{7206379C-9AD4-4F59-BBEF-B4067FC105A8}"/>
    <cellStyle name="Percent 2 4" xfId="10" xr:uid="{AA6F0CC0-AAFA-4945-B0E2-7C335641BDC6}"/>
    <cellStyle name="Percent 20" xfId="502" xr:uid="{EDA9C269-A2F6-4A11-912A-A3BE3E648058}"/>
    <cellStyle name="Percent 20 2" xfId="1199" xr:uid="{4CA3E53A-D6E0-4E86-82DE-907CEDA7593A}"/>
    <cellStyle name="Percent 20 3" xfId="1372" xr:uid="{63767A39-F121-427F-B341-942BC22E4202}"/>
    <cellStyle name="Percent 21" xfId="505" xr:uid="{BCD4D975-FFD6-4F2D-B15F-ACC8BF0B7004}"/>
    <cellStyle name="Percent 21 2" xfId="1251" xr:uid="{1E5FB0EF-78E0-46BC-BFE9-76E6AF941310}"/>
    <cellStyle name="Percent 21 3" xfId="1375" xr:uid="{421DB4A6-60F8-48F7-952D-535FE51DBABD}"/>
    <cellStyle name="Percent 22" xfId="508" xr:uid="{3E007023-1942-40E5-99E6-FDF7F3B2E046}"/>
    <cellStyle name="Percent 22 2" xfId="1378" xr:uid="{977033F4-E4BB-4A25-A5E9-70A05D865FE6}"/>
    <cellStyle name="Percent 23" xfId="511" xr:uid="{5101F21A-D532-444F-9510-B514300A9E1E}"/>
    <cellStyle name="Percent 23 2" xfId="1381" xr:uid="{C5954D5A-FFD2-4998-A349-0E8F2CD385EC}"/>
    <cellStyle name="Percent 24" xfId="514" xr:uid="{CE2FEDAC-F1A1-40E8-99C5-8405C3328796}"/>
    <cellStyle name="Percent 24 2" xfId="1384" xr:uid="{C51A483B-F7E4-424E-A6D3-A756CF7433CA}"/>
    <cellStyle name="Percent 25" xfId="517" xr:uid="{CA527CFA-CCA1-4234-A266-54DA5A42EDBD}"/>
    <cellStyle name="Percent 25 2" xfId="1387" xr:uid="{76A1EBF2-E316-4E21-9C95-7EEB981B1C1B}"/>
    <cellStyle name="Percent 26" xfId="520" xr:uid="{E91CD145-D8DD-41BD-A5B6-FDA7F10733BC}"/>
    <cellStyle name="Percent 26 2" xfId="1390" xr:uid="{166F0CDE-FFD0-4090-BF97-C0AFCB4B087C}"/>
    <cellStyle name="Percent 27" xfId="523" xr:uid="{5360B461-7B01-478C-9463-9443D65ACF52}"/>
    <cellStyle name="Percent 27 2" xfId="1393" xr:uid="{563DA029-FDB2-47F0-959E-8D393DC624BC}"/>
    <cellStyle name="Percent 28" xfId="526" xr:uid="{8EA9DA2B-1F70-49B8-B6F3-675B9B0CC181}"/>
    <cellStyle name="Percent 28 2" xfId="1396" xr:uid="{50507777-7943-4F9B-89B8-0E479E569C90}"/>
    <cellStyle name="Percent 29" xfId="529" xr:uid="{F82F9CFD-1B6D-49C0-9F69-9FBD12D62437}"/>
    <cellStyle name="Percent 29 2" xfId="1399" xr:uid="{FB0D6D43-7821-44A6-B343-6CD311579D94}"/>
    <cellStyle name="Percent 3" xfId="308" xr:uid="{993E8D24-6028-47EA-B995-2C356A5022A4}"/>
    <cellStyle name="Percent 3 2" xfId="747" xr:uid="{00572FF8-1E5B-44F2-93B9-7F07989C0CD4}"/>
    <cellStyle name="Percent 3 3" xfId="1308" xr:uid="{7ECE1B7C-1126-4BE8-A70D-A09EC0865466}"/>
    <cellStyle name="Percent 30" xfId="532" xr:uid="{13346337-7517-4DF7-9676-A4744D26707A}"/>
    <cellStyle name="Percent 30 2" xfId="1402" xr:uid="{D864A75F-3AA8-45E6-B5AF-B9633714157D}"/>
    <cellStyle name="Percent 31" xfId="535" xr:uid="{BFC1D020-D0AF-4145-9EED-BAF42DBD0106}"/>
    <cellStyle name="Percent 31 2" xfId="1405" xr:uid="{74DE9DC2-0087-4F76-8152-226362DCFE60}"/>
    <cellStyle name="Percent 32" xfId="538" xr:uid="{BB3F0C69-C02B-40EA-935C-3E0A21A8617D}"/>
    <cellStyle name="Percent 32 2" xfId="1408" xr:uid="{9AB5C7D8-26A5-4DA7-AD36-A4AA408187D3}"/>
    <cellStyle name="Percent 33" xfId="541" xr:uid="{3D084CCB-83A2-45DE-ABDC-F2B598EAEDDD}"/>
    <cellStyle name="Percent 33 2" xfId="1411" xr:uid="{D416F2FA-9358-485E-9A35-4DDD331DC388}"/>
    <cellStyle name="Percent 34" xfId="544" xr:uid="{302A04EB-1554-4F4B-A684-27FBEF8E75AD}"/>
    <cellStyle name="Percent 34 2" xfId="1414" xr:uid="{FEF0C3CA-1203-4C3C-AF3B-0D1418B4B4C9}"/>
    <cellStyle name="Percent 35" xfId="547" xr:uid="{3644FAC1-81E6-4CC0-826C-3AA6C125480E}"/>
    <cellStyle name="Percent 35 2" xfId="1417" xr:uid="{B8A95A41-2233-48F8-8001-B48C77BEBBAE}"/>
    <cellStyle name="Percent 36" xfId="550" xr:uid="{972C8A34-8044-41C6-9A59-1D92459327DC}"/>
    <cellStyle name="Percent 36 2" xfId="1420" xr:uid="{6AFC857E-0391-416A-8F95-73AB0B716563}"/>
    <cellStyle name="Percent 37" xfId="741" xr:uid="{DE781776-0AE2-47F5-9906-351DF108C117}"/>
    <cellStyle name="Percent 38" xfId="914" xr:uid="{05B421A6-E7AB-48C3-A88E-3FA9A08B57E5}"/>
    <cellStyle name="Percent 39" xfId="909" xr:uid="{B4259253-A822-4AA4-BF7D-4BA19BE9944C}"/>
    <cellStyle name="Percent 4" xfId="454" xr:uid="{BE4C4EFC-5D6C-4C1E-8A30-163CF0FC29BE}"/>
    <cellStyle name="Percent 4 2" xfId="833" xr:uid="{A6A50F0A-1B6B-422E-B9AD-5EF59ED1C89D}"/>
    <cellStyle name="Percent 4 2 2" xfId="1253" xr:uid="{DA3F0F6E-6EC4-4E30-AF09-489A4E519DCD}"/>
    <cellStyle name="Percent 4 2 3" xfId="1436" xr:uid="{8709333B-B256-437F-9170-054408E16A3E}"/>
    <cellStyle name="Percent 4 3" xfId="1082" xr:uid="{E0403DD9-39F8-49AA-BC65-17CA89B38CDC}"/>
    <cellStyle name="Percent 4 3 2" xfId="2069" xr:uid="{5B57A23A-A04D-4DCA-9B4D-B2856C2F53B8}"/>
    <cellStyle name="Percent 4 4" xfId="1084" xr:uid="{A2407EE5-8EAD-4B9A-ABA0-0F0418F5016C}"/>
    <cellStyle name="Percent 4 4 2" xfId="1478" xr:uid="{A0824C2C-B9D1-49F3-A3AA-9D3128D0DB1F}"/>
    <cellStyle name="Percent 4 5" xfId="1202" xr:uid="{DB0750F5-6FA1-40DA-AFC3-1FF9784AFE89}"/>
    <cellStyle name="Percent 4 6" xfId="1324" xr:uid="{D008BD9D-0875-4CA3-B056-6BAD4C297C0E}"/>
    <cellStyle name="Percent 40" xfId="1055" xr:uid="{87D8DCBD-2D0C-4DDC-B2A6-B9BD5A2375F4}"/>
    <cellStyle name="Percent 41" xfId="958" xr:uid="{C74B6AAB-235E-411B-BE7B-AFCA457449C3}"/>
    <cellStyle name="Percent 42" xfId="1086" xr:uid="{3EDAB9E2-2FB6-4EAD-92D1-27A8A5B10DEA}"/>
    <cellStyle name="Percent 43" xfId="962" xr:uid="{D01312CC-C1DC-4A7B-97D5-BC841E1BFB3B}"/>
    <cellStyle name="Percent 44" xfId="1043" xr:uid="{96EC9434-1F3B-493B-86F5-8A527E51D5BB}"/>
    <cellStyle name="Percent 45" xfId="968" xr:uid="{885D6F9C-4046-43C2-9564-0691F4852C47}"/>
    <cellStyle name="Percent 46" xfId="1036" xr:uid="{5C84F74C-13CE-4378-B821-6AADBBB4CF66}"/>
    <cellStyle name="Percent 47" xfId="974" xr:uid="{297190E5-0B12-4F56-8D3A-2F5CA18D7FA1}"/>
    <cellStyle name="Percent 48" xfId="1137" xr:uid="{B17B6378-7363-4C59-812F-EDA01B140DBA}"/>
    <cellStyle name="Percent 49" xfId="923" xr:uid="{4F90B8C3-EBFD-4DE3-8030-BC695DB65C5D}"/>
    <cellStyle name="Percent 5" xfId="457" xr:uid="{D338B1BF-C0E8-4D70-B1C8-89C7C269CD80}"/>
    <cellStyle name="Percent 5 2" xfId="1210" xr:uid="{3623C1EA-30A0-41CE-882A-C596588F6EE5}"/>
    <cellStyle name="Percent 5 3" xfId="1327" xr:uid="{E323E04B-06AB-41D7-AFBA-E41E12F0AA39}"/>
    <cellStyle name="Percent 5 3 2" xfId="2070" xr:uid="{8E5760A5-7C97-4450-9E0D-CAFBE8BCE7F8}"/>
    <cellStyle name="Percent 5 4" xfId="2071" xr:uid="{720028C5-DF04-455C-9A15-2B8E3B3222EF}"/>
    <cellStyle name="Percent 50" xfId="1090" xr:uid="{8A05FE86-168E-47C7-BFC4-22E1A25AE4CE}"/>
    <cellStyle name="Percent 51" xfId="1120" xr:uid="{526F1206-6C82-4709-ACFF-BDEB783AA96E}"/>
    <cellStyle name="Percent 52" xfId="1053" xr:uid="{3E70C86A-8CE9-4649-9330-03DC6477EDFF}"/>
    <cellStyle name="Percent 53" xfId="1170" xr:uid="{C4FA8FE9-42B2-41EB-B04C-729406ACB98B}"/>
    <cellStyle name="Percent 54" xfId="1058" xr:uid="{C5DC1589-04F4-4149-93BA-A6AFC3259245}"/>
    <cellStyle name="Percent 55" xfId="1262" xr:uid="{AC4C9D9E-94D6-41E9-BDF2-A72AAB885424}"/>
    <cellStyle name="Percent 56" xfId="1157" xr:uid="{F3EBC80A-8E28-4433-BD24-15DF2D8D550A}"/>
    <cellStyle name="Percent 57" xfId="1307" xr:uid="{2DADB49E-2DBA-462A-9046-0A5471D8DD05}"/>
    <cellStyle name="Percent 58" xfId="2386" xr:uid="{E950F9B4-AE39-4490-A361-E390D5B890BB}"/>
    <cellStyle name="Percent 6" xfId="460" xr:uid="{A32F43D0-70F4-4CEE-AE01-0C400E03342B}"/>
    <cellStyle name="Percent 6 2" xfId="1174" xr:uid="{470037EF-D71E-4535-AC65-99352DFD8A21}"/>
    <cellStyle name="Percent 6 3" xfId="1330" xr:uid="{3D440AEE-08DB-4E46-A82A-867E1BC3331B}"/>
    <cellStyle name="Percent 7" xfId="463" xr:uid="{69783E78-9D72-4D7E-9D78-C874CC55C4CB}"/>
    <cellStyle name="Percent 7 2" xfId="1211" xr:uid="{1521E5F2-9E7B-45B6-88C3-E72D314EB751}"/>
    <cellStyle name="Percent 7 3" xfId="1333" xr:uid="{D78936B6-C2B7-46BB-93D1-66AD330FD99B}"/>
    <cellStyle name="Percent 8" xfId="466" xr:uid="{7BBFA7B1-5A7C-4821-88AA-692343F64736}"/>
    <cellStyle name="Percent 8 2" xfId="1175" xr:uid="{2E05E263-9F98-4980-8F62-C8F75DE70E2F}"/>
    <cellStyle name="Percent 8 3" xfId="1336" xr:uid="{A302F8A0-399C-44A3-8713-3428726A53BF}"/>
    <cellStyle name="Percent 8 4" xfId="1510" xr:uid="{7782E8F7-D0EC-4D16-9BEE-AA4CE3B14871}"/>
    <cellStyle name="Percent 9" xfId="469" xr:uid="{B59F2F97-3F12-45AD-B2A1-1BCBFA7DBA36}"/>
    <cellStyle name="Percent 9 2" xfId="1212" xr:uid="{86E992B6-81F5-47A5-8FD5-573FC51514A4}"/>
    <cellStyle name="Percent 9 3" xfId="1339" xr:uid="{F5F576D1-C1F6-4EBB-8BA6-D23433322A64}"/>
    <cellStyle name="Percent1" xfId="748" xr:uid="{BB457A16-B45F-444C-B131-56D182CAEEE2}"/>
    <cellStyle name="Percentage" xfId="309" xr:uid="{97B01C49-5044-40D1-8C5B-2FE38E711F83}"/>
    <cellStyle name="Percentage (2dp)" xfId="310" xr:uid="{D06CB8A3-813E-49AE-A8E1-FC43C22CE06B}"/>
    <cellStyle name="Percentage (2dp) 2" xfId="1310" xr:uid="{0E639CD2-FD3B-4298-86F4-05BD03F7957E}"/>
    <cellStyle name="Percentage 2" xfId="1309" xr:uid="{D69B9512-71AE-4E7E-9A13-744E73929BAD}"/>
    <cellStyle name="Percentage_Copy of ESA5 ForecastScaling" xfId="311" xr:uid="{3020DFB3-8601-45B6-911A-91A3401E4778}"/>
    <cellStyle name="PercentChange" xfId="312" xr:uid="{B34AF51C-3388-481B-9CBC-5F2F642362C2}"/>
    <cellStyle name="PercentChange 2" xfId="749" xr:uid="{5C817957-7DBD-4846-A3C0-1F14B4E9FA96}"/>
    <cellStyle name="PercentChange 3" xfId="2072" xr:uid="{7465AF31-2F76-4D04-A5BF-576E8624AEEC}"/>
    <cellStyle name="PercentChange 3 2" xfId="2073" xr:uid="{B7C9A9F7-17AC-47D1-B79B-A7DC2E3F0E29}"/>
    <cellStyle name="PercentChange 4" xfId="2074" xr:uid="{CE25987B-0D15-4DA3-BBB9-AC2BDD3EAB59}"/>
    <cellStyle name="PercentPresentation" xfId="313" xr:uid="{59296A7A-7277-4F62-A62D-E419B9304D47}"/>
    <cellStyle name="PercentPresentation 2" xfId="2075" xr:uid="{859D59D4-8493-4BE0-82A8-A5DAB7AFB3D8}"/>
    <cellStyle name="PercentPresentation 2 2" xfId="2076" xr:uid="{806C1EC1-65E4-45C1-B523-28551087B3FB}"/>
    <cellStyle name="PercentSales" xfId="314" xr:uid="{3D1C5392-3DC2-4B90-BE17-54BDB3919A10}"/>
    <cellStyle name="PercentSales 2" xfId="750" xr:uid="{7D133053-FFF6-4ABD-B769-0168459F834D}"/>
    <cellStyle name="PercentSales 2 2" xfId="2077" xr:uid="{88EDFC80-4DE6-44C1-862B-4037861CA4EA}"/>
    <cellStyle name="Percentual" xfId="2078" xr:uid="{8A225FDD-3A64-4E64-9C19-37852CCF4E29}"/>
    <cellStyle name="PerShare" xfId="315" xr:uid="{1F8D09EE-CE1A-4A8F-9F47-2D8D97055A7B}"/>
    <cellStyle name="PerShare 2" xfId="2079" xr:uid="{0FCED412-1E6E-43BB-A620-81EDAA7B17DA}"/>
    <cellStyle name="PerShare 2 2" xfId="2080" xr:uid="{F9D8674E-AD2D-44C5-960D-18C9052A6B11}"/>
    <cellStyle name="Ponto" xfId="2081" xr:uid="{5B7F0A84-B5DF-4C31-8893-CFC9879BF656}"/>
    <cellStyle name="POPS" xfId="316" xr:uid="{51243180-DEC4-44C3-B81D-97C3C6A5085C}"/>
    <cellStyle name="POPS 2" xfId="2082" xr:uid="{46C4E76E-7F7C-48FC-8501-3CB2A9F25142}"/>
    <cellStyle name="POPS 2 2" xfId="2083" xr:uid="{415CE09F-386C-4C6F-9868-A2DF0F66D698}"/>
    <cellStyle name="Porcentaje" xfId="2084" xr:uid="{9C82A714-6A67-4E0C-8C2F-08ED4CFC9804}"/>
    <cellStyle name="Porcentual_Modelo_19-06" xfId="2085" xr:uid="{DC60042A-06D8-49FB-9E86-3D79DF0FC716}"/>
    <cellStyle name="Pourcentage [0]" xfId="317" xr:uid="{9AFD0110-DD72-41CD-BC07-AF6063ADDAE1}"/>
    <cellStyle name="Pourcentage [00]" xfId="318" xr:uid="{CA29D366-4803-43C5-888B-3C012924B771}"/>
    <cellStyle name="Pourcentage [00] 2" xfId="2086" xr:uid="{9153EEF6-B2D4-4E03-920E-F50B320A14DD}"/>
    <cellStyle name="Pourcentage [00] 3" xfId="2087" xr:uid="{B588C230-61EB-45BC-9D42-650751766B7F}"/>
    <cellStyle name="Pourcentage [00] 3 2" xfId="2088" xr:uid="{05C4ED71-B822-427E-983E-69CFF96436A4}"/>
    <cellStyle name="Pourcentage_BASCULER" xfId="319" xr:uid="{4FE355BF-8C39-4A1F-B2CB-1ED35FA5C835}"/>
    <cellStyle name="Presentation" xfId="320" xr:uid="{EC1156D6-0E93-475F-8AFD-DDD22251A400}"/>
    <cellStyle name="Presentation 2" xfId="2089" xr:uid="{311C3653-9933-4A2B-ABD8-6A7A355D9BE5}"/>
    <cellStyle name="Presentation 2 2" xfId="2090" xr:uid="{DEE52F98-3FA9-4CC6-946E-2C276632C607}"/>
    <cellStyle name="PresentationZero" xfId="321" xr:uid="{0C29AC4C-0441-4D4B-AD4A-5720DE180F24}"/>
    <cellStyle name="PresentationZero 2" xfId="2091" xr:uid="{12B5C192-2D95-40ED-8F9D-4F9EF2D21DB6}"/>
    <cellStyle name="PresentationZero 2 2" xfId="2092" xr:uid="{F67DB3EA-5520-4683-A63B-F2B51D48D16D}"/>
    <cellStyle name="Price" xfId="322" xr:uid="{91AA3931-2AF9-421A-B7FE-5CC9242440BE}"/>
    <cellStyle name="Price 2" xfId="2093" xr:uid="{B8287035-FD25-4DA2-8E17-16DDF99CDC5D}"/>
    <cellStyle name="Price 2 2" xfId="2094" xr:uid="{2E494DA5-0C1A-4FC9-8A80-5F462659ABDA}"/>
    <cellStyle name="PROJECT" xfId="751" xr:uid="{6A1B8EEA-8781-4528-A9C8-671BFBD677E4}"/>
    <cellStyle name="PROJECT R" xfId="752" xr:uid="{AF4EB8D1-2FD6-419B-9C9C-BE90CBB50D56}"/>
    <cellStyle name="Protected" xfId="2095" xr:uid="{F64E64DE-6C0B-4D1D-870C-2CBADA446A0E}"/>
    <cellStyle name="PSChar" xfId="2096" xr:uid="{AF657043-DCB6-4D0E-9ADB-EE7EC9BC65B3}"/>
    <cellStyle name="Pub percent" xfId="323" xr:uid="{96F5D5E0-D846-4F35-918B-A9FBF3201674}"/>
    <cellStyle name="Pub percent 2" xfId="2097" xr:uid="{8634D6EA-413B-4413-8B99-9B42B878B5EA}"/>
    <cellStyle name="Pub percent 3" xfId="2098" xr:uid="{AEF3808D-CD93-4F40-A33A-7486334ABE21}"/>
    <cellStyle name="Pub percent 3 2" xfId="2099" xr:uid="{551042FE-B6B6-4401-AA5A-CB403F3913E3}"/>
    <cellStyle name="Purple" xfId="753" xr:uid="{7FBDEB9B-2849-4D14-A4EA-6048EB891FB5}"/>
    <cellStyle name="r" xfId="324" xr:uid="{BD616129-B315-48B2-8B5D-259BAAF9B1C2}"/>
    <cellStyle name="r 2" xfId="2100" xr:uid="{42DC2740-DCCC-4886-9B8C-BB84436D2125}"/>
    <cellStyle name="r 2 2" xfId="2101" xr:uid="{C44404F5-A9AC-47B3-9392-A892F14F6DD2}"/>
    <cellStyle name="r_Canal Digital" xfId="325" xr:uid="{94DBA035-BB44-48A8-B2AC-E50283DC4EC7}"/>
    <cellStyle name="r_Canal Digital 2" xfId="2102" xr:uid="{DCD6DB6C-E7B7-495D-B649-9776A0749E8B}"/>
    <cellStyle name="r_Canal Digital 2 2" xfId="2103" xr:uid="{75A5A6B0-76E4-4D73-83B5-EE28E5B985CB}"/>
    <cellStyle name="r_Canal Digital_Deutsche" xfId="326" xr:uid="{0CD52AC5-B8D2-44EB-B644-21C31560DFD2}"/>
    <cellStyle name="r_Canal Digital_Fixed" xfId="327" xr:uid="{B71D43D1-4624-4D10-A690-134D592BA732}"/>
    <cellStyle name="r_Canal Digital_Fixed 2" xfId="2104" xr:uid="{A60457FF-AC99-4AD3-B163-A9D5DDDBF3DC}"/>
    <cellStyle name="r_Canal Digital_Fixed 2 2" xfId="2105" xr:uid="{A90F906B-7E81-41FA-81CC-0AFA3B7D5C60}"/>
    <cellStyle name="r_Canal Digital_Fixed_Deutsche" xfId="328" xr:uid="{38F42BB2-4A70-412B-82AD-378DC641EACC}"/>
    <cellStyle name="r_Canal Digital_Fixed_Innsamling" xfId="329" xr:uid="{67C39EEB-C886-4DE8-B9FE-9AED0144BC30}"/>
    <cellStyle name="r_Canal Digital_Fixed_TNOR_preQ410a" xfId="2106" xr:uid="{399AB7C3-E123-4E99-9E7A-E337E1CF0813}"/>
    <cellStyle name="r_Canal Digital_Fixed_TNOR_preQ410a 2" xfId="2107" xr:uid="{DDB1DE18-9873-42FD-8277-40D25B3A1A67}"/>
    <cellStyle name="r_Canal Digital_Group" xfId="330" xr:uid="{134F1333-7FFC-4C25-A133-785B348EB28D}"/>
    <cellStyle name="r_Canal Digital_Group 2" xfId="2108" xr:uid="{6577353D-DFF7-4509-877B-181594416668}"/>
    <cellStyle name="r_Canal Digital_Group 2 2" xfId="2109" xr:uid="{F7724F1B-1345-423E-B0F3-54678DB1BD77}"/>
    <cellStyle name="r_Canal Digital_Group_Deutsche" xfId="331" xr:uid="{CEC7E72F-4E02-4013-B682-A4EFB8526EAC}"/>
    <cellStyle name="r_Canal Digital_Group_Innsamling" xfId="332" xr:uid="{BB80F6EF-808E-4712-A134-3F530AEC11F9}"/>
    <cellStyle name="r_Canal Digital_Group_TNOR_preQ410a" xfId="2110" xr:uid="{2450042B-54CC-49E5-BCF3-F75CE5329D25}"/>
    <cellStyle name="r_Canal Digital_Group_TNOR_preQ410a 2" xfId="2111" xr:uid="{B46C0153-E948-4E8E-835F-7EA733BA14ED}"/>
    <cellStyle name="r_Canal Digital_Innsamling" xfId="333" xr:uid="{DE4E6C62-69E6-46D2-BEE0-EB261CE0D968}"/>
    <cellStyle name="r_Canal Digital_Mobile" xfId="334" xr:uid="{A1ADE7DA-FFEB-4FB7-AA43-C20C96B3DEB7}"/>
    <cellStyle name="r_Canal Digital_Mobile 2" xfId="2112" xr:uid="{9819E5A2-1A9B-42D1-A1FA-CD18FE1ABF25}"/>
    <cellStyle name="r_Canal Digital_Mobile 2 2" xfId="2113" xr:uid="{D1485475-EF22-483E-AFE9-DA475AF70031}"/>
    <cellStyle name="r_Canal Digital_Mobile_Deutsche" xfId="335" xr:uid="{0E0F8861-5BA3-44A5-A841-4BE11A1A1113}"/>
    <cellStyle name="r_Canal Digital_Mobile_Innsamling" xfId="336" xr:uid="{1848A0AD-6478-4455-82C1-515272AD96B5}"/>
    <cellStyle name="r_Canal Digital_Mobile_TNOR_preQ410a" xfId="2114" xr:uid="{81376C20-803C-4786-93AB-1A03EF4F62B6}"/>
    <cellStyle name="r_Canal Digital_Mobile_TNOR_preQ410a 2" xfId="2115" xr:uid="{80C1E625-78FF-450E-8CCE-0E700ED31883}"/>
    <cellStyle name="r_Canal Digital_Special items" xfId="337" xr:uid="{7C6B891B-F07C-4A55-998D-5512DA05E21B}"/>
    <cellStyle name="r_Canal Digital_Special items 2" xfId="2116" xr:uid="{16101B51-7834-4966-AFDC-C9F8BC30E00D}"/>
    <cellStyle name="r_Canal Digital_Special items 2 2" xfId="2117" xr:uid="{B5528853-2374-4D8A-8761-DF16A2D8498F}"/>
    <cellStyle name="r_Canal Digital_Special items_Deutsche" xfId="338" xr:uid="{6DDCBFCD-88C4-4930-B5FC-5C2CE80E16C3}"/>
    <cellStyle name="r_Canal Digital_Special items_Innsamling" xfId="339" xr:uid="{8C26EC6D-29AE-4B07-8847-C05230FBF3D2}"/>
    <cellStyle name="r_Canal Digital_Special items_TNOR_preQ410a" xfId="2118" xr:uid="{2D2CDFE1-2EF6-4C9A-9888-A4EA4D26A6F6}"/>
    <cellStyle name="r_Canal Digital_Special items_TNOR_preQ410a 2" xfId="2119" xr:uid="{E0ABA819-1268-44E6-8782-F231D0B03657}"/>
    <cellStyle name="r_Canal Digital_TNOR_preQ410a" xfId="2120" xr:uid="{D1E962BA-311B-4CD6-8F00-55DDB2BB3DD5}"/>
    <cellStyle name="r_Canal Digital_TNOR_preQ410a 2" xfId="2121" xr:uid="{109B5237-E9E7-4226-9DBA-3CBE4B82CB81}"/>
    <cellStyle name="r_tel" xfId="340" xr:uid="{6E711D43-4244-4236-83A6-510071FAC53A}"/>
    <cellStyle name="r_tel 2" xfId="2122" xr:uid="{C30A1F74-FF5E-4645-BBD5-68360403B487}"/>
    <cellStyle name="r_tel 2 2" xfId="2123" xr:uid="{1CACE3EE-CE52-44A7-9233-E865712F2927}"/>
    <cellStyle name="r_tel.xls Chart 680" xfId="341" xr:uid="{94A4E49A-AA3D-4D7F-96B9-D2E09FE90614}"/>
    <cellStyle name="r_tel.xls Chart 680 2" xfId="2124" xr:uid="{C92E58A4-4D33-4A8E-9945-E823D2B701F8}"/>
    <cellStyle name="r_tel.xls Chart 680 2 2" xfId="2125" xr:uid="{328DAD7D-63A0-48A1-AB50-0F74569BD0E6}"/>
    <cellStyle name="r_tel.xls Chart 680_TNOR_preQ410a" xfId="2126" xr:uid="{6BF0C4F6-9A02-4F29-869F-093FCEDBA907}"/>
    <cellStyle name="r_tel.xls Chart 680_TNOR_preQ410a 2" xfId="2127" xr:uid="{4DE77DF4-773D-43D1-9924-2665049A5530}"/>
    <cellStyle name="r_tel_TNOR_preQ410a" xfId="2128" xr:uid="{8855E2E5-CD41-48B0-AB67-559A6098A098}"/>
    <cellStyle name="r_tel_TNOR_preQ410a 2" xfId="2129" xr:uid="{C98B16D1-76CF-40D9-87E8-4E6900863702}"/>
    <cellStyle name="r_Telenor" xfId="342" xr:uid="{A4F9B78F-3E8D-4BD4-854A-0BD30663855B}"/>
    <cellStyle name="r_Telenor 2" xfId="2130" xr:uid="{1610CF18-09AE-4DE6-BA4A-83562BA1D361}"/>
    <cellStyle name="r_Telenor 2 2" xfId="2131" xr:uid="{5C111B84-F80A-4007-80E3-429EBE0CCB12}"/>
    <cellStyle name="r_Telenor_TNOR_preQ410a" xfId="2132" xr:uid="{A24A7E36-EF2F-405B-B0BD-67AF4DB00518}"/>
    <cellStyle name="r_Telenor_TNOR_preQ410a 2" xfId="2133" xr:uid="{0A49474D-86DC-46E0-99C5-734943C2B9E3}"/>
    <cellStyle name="r_TNOR_preQ410a" xfId="2134" xr:uid="{CD3CA62C-A0AF-4579-9C67-40504C554736}"/>
    <cellStyle name="r_TNOR_preQ410a 2" xfId="2135" xr:uid="{E4D85AE5-B055-4D19-8AB5-2F455EA6B26D}"/>
    <cellStyle name="Rating header" xfId="2136" xr:uid="{2BC39145-1030-4373-A220-0A75D11D77F9}"/>
    <cellStyle name="RatioX" xfId="343" xr:uid="{4D9A1DAC-B2E5-47E5-94C9-A363C050A1CA}"/>
    <cellStyle name="RatioX 2" xfId="754" xr:uid="{7E1FA759-2AB6-424F-8470-5D0E82D39C9C}"/>
    <cellStyle name="RatioX 3" xfId="2137" xr:uid="{2A375670-892D-424B-9F70-3EAD8639A2BD}"/>
    <cellStyle name="RatioX 3 2" xfId="2138" xr:uid="{1251EF31-D69C-4BA4-93E0-E8BAC31293D8}"/>
    <cellStyle name="RatioX 4" xfId="2139" xr:uid="{3D5E7DA0-9BB1-448D-83E2-A74A60BC0342}"/>
    <cellStyle name="RED" xfId="755" xr:uid="{BA9A2188-F9F1-4A41-8916-5F756199E0AE}"/>
    <cellStyle name="Red font" xfId="344" xr:uid="{99DE0348-8065-4B8C-B6F0-AE23AC37EC5F}"/>
    <cellStyle name="Red Text" xfId="756" xr:uid="{958805CF-6A2B-4216-BD89-75B8770344B8}"/>
    <cellStyle name="Ref Numbers" xfId="757" xr:uid="{9BFD0397-2B41-43F7-B252-132FF72AF33D}"/>
    <cellStyle name="Reference" xfId="758" xr:uid="{30CDAE16-CB39-49AC-B319-C4A45E82A25F}"/>
    <cellStyle name="Report" xfId="345" xr:uid="{D000FFC1-F202-4492-930B-9C053311DA1B}"/>
    <cellStyle name="Report 2" xfId="2140" xr:uid="{A811A26B-6715-4CC1-B20A-4743ABAFB9FA}"/>
    <cellStyle name="Report 2 2" xfId="2141" xr:uid="{2AAFD956-45E1-483D-8BC5-EC4EF6C72809}"/>
    <cellStyle name="Restruct" xfId="759" xr:uid="{7A612BA9-15F6-4413-8F20-6749143E1778}"/>
    <cellStyle name="results" xfId="760" xr:uid="{F6CD633B-F5BF-4737-80DD-34E74C237CBC}"/>
    <cellStyle name="results 2" xfId="1204" xr:uid="{C294450D-C111-445B-A090-04A7E44F2BF5}"/>
    <cellStyle name="Right" xfId="346" xr:uid="{075C20F8-D873-40BB-9B35-10E7C4B0B674}"/>
    <cellStyle name="Right 2" xfId="761" xr:uid="{7E1F4251-7168-4BB6-A0F2-BE8DD094A46A}"/>
    <cellStyle name="RM" xfId="2142" xr:uid="{D1F6F485-44FC-4EF2-A016-3B8DFF8A0FC7}"/>
    <cellStyle name="Rmess" xfId="347" xr:uid="{DD14B8B8-8032-4337-B7DE-94B2A156DD2D}"/>
    <cellStyle name="Rmess 2" xfId="2143" xr:uid="{A21F6C75-AA44-4913-87AE-C56BAA7F9F3E}"/>
    <cellStyle name="Rmess 3" xfId="2144" xr:uid="{0AF20215-0D1E-4A3B-BD0C-5E6D9B38E122}"/>
    <cellStyle name="Rmess 3 2" xfId="2145" xr:uid="{5DDF5771-D34E-4359-8AAD-BC7CA75316C6}"/>
    <cellStyle name="Rnumber" xfId="348" xr:uid="{BBADF492-55B3-4911-AF58-FE237BE8C655}"/>
    <cellStyle name="Rnumber 0d" xfId="349" xr:uid="{8A0B7773-347B-441B-B643-453969D0332F}"/>
    <cellStyle name="Rnumber 0d 2" xfId="2146" xr:uid="{0C81BBDD-1EB3-4C18-B68B-AD1A031D6D14}"/>
    <cellStyle name="Rnumber 0d 3" xfId="2147" xr:uid="{4FBE592C-6BD8-4EDC-A484-67B535D3B3F9}"/>
    <cellStyle name="Rnumber 0d 3 2" xfId="2148" xr:uid="{8ED4AB6F-8B69-404E-AFF5-153C119B3E27}"/>
    <cellStyle name="Rnumber 2" xfId="2149" xr:uid="{780EA618-40A4-40B5-8E77-A4BEC638549A}"/>
    <cellStyle name="Rnumber 3" xfId="2150" xr:uid="{23637705-CA73-471F-933E-F9B36F5DBAEF}"/>
    <cellStyle name="Rnumber 3 2" xfId="2151" xr:uid="{F6CBDE66-7444-4066-A547-65AA1CF35A3B}"/>
    <cellStyle name="Rnumber 4" xfId="2152" xr:uid="{E449021E-DF66-4664-A541-7F641A658193}"/>
    <cellStyle name="Rnumber 4 2" xfId="2153" xr:uid="{A72DD843-ECD6-406C-8E2D-3427C1484A50}"/>
    <cellStyle name="Rnumber_eurosubs10" xfId="350" xr:uid="{CDCF8D96-8E18-4BE0-9E5A-F02E323E7C1D}"/>
    <cellStyle name="robs" xfId="2154" xr:uid="{A84906F4-30CE-40F7-81A2-3E0C55DD6492}"/>
    <cellStyle name="Row and Column Total" xfId="351" xr:uid="{315A2245-847A-4216-AE28-F8B65F79486C}"/>
    <cellStyle name="Row and Column Total 2" xfId="2155" xr:uid="{2FF89D5A-714B-4857-9CDB-2F2839C3480D}"/>
    <cellStyle name="Row and Column Total 3" xfId="2156" xr:uid="{86AD0CC9-8BD7-4407-B58B-F32444FCD47D}"/>
    <cellStyle name="Row and Column Total 3 2" xfId="2157" xr:uid="{600DC141-1B70-43EE-BF99-9C380E9CCA5C}"/>
    <cellStyle name="Row Heading" xfId="352" xr:uid="{D1C313FE-464F-4587-B075-642E940F6252}"/>
    <cellStyle name="Row Heading (No Wrap)" xfId="353" xr:uid="{A10D269E-5073-47D3-9B91-71742646E7EC}"/>
    <cellStyle name="Row Heading (No Wrap) 2" xfId="2158" xr:uid="{C8CAF1CF-4ABD-4C3C-A07E-E7BE8793A288}"/>
    <cellStyle name="Row Heading (No Wrap) 3" xfId="2159" xr:uid="{4DCBEE3C-044D-496F-B73F-C0DD865D4608}"/>
    <cellStyle name="Row Heading (No Wrap) 3 2" xfId="2160" xr:uid="{58535C75-724B-4B5F-8767-5313D95E8DE4}"/>
    <cellStyle name="Row Heading 2" xfId="2161" xr:uid="{3DDF56DE-4E13-43B6-9221-15BC1569BC89}"/>
    <cellStyle name="Row Heading 3" xfId="2162" xr:uid="{3CA79A90-A453-4593-8915-A607BE16E300}"/>
    <cellStyle name="Row Heading 3 2" xfId="2163" xr:uid="{269084E9-DB7B-4DE9-98C8-D6544AC22F9F}"/>
    <cellStyle name="Row Heading 4" xfId="2164" xr:uid="{3A609EDC-D82C-4DB2-8841-2E89BEAB472F}"/>
    <cellStyle name="Row Heading 4 2" xfId="2165" xr:uid="{5947D382-8021-4981-A187-D925C7C4FE6A}"/>
    <cellStyle name="Row Heading 5" xfId="2166" xr:uid="{B1203068-08D9-45DB-A217-CD5EB225E603}"/>
    <cellStyle name="Row Heading 5 2" xfId="2167" xr:uid="{7DE5F5BE-F9B4-4147-BAFB-B967EA817651}"/>
    <cellStyle name="Row Heading 6" xfId="2168" xr:uid="{A95EC3E4-AE7F-455F-9CE8-34395A48C782}"/>
    <cellStyle name="Row Heading 6 2" xfId="2169" xr:uid="{BD4A71AF-15B8-4FF1-8D17-FE6C64B1A866}"/>
    <cellStyle name="Row Ignore" xfId="354" xr:uid="{7577C1E1-10FD-44EB-AAFD-EF6D44367591}"/>
    <cellStyle name="row ignroe" xfId="2170" xr:uid="{55C7CBD2-C9BB-4BAD-9900-8864E0AE310A}"/>
    <cellStyle name="Row label" xfId="355" xr:uid="{92701945-63D5-4FDD-AC31-D1C45EA830CC}"/>
    <cellStyle name="Row label (indent)" xfId="356" xr:uid="{CA244C4B-E023-469C-96EC-3373A9B132C4}"/>
    <cellStyle name="Row label (indent) 2" xfId="1311" xr:uid="{96D6BE0F-87D2-41EF-ABB8-5E87EFA153FA}"/>
    <cellStyle name="Row Normal Indent" xfId="2171" xr:uid="{6A6A3B2B-B76D-4F20-9D43-39F002446432}"/>
    <cellStyle name="Row Sub total" xfId="357" xr:uid="{9390E6A1-F0F2-4A80-90AF-452B15E21ED8}"/>
    <cellStyle name="Row Title 1" xfId="358" xr:uid="{532B790C-7FE7-4318-B3F8-F70C537BAFB5}"/>
    <cellStyle name="Row Title 1 2" xfId="2172" xr:uid="{9C067954-D6F8-412D-AD20-16D89B4A2368}"/>
    <cellStyle name="Row Title 1 2 2" xfId="2173" xr:uid="{F817FD7E-9601-46B2-BE3C-4DEF4B49A03B}"/>
    <cellStyle name="Row Title 1 3" xfId="2174" xr:uid="{151BCCE4-3FDB-4A0F-BD97-E2F2B431BB32}"/>
    <cellStyle name="Row Title 1 4" xfId="2175" xr:uid="{A26FF98D-1283-4D26-96C2-AA5930FAFFA5}"/>
    <cellStyle name="Row Title 2" xfId="359" xr:uid="{667901BA-6D86-447D-83B7-0AD6A3FB93BC}"/>
    <cellStyle name="Row Title 2 2" xfId="2176" xr:uid="{239F856C-BF2B-4F1F-9B70-36849D702EDE}"/>
    <cellStyle name="Row Title 2 2 2" xfId="2177" xr:uid="{EF0EA6F8-D466-40EB-838A-C68959B5F7D5}"/>
    <cellStyle name="Row Title 2 3" xfId="2178" xr:uid="{7DD07368-2236-4546-B2D7-8513B3C695BB}"/>
    <cellStyle name="Row Title 2 4" xfId="2179" xr:uid="{ECA1741B-49C5-4224-AAC2-B937F941B4F1}"/>
    <cellStyle name="Row Title 3" xfId="360" xr:uid="{8F98ED55-D74A-484B-AB67-A83B84F9F878}"/>
    <cellStyle name="Row Title 3 2" xfId="2180" xr:uid="{A40C8D87-34F1-41A4-A571-0E4FB8DF271E}"/>
    <cellStyle name="Row Title 3 2 2" xfId="2181" xr:uid="{145D5B31-EF93-4401-8B8C-A309B0D575BC}"/>
    <cellStyle name="Row Title 3 3" xfId="2182" xr:uid="{A518C3CC-D330-40EA-8F6D-7B1D7252CD62}"/>
    <cellStyle name="Row Title 3 4" xfId="2183" xr:uid="{5806B283-FF7A-4BE7-8FA0-F33F2EBC2918}"/>
    <cellStyle name="Row Title 4" xfId="2184" xr:uid="{84C6FD5C-5D81-4EBA-A79C-FA8B0460A532}"/>
    <cellStyle name="Row Title 4 Indent" xfId="2185" xr:uid="{876C4D6E-EEDF-4900-A967-C71DAD6035DB}"/>
    <cellStyle name="Row Total" xfId="361" xr:uid="{A57E0AAB-7149-4D20-8F2B-0F3BA00FA59B}"/>
    <cellStyle name="Row Total 2" xfId="2186" xr:uid="{759B8DB1-896D-4524-B92D-11A482F9DACE}"/>
    <cellStyle name="Row Total 3" xfId="2187" xr:uid="{3E88F15B-17B4-4504-97DC-886A0B918903}"/>
    <cellStyle name="Row Total 3 2" xfId="2188" xr:uid="{5AAC869E-EF1A-4EDF-9D55-B3506649BB67}"/>
    <cellStyle name="Row Total 4" xfId="2189" xr:uid="{13B4EC3C-998B-42A0-A80B-01FE278C6892}"/>
    <cellStyle name="Saisie" xfId="362" xr:uid="{3633CF5B-5E2F-4654-A03F-F0E0D042DA80}"/>
    <cellStyle name="Saisie 2" xfId="2190" xr:uid="{02902971-F3D0-44C5-BB4C-BE78EA69B15D}"/>
    <cellStyle name="Saisie 3" xfId="2191" xr:uid="{79AD6E1A-1EE6-4F2E-B6C1-8780AB554DD3}"/>
    <cellStyle name="Saisie 3 2" xfId="2192" xr:uid="{B7627283-F8D4-4E8C-834C-E820F48F8318}"/>
    <cellStyle name="Salomon Logo" xfId="363" xr:uid="{29E1FD60-6496-43D2-AE1B-F624CD7BCF00}"/>
    <cellStyle name="Salomon Logo 2" xfId="2193" xr:uid="{D5722091-DECA-430C-809E-228D576CB6D7}"/>
    <cellStyle name="Salomon Logo 2 2" xfId="2194" xr:uid="{4537B5CF-350B-4C18-962F-D8AE3E499196}"/>
    <cellStyle name="SAPBEXaggData" xfId="2195" xr:uid="{E76E2675-64F9-44EE-AE20-2C244D0CF52F}"/>
    <cellStyle name="SAPBEXaggDataEmph" xfId="2196" xr:uid="{60F82EAE-2773-40F8-8B13-B69CFEC18648}"/>
    <cellStyle name="SAPBEXaggItem" xfId="2197" xr:uid="{A9FA31B4-0E4D-4500-BFDC-8C331DA64CF3}"/>
    <cellStyle name="SAPBEXaggItemX" xfId="2198" xr:uid="{148D7921-397F-4933-B128-0FC582259573}"/>
    <cellStyle name="SAPBEXchaText" xfId="2199" xr:uid="{E3A6C298-D2A9-4CE8-AF31-D234AB0B0CAA}"/>
    <cellStyle name="SAPBEXexcBad7" xfId="2200" xr:uid="{B28EEA0F-5AC0-4D3B-92A8-B3F9583ECD38}"/>
    <cellStyle name="SAPBEXexcBad8" xfId="2201" xr:uid="{1905E256-D65F-4FD2-B0FB-F28516B9E15B}"/>
    <cellStyle name="SAPBEXexcBad9" xfId="2202" xr:uid="{D41DB5A4-EB91-4305-AAE1-BC05CFD93032}"/>
    <cellStyle name="SAPBEXexcCritical4" xfId="2203" xr:uid="{B9ECD46C-0AB7-43A5-B9E8-D8C8AB92EBCC}"/>
    <cellStyle name="SAPBEXexcCritical5" xfId="2204" xr:uid="{1C5FEA64-BB3E-4565-B665-8BACACE51561}"/>
    <cellStyle name="SAPBEXexcCritical6" xfId="2205" xr:uid="{428F0916-509E-4B56-9555-138C7C5687B5}"/>
    <cellStyle name="SAPBEXexcGood1" xfId="2206" xr:uid="{8FD0CF41-FC07-435A-906B-B96BC6ED9308}"/>
    <cellStyle name="SAPBEXexcGood2" xfId="2207" xr:uid="{27F5799B-9AF4-4011-98E0-2D719A1E3DCC}"/>
    <cellStyle name="SAPBEXexcGood3" xfId="2208" xr:uid="{A8E13468-F3D5-4789-A86E-8E5D28051FE7}"/>
    <cellStyle name="SAPBEXfilterDrill" xfId="2209" xr:uid="{7BB337E0-7941-42EF-BABE-15FA08DF56B2}"/>
    <cellStyle name="SAPBEXfilterItem" xfId="2210" xr:uid="{277B1F65-3D7F-42CA-9F12-98225A3D4A1C}"/>
    <cellStyle name="SAPBEXfilterText" xfId="2211" xr:uid="{DB996E76-5073-4678-8CAF-62BF40DAEE92}"/>
    <cellStyle name="SAPBEXformats" xfId="2212" xr:uid="{C31C0350-AB31-4A70-9395-ABDD5B51812F}"/>
    <cellStyle name="SAPBEXheaderItem" xfId="2213" xr:uid="{E7EF521A-D6FB-452E-A2C2-BCC400B7B693}"/>
    <cellStyle name="SAPBEXheaderText" xfId="2214" xr:uid="{20B2BFB3-D1F1-4B0E-93C0-510D86E8384E}"/>
    <cellStyle name="SAPBEXHLevel0" xfId="2215" xr:uid="{1B2FC161-8237-41CE-A980-2453AE614467}"/>
    <cellStyle name="SAPBEXHLevel0X" xfId="2216" xr:uid="{FC8B6165-70B6-4F50-87FF-3700FE8AC2DE}"/>
    <cellStyle name="SAPBEXHLevel1" xfId="2217" xr:uid="{52CE0A6F-6991-4976-AD84-D8F1B5D813DC}"/>
    <cellStyle name="SAPBEXHLevel1X" xfId="2218" xr:uid="{2D577381-EE4A-4C69-9FEA-2FB595857003}"/>
    <cellStyle name="SAPBEXHLevel2" xfId="2219" xr:uid="{623A07E6-4FC8-4113-931E-E72740BF8958}"/>
    <cellStyle name="SAPBEXHLevel2X" xfId="2220" xr:uid="{4E14ED18-958E-4C86-8CE7-62B5722762D2}"/>
    <cellStyle name="SAPBEXHLevel3" xfId="2221" xr:uid="{B28489E6-3494-4DAB-AA27-FF137262BAAC}"/>
    <cellStyle name="SAPBEXHLevel3X" xfId="2222" xr:uid="{16982FA2-5FEA-4186-AB7E-5F6CEB665777}"/>
    <cellStyle name="SAPBEXresData" xfId="2223" xr:uid="{1885D4F9-4114-4455-BA7D-774E0AC0D6D3}"/>
    <cellStyle name="SAPBEXresDataEmph" xfId="2224" xr:uid="{AA643784-4193-4C0D-9833-33A7182B2E50}"/>
    <cellStyle name="SAPBEXresItem" xfId="2225" xr:uid="{40B67037-EFBE-439F-A557-88F8B5026DAE}"/>
    <cellStyle name="SAPBEXresItemX" xfId="2226" xr:uid="{02200963-030E-4AF2-8D55-74FE46659EFF}"/>
    <cellStyle name="SAPBEXstdData" xfId="2227" xr:uid="{1BD558FE-3383-4C0B-B4A4-19B7986984A2}"/>
    <cellStyle name="SAPBEXstdDataEmph" xfId="2228" xr:uid="{342D1922-ECFC-4325-905C-DC80554F49F9}"/>
    <cellStyle name="SAPBEXstdItem" xfId="2229" xr:uid="{EDE61213-8691-4D09-ADBB-AD9F9510FF29}"/>
    <cellStyle name="SAPBEXstdItemX" xfId="2230" xr:uid="{FDBEED97-53B8-48E3-9DC8-3C46BDFCDABA}"/>
    <cellStyle name="SAPBEXtitle" xfId="2231" xr:uid="{755FA66B-A971-454A-BADD-2FC5E9930DF1}"/>
    <cellStyle name="SAPBEXundefined" xfId="2232" xr:uid="{35E91582-E131-4481-A8AB-1D7A83A6322E}"/>
    <cellStyle name="SB_Normal" xfId="762" xr:uid="{32BCF39D-9D71-4E09-8594-C59503A25F74}"/>
    <cellStyle name="ScripFactor" xfId="364" xr:uid="{F6888AA0-85AA-40C0-8BB4-B8E2FF3122F2}"/>
    <cellStyle name="ScripFactor 2" xfId="763" xr:uid="{4617FDA5-C26A-4101-BFFF-29DCE73F1639}"/>
    <cellStyle name="ScripFactor 3" xfId="2233" xr:uid="{1C763673-A422-4CE8-B483-79732A04528A}"/>
    <cellStyle name="ScripFactor 3 2" xfId="2234" xr:uid="{56EE7AF5-0D93-41BC-B8E3-1A7A893855BB}"/>
    <cellStyle name="ScripFactor 4" xfId="2235" xr:uid="{2D73069E-1EE9-4C29-B636-BD9BEF19AC1C}"/>
    <cellStyle name="ScripFactor 5" xfId="2236" xr:uid="{75A964BA-CE0A-4992-91A2-84CE3D518D90}"/>
    <cellStyle name="Section name" xfId="2237" xr:uid="{26A4D218-0F7A-4E04-982F-3A3A46E3EE0B}"/>
    <cellStyle name="Section Title" xfId="365" xr:uid="{7773AEC9-95BF-49FE-960A-E9935875CB07}"/>
    <cellStyle name="Section Title 2" xfId="2238" xr:uid="{29A67AFF-17A6-4C61-928D-2EA6FF2DC179}"/>
    <cellStyle name="Section Title 3" xfId="2239" xr:uid="{3D16A7D2-5C7B-4247-B81A-502593B825B3}"/>
    <cellStyle name="Section Title 3 2" xfId="2240" xr:uid="{9E50DFAF-C42B-4FCE-B318-47F37D558F4F}"/>
    <cellStyle name="SectionHeading" xfId="366" xr:uid="{119480B1-188B-43EB-A474-64FA34087F32}"/>
    <cellStyle name="SectionHeading 2" xfId="764" xr:uid="{30CE89BE-0D2E-4C9D-98B2-7D1D2AB455AE}"/>
    <cellStyle name="SectionHeading 3" xfId="2241" xr:uid="{77E1180E-7ECA-4586-B17F-BB190E30A908}"/>
    <cellStyle name="SectionHeading 3 2" xfId="2242" xr:uid="{B6A53554-1A62-4B30-AAD0-62E21CDC4E88}"/>
    <cellStyle name="Separador de milhares_Balancete_TSD_2003" xfId="2243" xr:uid="{C259658A-4A80-445C-9269-5397B6096674}"/>
    <cellStyle name="Separador de milhar㳥s_gerencial 99 Telesp Celular.xls Gráfico 1" xfId="2244" xr:uid="{C43EA34A-0630-4F72-BA65-F6AB43FBCF78}"/>
    <cellStyle name="ShadedCells_Database" xfId="765" xr:uid="{93C07168-4956-41D0-8898-8C4576648E7C}"/>
    <cellStyle name="Share" xfId="766" xr:uid="{925E3E69-D8DB-4A18-A313-0F38EC85D5C6}"/>
    <cellStyle name="Share 2" xfId="1205" xr:uid="{7E530E1A-323E-4BEF-A153-C0AD43C955B5}"/>
    <cellStyle name="Shares" xfId="367" xr:uid="{ECE0CB20-455C-4F6E-8B88-94BFE99F191B}"/>
    <cellStyle name="Shares 2" xfId="767" xr:uid="{CDD8BFBD-572C-46D8-99D2-8DC56340347B}"/>
    <cellStyle name="Shares 2 2" xfId="2245" xr:uid="{A6403EF7-A297-4E08-94B4-D4FEC159126B}"/>
    <cellStyle name="Sheet Title" xfId="768" xr:uid="{A17C3BBF-F8F4-4071-B647-A248DC699FEB}"/>
    <cellStyle name="Single Accounting" xfId="368" xr:uid="{029EF328-1470-4AC6-A6D6-AE9B84B0EE97}"/>
    <cellStyle name="Small Number" xfId="369" xr:uid="{7C4DFE75-E911-4519-9979-36E808A95AE1}"/>
    <cellStyle name="Small Number 2" xfId="2246" xr:uid="{7700F4C2-3F68-4CEB-80C7-D34ACA383D73}"/>
    <cellStyle name="Small Number 3" xfId="2247" xr:uid="{708044A6-1F72-40EF-BAE8-A30C67B9D261}"/>
    <cellStyle name="Small Number 3 2" xfId="2248" xr:uid="{98627214-ADC7-48CE-8638-2F6F2074D027}"/>
    <cellStyle name="Small Percentage" xfId="370" xr:uid="{4409D845-A061-4CD5-A260-D58EF803F632}"/>
    <cellStyle name="Small Percentage 2" xfId="2249" xr:uid="{41E8C5E8-4155-4B56-B451-2F048FC7D700}"/>
    <cellStyle name="Small Percentage 3" xfId="2250" xr:uid="{8FD64C38-7452-4643-8F25-994BF04C89D4}"/>
    <cellStyle name="Small Percentage 3 2" xfId="2251" xr:uid="{776D7AA1-52F2-4845-B66D-74484A93736B}"/>
    <cellStyle name="Source" xfId="769" xr:uid="{7730E253-A405-428E-8B4E-66E1C67D2017}"/>
    <cellStyle name="Source Line" xfId="770" xr:uid="{888D6044-33B8-477B-9EBE-30EDB73453ED}"/>
    <cellStyle name="Sous titre" xfId="371" xr:uid="{D3A194A7-07C7-48C4-BF4E-183C38D06FB8}"/>
    <cellStyle name="Spreadsheet title" xfId="2252" xr:uid="{6E50C4F7-C710-4EB9-BE36-6E3EF31BAB22}"/>
    <cellStyle name="SS1000" xfId="771" xr:uid="{346E642D-2808-4352-8692-F39592D095A4}"/>
    <cellStyle name="Standaard_KPN" xfId="372" xr:uid="{967A1E84-F990-4C23-A3E3-B0EE8F759B4C}"/>
    <cellStyle name="Standard" xfId="373" xr:uid="{B0624067-307C-48B2-BDDA-B3D083726427}"/>
    <cellStyle name="Standard 2" xfId="2253" xr:uid="{C39C2A99-AFAD-48D1-A164-FB5F7F65F2E4}"/>
    <cellStyle name="Standard 3" xfId="2254" xr:uid="{F31F30CB-CE29-4ABE-95F0-6866FD0D33F9}"/>
    <cellStyle name="Standard 3 2" xfId="2255" xr:uid="{4BF1D933-3A70-422B-917E-D615DF5FB9BB}"/>
    <cellStyle name="Strange" xfId="374" xr:uid="{25B625DF-D8D6-4B80-AE10-A038E13F57FE}"/>
    <cellStyle name="Strange 2" xfId="772" xr:uid="{B4EF1B61-7842-48FF-AE93-4C50518E71D5}"/>
    <cellStyle name="STYL1 - Style1" xfId="375" xr:uid="{DFEF0AD4-947A-420A-BFC4-A002F73C763A}"/>
    <cellStyle name="Style 1" xfId="12" xr:uid="{3ADA385E-A6AE-4524-B267-38E49DB52E2A}"/>
    <cellStyle name="Style 1 2" xfId="773" xr:uid="{52D9985E-4AEE-4EEA-9047-B769A1484463}"/>
    <cellStyle name="Style 1 3" xfId="2256" xr:uid="{7578432D-F225-42F0-8F68-C6FC8F970046}"/>
    <cellStyle name="Style 1 3 2" xfId="2257" xr:uid="{2C955817-91AA-41CA-824A-DB8B1CF90EEF}"/>
    <cellStyle name="Style 1 4" xfId="2258" xr:uid="{D9EF7DCD-B11B-4D62-A460-90C76B6537C6}"/>
    <cellStyle name="Style 1 5" xfId="2259" xr:uid="{90622B81-432F-466F-BC73-D1063D6BA445}"/>
    <cellStyle name="Style 2" xfId="2260" xr:uid="{3FB6D1F9-8D96-409A-89AD-59E5AA8C9D9B}"/>
    <cellStyle name="Style D" xfId="774" xr:uid="{5DCAA8F3-BB45-4569-B358-371C0E635C9A}"/>
    <cellStyle name="Style D green" xfId="775" xr:uid="{47DCD268-1996-4A91-B160-7AE697273554}"/>
    <cellStyle name="Style D_BPCitigroupWIP" xfId="776" xr:uid="{190B03D6-44D7-419C-9347-A372944D7F64}"/>
    <cellStyle name="Style E" xfId="777" xr:uid="{A89BD709-1FE0-42E9-8597-5C0BC1000A89}"/>
    <cellStyle name="Style G" xfId="778" xr:uid="{0EDFEDC0-2BFB-4170-8D30-2A3CA7B437A3}"/>
    <cellStyle name="Sub Category Title" xfId="779" xr:uid="{7F443CCF-6C71-41C0-A532-33AC46DB780B}"/>
    <cellStyle name="Sub total" xfId="780" xr:uid="{664688CF-4CD6-4EBB-A2F3-A33A0535A637}"/>
    <cellStyle name="Sub total 2" xfId="1430" xr:uid="{68D34266-6501-419F-B6B5-A22855943B2A}"/>
    <cellStyle name="Subhead" xfId="377" xr:uid="{3AF23954-22E3-4CC0-9241-D8C3DB4A7B89}"/>
    <cellStyle name="Subhead 2" xfId="781" xr:uid="{5CF840C6-6887-4433-8FCB-9C29D9B60FC3}"/>
    <cellStyle name="subhead 2 2" xfId="2261" xr:uid="{03E5C824-1A6E-4A9F-9DD9-D7D44A713E23}"/>
    <cellStyle name="subhead 3" xfId="2262" xr:uid="{79B72901-D318-49DB-9B87-A176EB1CABA9}"/>
    <cellStyle name="Subhead 4" xfId="2263" xr:uid="{3C01DA3D-9060-4207-88CF-58546C78AE2F}"/>
    <cellStyle name="Subhead 5" xfId="2264" xr:uid="{CE9BBF50-2D66-4AB9-A3C5-C8F98411AC34}"/>
    <cellStyle name="Subtitle" xfId="782" xr:uid="{DDA85C09-580C-4227-BD5B-A991D06BED25}"/>
    <cellStyle name="Sub-titulo" xfId="2265" xr:uid="{DF80B106-B8D1-4224-BF65-CD7448917B89}"/>
    <cellStyle name="Sub-titulo 2" xfId="2266" xr:uid="{6B1B6CDF-45EF-402C-8BF1-A1357BDC0EF8}"/>
    <cellStyle name="Sub-titulo_Analise PDD 2003 " xfId="2267" xr:uid="{C2F5D002-6CA9-4BCD-835E-C8C67D44863B}"/>
    <cellStyle name="Subtotal" xfId="2268" xr:uid="{DD33900F-5F12-45AA-98A5-BEBE60B6F661}"/>
    <cellStyle name="Sub-total" xfId="2269" xr:uid="{FEF5E0A0-8293-48EB-904F-1207684F11E5}"/>
    <cellStyle name="Sub-total row" xfId="378" xr:uid="{DB73F807-A12A-49EB-AD67-80A4FC938444}"/>
    <cellStyle name="Subtotal_Informe Orcamento 2002" xfId="2270" xr:uid="{10C4702A-7202-4DE2-8609-89460CFA3033}"/>
    <cellStyle name="subtots" xfId="783" xr:uid="{398249FA-E497-4872-A75D-F2457623B531}"/>
    <cellStyle name="SymbolBlue" xfId="784" xr:uid="{16CBA8C1-5EE3-4248-A7BF-76F85C44CBF4}"/>
    <cellStyle name="SymbolBlue 2" xfId="1431" xr:uid="{681E88E2-605D-461C-BA60-879784803E84}"/>
    <cellStyle name="Table" xfId="379" xr:uid="{E759FA3B-AFC3-4CAE-AD28-EEA274847265}"/>
    <cellStyle name="Table - ColumnHeading Number" xfId="2271" xr:uid="{CBE2A54B-E3D7-4BAB-813F-572C666C2620}"/>
    <cellStyle name="Table - ColumnHeading Text" xfId="2272" xr:uid="{9C24D5F7-B2AE-472A-8774-9F26279C01AE}"/>
    <cellStyle name="Table - Heading Left" xfId="2273" xr:uid="{553AD860-EEB1-44E1-9673-58F7CEF4EC59}"/>
    <cellStyle name="Table - Number" xfId="2274" xr:uid="{E3E56056-4A4F-4B2E-B483-05DB2B5D3DEC}"/>
    <cellStyle name="Table - Number Subtotal" xfId="2275" xr:uid="{AC9FCEC7-193F-49A3-B2AA-786F665D47E3}"/>
    <cellStyle name="Table - Number Total" xfId="2276" xr:uid="{51984DE2-FBAD-42C6-BB06-869B22A7C0B7}"/>
    <cellStyle name="Table - Text" xfId="2277" xr:uid="{B27B589F-A843-4695-AE1B-7A0AE74FE2B0}"/>
    <cellStyle name="Table - Text Bold" xfId="2278" xr:uid="{0BF9D074-2922-48B7-BC82-EA46E08C8CC1}"/>
    <cellStyle name="Table - Text Subtotal" xfId="2279" xr:uid="{4A09F180-4F64-40EF-BDC7-0C9258F52A58}"/>
    <cellStyle name="Table - Text Total" xfId="2280" xr:uid="{D653BE08-EE91-48CC-B766-1AAE1168E9E0}"/>
    <cellStyle name="Table 2" xfId="2281" xr:uid="{5696773D-F203-4749-A471-EA45E7060611}"/>
    <cellStyle name="Table 2 2" xfId="2282" xr:uid="{7257FEC9-AB8C-44E8-9348-907AFB07C9A3}"/>
    <cellStyle name="Table end" xfId="785" xr:uid="{50C7A03A-F11A-4991-83F0-4DA967120A64}"/>
    <cellStyle name="Table finish row" xfId="380" xr:uid="{F676D37B-7A0D-4A08-8A13-70E7C5912481}"/>
    <cellStyle name="Table finish row 2" xfId="1312" xr:uid="{3253CFF7-798A-4F96-9B79-49B4DF152CE5}"/>
    <cellStyle name="Table Head" xfId="381" xr:uid="{62531D06-8AF0-4FD5-AF84-47AD198877E5}"/>
    <cellStyle name="Table head 2" xfId="786" xr:uid="{EB10BA31-5225-4D99-A442-D2307BCFEF0B}"/>
    <cellStyle name="Table Head 2 2" xfId="2283" xr:uid="{BA45C14B-A765-4100-9AAD-346417D749AC}"/>
    <cellStyle name="Table Head 3" xfId="2284" xr:uid="{7E94EF0E-3B79-422A-934B-9FCEF8CFFADB}"/>
    <cellStyle name="Table Head 4" xfId="2285" xr:uid="{99721389-40C3-4937-9FBE-6200EF40BBA4}"/>
    <cellStyle name="Table Head 5" xfId="2286" xr:uid="{6DEF4561-3031-4BF8-AD77-58888CEA028E}"/>
    <cellStyle name="Table Head Aligned" xfId="382" xr:uid="{168E8DB4-3746-4585-AEFB-34FCE08BBECD}"/>
    <cellStyle name="Table Head Aligned 2" xfId="787" xr:uid="{27A2345B-4250-4485-9DFA-31B025751C7F}"/>
    <cellStyle name="Table Head Blue" xfId="383" xr:uid="{FB409589-BFDD-4FA3-9C97-80C0526A89B3}"/>
    <cellStyle name="Table Head Blue 2" xfId="788" xr:uid="{A197ADC2-92C1-4A43-8DD4-E29F73E4451D}"/>
    <cellStyle name="Table Head Blue 3" xfId="2287" xr:uid="{B4D6D0B4-C195-45A5-B5DA-6A584749416F}"/>
    <cellStyle name="Table Head Blue 3 2" xfId="2288" xr:uid="{B8125008-B221-4DE3-8506-FBD391C82A7B}"/>
    <cellStyle name="Table Head Blue 4" xfId="2289" xr:uid="{542A8C6E-D43B-4865-AE56-16FFE2631D98}"/>
    <cellStyle name="Table Head Green" xfId="384" xr:uid="{3E420902-52F0-4D42-9AAC-F46AB5A09EA7}"/>
    <cellStyle name="Table Head Green 2" xfId="789" xr:uid="{3299F704-CC14-44D7-8870-62620168317B}"/>
    <cellStyle name="Table Head Green 3" xfId="2290" xr:uid="{905E1CC8-C746-4D47-8A60-6ADF0FC6D67D}"/>
    <cellStyle name="Table Head Green 3 2" xfId="2291" xr:uid="{FCB48DF3-A608-4167-8472-170210942AA0}"/>
    <cellStyle name="Table Head Green 4" xfId="2292" xr:uid="{30232FD0-EC75-408C-8656-EE101CEC7E5F}"/>
    <cellStyle name="Table head_AMT Model New 11-16-2011" xfId="1063" xr:uid="{19B645AF-5393-4AE9-99FD-AC8792AFBD9A}"/>
    <cellStyle name="Table Heading" xfId="790" xr:uid="{AFCFCD27-5736-487F-8650-69D1AB4C4ED2}"/>
    <cellStyle name="table numbers 1" xfId="385" xr:uid="{0C0FE4DD-8D7A-4FFA-9D98-17C6DB9C36B9}"/>
    <cellStyle name="Table numbers 2" xfId="386" xr:uid="{2E6B4268-DD99-4929-9AE6-62AC8B45A055}"/>
    <cellStyle name="Table shading" xfId="387" xr:uid="{C8E4D300-3EFE-494D-90AB-BAD82C157D14}"/>
    <cellStyle name="Table shading 2" xfId="1313" xr:uid="{A965B82E-C6BF-4C6F-9E50-1BC338FE63E5}"/>
    <cellStyle name="Table Source" xfId="388" xr:uid="{C9768291-DCB9-4972-BD89-DC7C72BDBC8B}"/>
    <cellStyle name="Table Source 2" xfId="2293" xr:uid="{88F8FC86-4604-4AE0-8E66-F151E5DC6481}"/>
    <cellStyle name="Table Source 2 2" xfId="2294" xr:uid="{9F8A95A2-A16D-40F2-B0BC-727ADC305A05}"/>
    <cellStyle name="Table sub head" xfId="2295" xr:uid="{2C5172A2-E7DD-42B3-B0C3-68D81B560AC1}"/>
    <cellStyle name="Table Text" xfId="389" xr:uid="{AC17C2C7-D1C1-4AE5-9EC0-577941BE7651}"/>
    <cellStyle name="Table Text 2" xfId="2296" xr:uid="{4D61776F-2C1E-413A-925E-6DF4195F5CDE}"/>
    <cellStyle name="Table Text 2 2" xfId="2297" xr:uid="{6F5A968E-A59B-4512-A0AF-8CD942A4DE48}"/>
    <cellStyle name="Table Title" xfId="390" xr:uid="{4CBD4B4A-1E9F-4A10-8E2A-6A6248B4F679}"/>
    <cellStyle name="Table Title 2" xfId="791" xr:uid="{4A12E63F-95AD-40F8-A981-2CE768041600}"/>
    <cellStyle name="Table Title 2 2" xfId="2298" xr:uid="{0A5BF2FA-A5CB-44A7-A4AC-D0F94B4345A3}"/>
    <cellStyle name="Table Title 3" xfId="2299" xr:uid="{FBC014AD-CAB4-42E2-806D-62D063C0B841}"/>
    <cellStyle name="Table Title 4" xfId="2300" xr:uid="{72FB8C2F-D24A-4809-83D9-A277379D1483}"/>
    <cellStyle name="Table Title 5" xfId="2301" xr:uid="{FF9C5EB3-3CD8-4374-A159-786232EA6327}"/>
    <cellStyle name="Table unfinish row" xfId="391" xr:uid="{6C80767B-AB05-46F9-960B-9D2C254244BA}"/>
    <cellStyle name="Table unfinish row 2" xfId="1314" xr:uid="{F99E3C44-0549-40C0-BAB3-A01E3F666F63}"/>
    <cellStyle name="Table Units" xfId="392" xr:uid="{1EDD183C-4FAE-40C7-9865-68A0B376C40D}"/>
    <cellStyle name="Table Units 2" xfId="792" xr:uid="{0D6BE6D0-704A-4438-9013-5DE849691492}"/>
    <cellStyle name="Table Units 2 2" xfId="2302" xr:uid="{1C244D4E-58C2-488E-ACFE-D3AADF482BD8}"/>
    <cellStyle name="Table Units 3" xfId="2303" xr:uid="{66E9B8BA-17F6-4AD6-A19F-F5A3192D7695}"/>
    <cellStyle name="Table Units 4" xfId="2304" xr:uid="{ABF42BF7-F1FC-4E08-8B47-AD78D25FCBF0}"/>
    <cellStyle name="Table Units 5" xfId="2305" xr:uid="{47CAC562-270E-41BE-8188-093F434D5BAA}"/>
    <cellStyle name="Table unshading" xfId="393" xr:uid="{0C88431B-3408-4DA0-85C4-7F5AB630F420}"/>
    <cellStyle name="Table unshading 2" xfId="1315" xr:uid="{8FF8A0AF-A523-400D-8325-EE80A5AECC97}"/>
    <cellStyle name="Table_AMT Model New 11-16-2011" xfId="1064" xr:uid="{E84D4581-E196-40CA-A068-31DABA44F0F7}"/>
    <cellStyle name="TableBody" xfId="793" xr:uid="{F102E2B8-F413-4FD5-938A-CC38485E22B7}"/>
    <cellStyle name="TableBodyR" xfId="794" xr:uid="{03BB078B-970D-4DF5-976E-32105EACB9D2}"/>
    <cellStyle name="TableBorder" xfId="394" xr:uid="{EBC68456-AE8B-47BD-9717-5E709F010956}"/>
    <cellStyle name="TableBorder 2" xfId="2306" xr:uid="{D65507D3-89CF-4C5D-AE28-361564A8F077}"/>
    <cellStyle name="TableBorder 3" xfId="2307" xr:uid="{B6EB67F5-456C-4D78-9C06-5E7C089AE8D6}"/>
    <cellStyle name="TableBorder 3 2" xfId="2308" xr:uid="{FB39C661-401D-47E6-93C2-AD66C6B8578C}"/>
    <cellStyle name="TableColHeads" xfId="795" xr:uid="{596E02D1-529A-44C1-929E-E0FACFE8207C}"/>
    <cellStyle name="TableFootnotes" xfId="395" xr:uid="{8A7EF169-8970-43DC-B1B1-B3E34498F9DB}"/>
    <cellStyle name="TableFootnotes 2" xfId="2309" xr:uid="{69944751-61EE-46D3-B115-6E6E7BEED775}"/>
    <cellStyle name="TableFootnotes 2 2" xfId="2310" xr:uid="{2166A3A6-EFA1-4586-9713-684FD6B985A6}"/>
    <cellStyle name="TableTitleFormat" xfId="396" xr:uid="{74CE9BB9-7A87-468C-B5FB-D70F7D927211}"/>
    <cellStyle name="TableTitleFormat 2" xfId="2311" xr:uid="{F15B3089-67CF-4D1C-9207-0EF9554239BE}"/>
    <cellStyle name="TableTitleFormat 2 2" xfId="2312" xr:uid="{A4B2ABC2-DE37-4CDF-8621-E1E2244B7674}"/>
    <cellStyle name="TableTitleFormat 3" xfId="2313" xr:uid="{05AC8CB6-890E-4D93-9891-DC2433C40671}"/>
    <cellStyle name="Test [green]" xfId="397" xr:uid="{AB7F3556-8B7A-4497-9D0E-C145266C9FC6}"/>
    <cellStyle name="Test [green] 2" xfId="796" xr:uid="{6AA25534-C6FB-4A32-8246-A41AE707FF50}"/>
    <cellStyle name="Test [green] 2 2" xfId="2314" xr:uid="{575AE9A9-FF37-4025-9329-BF67EBB0C00F}"/>
    <cellStyle name="test a style" xfId="398" xr:uid="{E5B9533F-E720-470E-AA31-4C3D0671AF44}"/>
    <cellStyle name="Text" xfId="399" xr:uid="{DB7D3652-DACB-46EF-9822-B7B20106F798}"/>
    <cellStyle name="Text 1" xfId="400" xr:uid="{95C29F02-D7F8-4FBE-B675-E8EEF96E9EE4}"/>
    <cellStyle name="Text 1 2" xfId="2315" xr:uid="{7C11AF27-6242-45A5-B5BA-5593F5C2BC07}"/>
    <cellStyle name="Text 1 2 2" xfId="2316" xr:uid="{1CF82869-666F-47A6-AD43-42F07D74CC15}"/>
    <cellStyle name="Text 2" xfId="401" xr:uid="{92A1E3A3-7FFE-4B76-840F-E1E1556D1A15}"/>
    <cellStyle name="Text 2 2" xfId="2317" xr:uid="{0729EF5C-F796-400C-8CAA-A75ED7581D83}"/>
    <cellStyle name="Text 2 2 2" xfId="2318" xr:uid="{F71C6FEF-398A-4531-A727-2F73A2536A4F}"/>
    <cellStyle name="Text 3" xfId="1316" xr:uid="{EE060EB3-048A-445A-A005-CFC98EEBD0B9}"/>
    <cellStyle name="Text Head 1" xfId="402" xr:uid="{CC244EC0-E016-432B-AF8E-AA5C34794087}"/>
    <cellStyle name="Text Head 1 2" xfId="2319" xr:uid="{6EF395C2-63CE-4C0A-A4BD-A48A1BDA1C39}"/>
    <cellStyle name="Text Head 1 2 2" xfId="2320" xr:uid="{821DE2E6-C865-48E6-AF58-505B2BE4A298}"/>
    <cellStyle name="Text Head 2" xfId="403" xr:uid="{AB4B88AF-6EED-4DBB-9C59-926EF5894070}"/>
    <cellStyle name="Text Head 2 2" xfId="2321" xr:uid="{BB2C61A6-7845-43CF-8792-0D84786D7ADF}"/>
    <cellStyle name="Text Head 2 2 2" xfId="2322" xr:uid="{34DFD575-17F9-4C7C-97D9-F1245982E3CE}"/>
    <cellStyle name="Text Indent 1" xfId="404" xr:uid="{FEDFF6DB-72B7-4EBF-A27B-F7D5050714D6}"/>
    <cellStyle name="Text Indent 1 2" xfId="2323" xr:uid="{EA4979A7-EF8E-4BE9-A726-05E6EDE93397}"/>
    <cellStyle name="Text Indent 1 2 2" xfId="2324" xr:uid="{02E05F6F-065F-40FC-B7A5-3F0A1DCB1F84}"/>
    <cellStyle name="Text Indent 2" xfId="405" xr:uid="{E9ACC0D7-08E3-460A-A2B1-70938557E02D}"/>
    <cellStyle name="Text Indent 2 2" xfId="2325" xr:uid="{4B851549-DC7B-449E-9950-03E94577AAC6}"/>
    <cellStyle name="Text Indent 2 2 2" xfId="2326" xr:uid="{D2EF68C5-DB4A-4188-BC75-23CC87478E56}"/>
    <cellStyle name="TFCF" xfId="406" xr:uid="{143E1171-0E2A-4CE0-8915-14D5FF5CBB30}"/>
    <cellStyle name="TFCF 2" xfId="797" xr:uid="{64D4FC21-B8C4-4BE2-83D4-71D89B246593}"/>
    <cellStyle name="TFCF 2 2" xfId="2327" xr:uid="{75BC4E4D-3174-4102-9C47-78F400344891}"/>
    <cellStyle name="threedecplace" xfId="798" xr:uid="{2D8364DB-88FF-4180-A2FE-E3E468670928}"/>
    <cellStyle name="Time Strip" xfId="407" xr:uid="{ABA1A2A6-5EE6-4E66-BBDA-F9F67CAF8B7E}"/>
    <cellStyle name="Time Strip 2" xfId="2328" xr:uid="{2B6BF5B6-9F8F-449B-B5C4-16239BED551C}"/>
    <cellStyle name="Time Strip 2 2" xfId="2329" xr:uid="{53C65FD1-2E98-42B8-9B98-CD2C537B8F1C}"/>
    <cellStyle name="times" xfId="408" xr:uid="{36936A8C-548D-4C86-BEC0-0E3273F91504}"/>
    <cellStyle name="Times 10" xfId="409" xr:uid="{4AFE1345-A9D5-45C0-8722-AB196DB1520E}"/>
    <cellStyle name="Times 10 2" xfId="2330" xr:uid="{CDA45B07-F821-40DA-B6BC-AE65AAE83E5F}"/>
    <cellStyle name="Times 12" xfId="410" xr:uid="{3ABE5763-85F0-420C-8AF6-F2E9F370385D}"/>
    <cellStyle name="times 2" xfId="2331" xr:uid="{F684194D-473C-467C-8490-DF96B2679103}"/>
    <cellStyle name="times 2 2" xfId="2332" xr:uid="{D9F951C2-DF76-4602-B88E-D47893CE165E}"/>
    <cellStyle name="times 3" xfId="2333" xr:uid="{E29A16FC-9C2B-4BBD-88DF-F7CB33030C08}"/>
    <cellStyle name="times 3 2" xfId="2334" xr:uid="{957F8D5F-9695-491F-9278-3F1CE647CACA}"/>
    <cellStyle name="times_Deutsche" xfId="411" xr:uid="{02739E35-E632-4415-A077-E380B9CA1220}"/>
    <cellStyle name="Title 2" xfId="903" xr:uid="{22965609-01FC-49E7-8F7A-B0C5085B2785}"/>
    <cellStyle name="Title 2 2" xfId="2335" xr:uid="{8DB2603E-9F7A-4C27-8609-6F715037871D}"/>
    <cellStyle name="Title 2 3" xfId="2336" xr:uid="{47326142-AD9F-4BE9-9C8A-106379ACE3D0}"/>
    <cellStyle name="Title 2 3 2" xfId="2337" xr:uid="{0F87F3CD-9B29-4A1F-9C0C-D8171215FD3F}"/>
    <cellStyle name="Title 3" xfId="1066" xr:uid="{A5F9E829-CACA-488C-B1E7-152BA2234414}"/>
    <cellStyle name="Title 4" xfId="1317" xr:uid="{864366B8-83C1-4724-A38D-384E506F1E77}"/>
    <cellStyle name="Title 5" xfId="2338" xr:uid="{8A397866-D4C1-435A-8332-008390D7D3B0}"/>
    <cellStyle name="Title 6" xfId="2339" xr:uid="{D6FDBCA8-148F-4E13-92B8-6ABE784EFBB8}"/>
    <cellStyle name="Title 7" xfId="2340" xr:uid="{1DDE17A7-BB60-453E-86A4-85C2B6254D1E}"/>
    <cellStyle name="Title 8" xfId="412" xr:uid="{E49F186F-2E1E-464D-B0FB-8A1219A2B200}"/>
    <cellStyle name="Title Heading" xfId="413" xr:uid="{A1955681-E0CA-4E25-A13D-1B2FB6B3C688}"/>
    <cellStyle name="Title Heading 2" xfId="2341" xr:uid="{3244B65B-25B7-415B-9D26-6F5D579F0079}"/>
    <cellStyle name="Title Heading 3" xfId="2342" xr:uid="{DB0C5710-A3B2-44C2-BE13-4B1D37766744}"/>
    <cellStyle name="Title Heading 3 2" xfId="2343" xr:uid="{1C95AA94-899F-44D7-BB80-B7AA737E3F68}"/>
    <cellStyle name="Title II" xfId="414" xr:uid="{E05F0B40-E360-469B-A11F-7D615F35A128}"/>
    <cellStyle name="Title II 2" xfId="2344" xr:uid="{026C4F1C-5A2F-4B5B-9BCB-B8168C404E7B}"/>
    <cellStyle name="Title II 2 2" xfId="2345" xr:uid="{4DA9EE57-A79F-4379-B680-6923ECACAE0F}"/>
    <cellStyle name="Title Line" xfId="799" xr:uid="{5506BC3F-0BB4-4DBA-9A55-7B9B16D9AF41}"/>
    <cellStyle name="title1" xfId="415" xr:uid="{8700120C-27A0-4522-B934-F88AC1E50528}"/>
    <cellStyle name="Title1 2" xfId="800" xr:uid="{2333DBBC-303F-42FB-A164-817B027155D1}"/>
    <cellStyle name="title1 2 2" xfId="2346" xr:uid="{B3710B23-D95E-4A20-B1CA-ECDAAE5D4362}"/>
    <cellStyle name="Title2" xfId="416" xr:uid="{415D155E-ABA5-4555-B4BD-9BF55DB62137}"/>
    <cellStyle name="Title2 2" xfId="801" xr:uid="{80C0F47F-7760-4758-B07F-9DFD57A77D15}"/>
    <cellStyle name="Title2 2 2" xfId="2347" xr:uid="{23A26CD2-1D48-485B-9012-8EEA0FE8940E}"/>
    <cellStyle name="TitleII" xfId="417" xr:uid="{AF8F45CC-C609-405D-BDF8-5E386A90B2B5}"/>
    <cellStyle name="TitleII 2" xfId="2348" xr:uid="{1328532E-83A2-487B-90D1-C3EE7965A6DE}"/>
    <cellStyle name="TitleII 2 2" xfId="2349" xr:uid="{0CA4E095-9BEB-4EF9-84F4-36EA4CBA18CD}"/>
    <cellStyle name="Titles" xfId="418" xr:uid="{0C7B22E4-004A-4E8A-BE04-BA270292E77E}"/>
    <cellStyle name="Titles 2" xfId="802" xr:uid="{08B99857-3DEC-4712-8AA7-4CDA25504E7C}"/>
    <cellStyle name="Titles 3" xfId="2350" xr:uid="{89BBAB54-ED90-4321-8EEF-9FBB12D4FDDB}"/>
    <cellStyle name="Titles 3 2" xfId="2351" xr:uid="{FF89729B-A319-42F6-A4F5-88886F677CFA}"/>
    <cellStyle name="Titre" xfId="419" xr:uid="{B182E322-F81C-4BE2-90C8-18D280AC6B28}"/>
    <cellStyle name="Título 1" xfId="2352" xr:uid="{07FB76C3-BBC2-4AC8-9DA3-FF66E65581EF}"/>
    <cellStyle name="Título 2" xfId="2353" xr:uid="{D8BDAFA8-1BEE-456A-8C33-6A768D0CFD78}"/>
    <cellStyle name="Titulo1" xfId="2354" xr:uid="{B7C67985-4DFA-495A-B2E7-3166F58A40D1}"/>
    <cellStyle name="Titulo2" xfId="2355" xr:uid="{BC45689A-BD6E-4DB4-9F0A-0339FA5EC3F4}"/>
    <cellStyle name="Titulo-Seccion" xfId="2356" xr:uid="{EC4CA1AB-EC41-4883-AB4F-8920889C44C9}"/>
    <cellStyle name="TOC 1" xfId="420" xr:uid="{3987AE72-F951-4AD4-A67B-BBCA5265A8EB}"/>
    <cellStyle name="TOC 1 2" xfId="2357" xr:uid="{6D34FA91-B12A-4B1B-82A0-8693F946BD3F}"/>
    <cellStyle name="TOC 1 2 2" xfId="2358" xr:uid="{19CE1335-743F-4231-84B5-85991DBBF1D9}"/>
    <cellStyle name="TOC 2" xfId="421" xr:uid="{0E484BBE-1F7C-4296-B4B8-99EA1CC48B3B}"/>
    <cellStyle name="TOC 2 2" xfId="2359" xr:uid="{67331E6F-33D5-4A29-9A38-F93A306E7C97}"/>
    <cellStyle name="TOC 2 2 2" xfId="2360" xr:uid="{CC2BF36C-DB82-4188-A672-9956BB24D867}"/>
    <cellStyle name="tom" xfId="422" xr:uid="{C7EBDEA0-E789-4E7F-AA8A-0D41E793DAF6}"/>
    <cellStyle name="tom 2" xfId="803" xr:uid="{7C246ACF-6A55-48AE-ABD1-2F76D5486472}"/>
    <cellStyle name="tom 2 2" xfId="2361" xr:uid="{07D1A27E-E229-4890-AEFC-75AEF3673457}"/>
    <cellStyle name="Top Row" xfId="804" xr:uid="{992F65E2-8191-43CA-B239-D0CE39BBB2C0}"/>
    <cellStyle name="TopGrey" xfId="805" xr:uid="{50DDCB4D-B2C8-4EF1-B18F-235E85BB54FA}"/>
    <cellStyle name="Topline" xfId="423" xr:uid="{739C21A3-1EEB-41F2-AC66-99B7F3803E68}"/>
    <cellStyle name="Topline 2" xfId="1318" xr:uid="{182A9F6B-D4F0-427E-8F51-1AA7A526592E}"/>
    <cellStyle name="Total 2" xfId="904" xr:uid="{D7D91124-3DDA-40A0-AB84-CD7DD3489C7C}"/>
    <cellStyle name="Total 3" xfId="1069" xr:uid="{AF9EBFE5-1720-4710-9019-CC3A33CED512}"/>
    <cellStyle name="Total 3 2" xfId="1474" xr:uid="{4F89ED68-A498-48F5-BBF1-6C525DE7F6D7}"/>
    <cellStyle name="Total 4" xfId="1319" xr:uid="{8DCB68AF-EC21-4C08-A76C-E3FBA694224F}"/>
    <cellStyle name="Total 5" xfId="424" xr:uid="{EA8BA48E-47D6-49FB-A462-589279FC6ACB}"/>
    <cellStyle name="Total row" xfId="425" xr:uid="{98D55C1D-3722-4F4F-A78B-5F4C87F16055}"/>
    <cellStyle name="Total Row 2" xfId="806" xr:uid="{E41484C5-81E8-4ACA-8AA1-32C2B5EE05C5}"/>
    <cellStyle name="Total row 3" xfId="2362" xr:uid="{F52EA42A-7E8B-4C08-80AF-7300BA015DB2}"/>
    <cellStyle name="Tusenskille_Korrigeringer for å nettoføre VØT" xfId="426" xr:uid="{186B7518-8F51-4D9A-8675-CA58E1649DBC}"/>
    <cellStyle name="Tusental (0)_1998-Q2" xfId="427" xr:uid="{ABBC7184-9F9C-4B3A-8C1C-F912CAB2A751}"/>
    <cellStyle name="Tusental_1998-Q4-NORGE" xfId="428" xr:uid="{E69AF191-A6B0-4D51-BD2A-B8EEE76BEF07}"/>
    <cellStyle name="twodecplace" xfId="807" xr:uid="{9362AF96-3021-4982-AB54-3EC058400D3A}"/>
    <cellStyle name="Twodig" xfId="808" xr:uid="{F6ADEE7A-6AE1-4F79-9B39-89F5D8B57387}"/>
    <cellStyle name="Ugly" xfId="809" xr:uid="{8A3B2B72-3527-4E55-A6A2-C856E59037E5}"/>
    <cellStyle name="Ugly 2" xfId="1207" xr:uid="{875EBC07-1DEC-4531-A5D7-49F07BC64655}"/>
    <cellStyle name="ul" xfId="429" xr:uid="{51E4497D-11E8-4DFD-80C2-6AE682EAF918}"/>
    <cellStyle name="ul 2" xfId="2363" xr:uid="{44C9EC76-57C6-4221-853D-A928764787FC}"/>
    <cellStyle name="ul 2 2" xfId="2364" xr:uid="{C17C6172-B9AB-4ECF-BC5C-1A9851EC3665}"/>
    <cellStyle name="Underline" xfId="810" xr:uid="{3807ECDD-2B58-4A87-941F-C4CC04634FAF}"/>
    <cellStyle name="Unhighlight" xfId="430" xr:uid="{3B182AB8-BEF6-40AC-A16A-42B2C8AF769F}"/>
    <cellStyle name="Unhighlight 2" xfId="1320" xr:uid="{A54FFCC9-FBCB-49E9-B053-41D64C498376}"/>
    <cellStyle name="Unit" xfId="431" xr:uid="{B6928190-7CFD-4956-95F3-831AF76AAE5D}"/>
    <cellStyle name="Unit 2" xfId="2365" xr:uid="{6668D964-D63B-491D-A7CA-6CF500EAFB6A}"/>
    <cellStyle name="Unit 2 2" xfId="2366" xr:uid="{EC68D26C-49C7-4A07-9DB8-A4E37B585EAD}"/>
    <cellStyle name="units" xfId="432" xr:uid="{BDBF10DB-EED5-49E3-8725-157C29995F06}"/>
    <cellStyle name="units 2" xfId="2367" xr:uid="{BD69B277-69F5-4942-9637-ACFFC3D0FB1F}"/>
    <cellStyle name="units 2 2" xfId="2368" xr:uid="{CC677F97-A739-4877-801F-DFC336E48106}"/>
    <cellStyle name="Untotal row" xfId="433" xr:uid="{788D2060-F2E2-41F3-94B8-071ADDE32FFD}"/>
    <cellStyle name="Untotal row 2" xfId="1321" xr:uid="{E8146DBD-5E84-4C6A-8125-3A7B2505A7BC}"/>
    <cellStyle name="Update" xfId="811" xr:uid="{C9205850-EF93-4DF4-956F-DB3F8286D3F8}"/>
    <cellStyle name="Upload Only" xfId="434" xr:uid="{BC8EC055-C371-499D-8863-33A5F4348A7C}"/>
    <cellStyle name="Upload Only 2" xfId="812" xr:uid="{E776656D-1770-4FEB-A6E6-BAD6083ACDA6}"/>
    <cellStyle name="Upload Only 3" xfId="2369" xr:uid="{9A7435B8-2234-401A-B1FD-1D98D9A7DE3F}"/>
    <cellStyle name="Upload Only 3 2" xfId="2370" xr:uid="{40BFCB87-8499-4984-906E-064D45323309}"/>
    <cellStyle name="Validation" xfId="813" xr:uid="{615D15D3-72E4-4DBA-BE03-64D6C7901E81}"/>
    <cellStyle name="Valuta (0)" xfId="2371" xr:uid="{54AA64A8-E1D4-4F4D-8FCE-A0FA4CC202AD}"/>
    <cellStyle name="Warning Text 2" xfId="905" xr:uid="{3E9BA021-5C7B-471F-979E-7B9417D8129A}"/>
    <cellStyle name="Warning Text 3" xfId="2372" xr:uid="{A0F39B64-570C-4B80-85F2-E79E2F92CA3D}"/>
    <cellStyle name="web_ normal" xfId="435" xr:uid="{8A5A9DA2-90B0-470C-960F-DD9B95FCB3C3}"/>
    <cellStyle name="White" xfId="436" xr:uid="{2006E1D5-7F47-4869-8EB6-EB406D2A0405}"/>
    <cellStyle name="White 2" xfId="814" xr:uid="{D085EF5B-2990-4FEB-82B5-7A867F2BD51B}"/>
    <cellStyle name="WhitePattern1" xfId="2373" xr:uid="{A6D8BF80-3449-4357-ABF6-7A6912009FCC}"/>
    <cellStyle name="WholeNumber" xfId="437" xr:uid="{45A3A695-46CE-4ECB-A162-3FF8E0D3418B}"/>
    <cellStyle name="WholeNumber 2" xfId="2374" xr:uid="{6E7DB852-F566-491C-AB55-85B64565FA70}"/>
    <cellStyle name="WholeNumber 2 2" xfId="2375" xr:uid="{65660EC2-DD25-4086-A6FB-A1504EC9B3FC}"/>
    <cellStyle name="WingdingsBlack" xfId="816" xr:uid="{E973BC70-AB5A-437A-B1DA-F1FE7A0DC86D}"/>
    <cellStyle name="WingdingsBlack 2" xfId="1433" xr:uid="{5616A3C9-A45D-4FAD-A109-EB358C5A7EE7}"/>
    <cellStyle name="WingdingsRed" xfId="817" xr:uid="{045E2100-355B-47F9-8183-404969259412}"/>
    <cellStyle name="WingdingsRed 2" xfId="1434" xr:uid="{8D53E8D9-0289-4E10-9153-43BA225189A5}"/>
    <cellStyle name="WingdingsWhite" xfId="818" xr:uid="{8E7B37F1-8B9D-4634-AEED-3B1DBC9CA760}"/>
    <cellStyle name="WingdingsWhite 2" xfId="1435" xr:uid="{A1B7C4D5-FF96-45C7-881B-192F575D0B6E}"/>
    <cellStyle name="WP" xfId="819" xr:uid="{F3936C54-E250-4CEB-9A81-25B3BCB8DBC1}"/>
    <cellStyle name="WP Header" xfId="438" xr:uid="{0C45E6F6-331A-4685-B857-2AB37D2BE4DC}"/>
    <cellStyle name="WP Header 2" xfId="2376" xr:uid="{4FF31767-AA1B-4BC2-88D6-858ECBEAD84D}"/>
    <cellStyle name="WP Header 3" xfId="2377" xr:uid="{D87D860C-6D2E-43C1-B199-D5E9BB5926E1}"/>
    <cellStyle name="WP Header 3 2" xfId="2378" xr:uid="{B3D95A8C-BCB6-48E6-901F-6E79BD8F8781}"/>
    <cellStyle name="x Men" xfId="820" xr:uid="{0D479924-C09F-4AAF-BCED-C00B467A74A4}"/>
    <cellStyle name="x Men 2" xfId="1208" xr:uid="{33FD6B98-8AC6-4C11-BACB-453B8C0E075B}"/>
    <cellStyle name="Year" xfId="439" xr:uid="{8CAADA79-5B4F-47C5-83E7-D5DDD4605260}"/>
    <cellStyle name="Year 2" xfId="821" xr:uid="{F8CFC986-4D69-4488-8B87-2C5C299267C4}"/>
    <cellStyle name="Year 3" xfId="2379" xr:uid="{168D3B3E-088E-4A2F-BE5C-F6FCE57A5422}"/>
    <cellStyle name="Year 4" xfId="2380" xr:uid="{998878AD-34B0-4B8D-B724-6F1D07EE6406}"/>
    <cellStyle name="years" xfId="822" xr:uid="{56A612D0-DB42-444A-A968-BC1B3C98143C}"/>
    <cellStyle name="Yen" xfId="440" xr:uid="{6125F848-DFE5-40B8-94C0-9F989D971BA6}"/>
    <cellStyle name="Zero" xfId="823" xr:uid="{4F1F971E-AB6C-49A5-A546-B5512585434A}"/>
    <cellStyle name="Zero 2" xfId="1209" xr:uid="{587E56BE-BC76-4CBF-AD4D-738F3FDEE744}"/>
    <cellStyle name="Βασικό_cosmote us gaap 30.12.2000TEST1" xfId="2381" xr:uid="{002C0E5C-419C-4FA5-8AF5-437B402803EC}"/>
    <cellStyle name="똿뗦먛귟 [0.00]_PRODUCT DETAIL Q1_x0013_" xfId="441" xr:uid="{AE626556-2E30-4C7E-8460-1D9685881BEA}"/>
    <cellStyle name="똿뗦먛귟_PRODUCT DETAIL Q1TAIL" xfId="442" xr:uid="{A3C4C880-6ADA-4031-A555-DD48188BFDCF}"/>
    <cellStyle name="믅됞 [0.00]_PRODUCT DETAIL Q1Q3" xfId="443" xr:uid="{9B9A591F-9D3D-49F9-96F8-57377616B216}"/>
    <cellStyle name="믅됞_PRODUCT DETAIL Q1TA" xfId="444" xr:uid="{F438059B-3AD6-4F1B-A5FF-E5B9B61A8246}"/>
    <cellStyle name="뷭?_BOOKSHIP_상세일정 (2) (2) " xfId="445" xr:uid="{8443856D-9B00-4FA1-8642-7A0F735E7E37}"/>
    <cellStyle name="콤마 [0]_97년도 프로젝트 현황 (2)OMMENTS_총무" xfId="446" xr:uid="{F582F1E0-D6F6-4B3E-BF7F-9459DE7F7E3A}"/>
    <cellStyle name="콤마_97년도 프로젝트 현황 (2) (2)OMMENT" xfId="447" xr:uid="{7F4A2C52-1C3A-48DF-B892-D1F31552213D}"/>
    <cellStyle name="통화 [0]_97년도 프로젝트 현황 (2)OMMENT" xfId="448" xr:uid="{C4F5E4B9-15FA-43A4-962A-2CEEE75B22B7}"/>
    <cellStyle name="통화_97년도 프로젝트 현황 (2) (2)OMMENT" xfId="449" xr:uid="{905C9B11-38E0-48FB-B7DF-D83DEA9265BE}"/>
    <cellStyle name="표준_97년 프로젝트 현황) (2) (2)" xfId="450" xr:uid="{3F42F893-985D-4CCF-BB46-E5C284451261}"/>
    <cellStyle name="標準_Financial Analysis_BP-Monthly(Final)_BP-ver.2.0_991204(Heavy_PP)" xfId="2382" xr:uid="{9A55B5D1-A1CF-4CBF-9FE8-9640E7ECD71C}"/>
  </cellStyles>
  <dxfs count="0"/>
  <tableStyles count="0" defaultTableStyle="TableStyleMedium2" defaultPivotStyle="PivotStyleLight16"/>
  <colors>
    <mruColors>
      <color rgb="FF0000FF"/>
      <color rgb="FF0000CC"/>
      <color rgb="FFFFE7FF"/>
      <color rgb="FFD3A77B"/>
      <color rgb="FFCC9900"/>
      <color rgb="FF00BCB8"/>
      <color rgb="FFFFDDFF"/>
      <color rgb="FFCCCCFF"/>
      <color rgb="FFFFCCFF"/>
      <color rgb="FF00D0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7.xml"/><Relationship Id="rId1" Type="http://schemas.microsoft.com/office/2011/relationships/chartStyle" Target="style7.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8.xml"/><Relationship Id="rId1" Type="http://schemas.microsoft.com/office/2011/relationships/chartStyle" Target="style8.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7.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8.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9.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1.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2.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5.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6.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7.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8.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9.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24.xml"/><Relationship Id="rId1" Type="http://schemas.microsoft.com/office/2011/relationships/chartStyle" Target="style24.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25.xml"/><Relationship Id="rId1" Type="http://schemas.microsoft.com/office/2011/relationships/chartStyle" Target="style25.xml"/></Relationships>
</file>

<file path=xl/charts/_rels/chart33.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4.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5.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2-94DE-4605-93BA-6726D59CD34B}"/>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94DE-4605-93BA-6726D59CD34B}"/>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4-94DE-4605-93BA-6726D59CD34B}"/>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5-94DE-4605-93BA-6726D59CD34B}"/>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6-94DE-4605-93BA-6726D59CD34B}"/>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7-94DE-4605-93BA-6726D59CD34B}"/>
              </c:ext>
            </c:extLst>
          </c:dPt>
          <c:dPt>
            <c:idx val="6"/>
            <c:bubble3D val="0"/>
            <c:spPr>
              <a:pattFill prst="wdDnDiag">
                <a:fgClr>
                  <a:srgbClr val="0000FF"/>
                </a:fgClr>
                <a:bgClr>
                  <a:srgbClr val="0000FF"/>
                </a:bgClr>
              </a:pattFill>
              <a:ln w="25400">
                <a:noFill/>
              </a:ln>
              <a:effectLst/>
            </c:spPr>
            <c:extLst>
              <c:ext xmlns:c16="http://schemas.microsoft.com/office/drawing/2014/chart" uri="{C3380CC4-5D6E-409C-BE32-E72D297353CC}">
                <c16:uniqueId val="{00000008-94DE-4605-93BA-6726D59CD34B}"/>
              </c:ext>
            </c:extLst>
          </c:dPt>
          <c:cat>
            <c:strRef>
              <c:f>Sheet2!$B$5:$B$11</c:f>
              <c:strCache>
                <c:ptCount val="7"/>
                <c:pt idx="0">
                  <c:v>Nigeria</c:v>
                </c:pt>
                <c:pt idx="1">
                  <c:v>Cote D'Ivoire</c:v>
                </c:pt>
                <c:pt idx="2">
                  <c:v>Cameroon</c:v>
                </c:pt>
                <c:pt idx="3">
                  <c:v>Zambia</c:v>
                </c:pt>
                <c:pt idx="4">
                  <c:v>Rwanda</c:v>
                </c:pt>
                <c:pt idx="5">
                  <c:v>Kuwait population</c:v>
                </c:pt>
                <c:pt idx="6">
                  <c:v>Latam</c:v>
                </c:pt>
              </c:strCache>
            </c:strRef>
          </c:cat>
          <c:val>
            <c:numRef>
              <c:f>Sheet2!$J$3:$J$9</c:f>
              <c:numCache>
                <c:formatCode>0%</c:formatCode>
                <c:ptCount val="7"/>
                <c:pt idx="0">
                  <c:v>0.77515281477633224</c:v>
                </c:pt>
                <c:pt idx="1">
                  <c:v>0.08</c:v>
                </c:pt>
                <c:pt idx="2">
                  <c:v>0.06</c:v>
                </c:pt>
                <c:pt idx="3">
                  <c:v>0.03</c:v>
                </c:pt>
                <c:pt idx="4">
                  <c:v>1.8776265903237541E-2</c:v>
                </c:pt>
                <c:pt idx="5">
                  <c:v>1.0983872928848554E-2</c:v>
                </c:pt>
                <c:pt idx="6">
                  <c:v>2.5087046391581769E-2</c:v>
                </c:pt>
              </c:numCache>
            </c:numRef>
          </c:val>
          <c:extLst>
            <c:ext xmlns:c16="http://schemas.microsoft.com/office/drawing/2014/chart" uri="{C3380CC4-5D6E-409C-BE32-E72D297353CC}">
              <c16:uniqueId val="{00000000-94DE-4605-93BA-6726D59CD34B}"/>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'Value Crystallisation'!$A$73</c:f>
              <c:strCache>
                <c:ptCount val="1"/>
                <c:pt idx="0">
                  <c:v>Net Debt/EBITDA</c:v>
                </c:pt>
              </c:strCache>
            </c:strRef>
          </c:tx>
          <c:spPr>
            <a:solidFill>
              <a:srgbClr val="263238"/>
            </a:solidFill>
            <a:ln>
              <a:noFill/>
            </a:ln>
            <a:effectLst/>
          </c:spPr>
          <c:invertIfNegative val="0"/>
          <c:dLbls>
            <c:delete val="1"/>
          </c:dLbls>
          <c:cat>
            <c:strRef>
              <c:f>'Value Crystallisation'!$B$72:$C$72</c:f>
              <c:strCache>
                <c:ptCount val="2"/>
                <c:pt idx="0">
                  <c:v>Before</c:v>
                </c:pt>
                <c:pt idx="1">
                  <c:v>After</c:v>
                </c:pt>
              </c:strCache>
            </c:strRef>
          </c:cat>
          <c:val>
            <c:numRef>
              <c:f>'Value Crystallisation'!$B$73:$C$73</c:f>
              <c:numCache>
                <c:formatCode>0.0</c:formatCode>
                <c:ptCount val="2"/>
                <c:pt idx="0">
                  <c:v>3.578954795261291</c:v>
                </c:pt>
                <c:pt idx="1">
                  <c:v>2.9681153847535451</c:v>
                </c:pt>
              </c:numCache>
            </c:numRef>
          </c:val>
          <c:extLst>
            <c:ext xmlns:c16="http://schemas.microsoft.com/office/drawing/2014/chart" uri="{C3380CC4-5D6E-409C-BE32-E72D297353CC}">
              <c16:uniqueId val="{00000004-4E2B-4112-9B95-B1556DEE106A}"/>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'Value Crystallisation'!$A$75</c:f>
              <c:strCache>
                <c:ptCount val="1"/>
                <c:pt idx="0">
                  <c:v>% US$ debt</c:v>
                </c:pt>
              </c:strCache>
            </c:strRef>
          </c:tx>
          <c:spPr>
            <a:solidFill>
              <a:srgbClr val="263238"/>
            </a:solidFill>
            <a:ln>
              <a:noFill/>
            </a:ln>
            <a:effectLst/>
          </c:spPr>
          <c:invertIfNegative val="0"/>
          <c:dLbls>
            <c:delete val="1"/>
          </c:dLbls>
          <c:cat>
            <c:strRef>
              <c:f>'Value Crystallisation'!$B$74:$C$74</c:f>
              <c:strCache>
                <c:ptCount val="2"/>
                <c:pt idx="0">
                  <c:v>Before</c:v>
                </c:pt>
                <c:pt idx="1">
                  <c:v>After</c:v>
                </c:pt>
              </c:strCache>
            </c:strRef>
          </c:cat>
          <c:val>
            <c:numRef>
              <c:f>'Value Crystallisation'!$B$75:$C$75</c:f>
              <c:numCache>
                <c:formatCode>0%</c:formatCode>
                <c:ptCount val="2"/>
                <c:pt idx="0">
                  <c:v>0.75</c:v>
                </c:pt>
                <c:pt idx="1">
                  <c:v>0.57749700891281386</c:v>
                </c:pt>
              </c:numCache>
            </c:numRef>
          </c:val>
          <c:extLst>
            <c:ext xmlns:c16="http://schemas.microsoft.com/office/drawing/2014/chart" uri="{C3380CC4-5D6E-409C-BE32-E72D297353CC}">
              <c16:uniqueId val="{00000004-CA0D-40B8-9D84-58A8A19B817B}"/>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63238"/>
            </a:solidFill>
            <a:ln>
              <a:noFill/>
            </a:ln>
            <a:effectLst/>
          </c:spPr>
          <c:invertIfNegative val="0"/>
          <c:dLbls>
            <c:delete val="1"/>
          </c:dLbls>
          <c:cat>
            <c:strRef>
              <c:f>'Value Crystallisation'!$B$76:$C$76</c:f>
              <c:strCache>
                <c:ptCount val="2"/>
                <c:pt idx="0">
                  <c:v>Before</c:v>
                </c:pt>
                <c:pt idx="1">
                  <c:v>After</c:v>
                </c:pt>
              </c:strCache>
            </c:strRef>
          </c:cat>
          <c:val>
            <c:numRef>
              <c:f>'Value Crystallisation'!$B$77:$C$77</c:f>
              <c:numCache>
                <c:formatCode>0.0</c:formatCode>
                <c:ptCount val="2"/>
                <c:pt idx="0">
                  <c:v>5.9862829588712936</c:v>
                </c:pt>
                <c:pt idx="1">
                  <c:v>5.6829036813787912</c:v>
                </c:pt>
              </c:numCache>
            </c:numRef>
          </c:val>
          <c:extLst>
            <c:ext xmlns:c16="http://schemas.microsoft.com/office/drawing/2014/chart" uri="{C3380CC4-5D6E-409C-BE32-E72D297353CC}">
              <c16:uniqueId val="{00000001-F2E8-4B4F-A04D-45171DF0F38C}"/>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pieChart>
        <c:varyColors val="1"/>
        <c:ser>
          <c:idx val="0"/>
          <c:order val="0"/>
          <c:spPr>
            <a:solidFill>
              <a:srgbClr val="263238"/>
            </a:solidFill>
          </c:spPr>
          <c:dPt>
            <c:idx val="0"/>
            <c:bubble3D val="0"/>
            <c:spPr>
              <a:solidFill>
                <a:srgbClr val="263238"/>
              </a:solidFill>
              <a:ln>
                <a:noFill/>
              </a:ln>
              <a:effectLst/>
            </c:spPr>
            <c:extLst>
              <c:ext xmlns:c16="http://schemas.microsoft.com/office/drawing/2014/chart" uri="{C3380CC4-5D6E-409C-BE32-E72D297353CC}">
                <c16:uniqueId val="{00000001-FC68-4F57-8F4F-1F966744F314}"/>
              </c:ext>
            </c:extLst>
          </c:dPt>
          <c:dPt>
            <c:idx val="1"/>
            <c:bubble3D val="0"/>
            <c:spPr>
              <a:solidFill>
                <a:srgbClr val="465A63"/>
              </a:solidFill>
              <a:ln>
                <a:noFill/>
              </a:ln>
              <a:effectLst/>
            </c:spPr>
            <c:extLst>
              <c:ext xmlns:c16="http://schemas.microsoft.com/office/drawing/2014/chart" uri="{C3380CC4-5D6E-409C-BE32-E72D297353CC}">
                <c16:uniqueId val="{00000012-B2FC-419B-8F95-9BD3A8AE568D}"/>
              </c:ext>
            </c:extLst>
          </c:dPt>
          <c:dPt>
            <c:idx val="2"/>
            <c:bubble3D val="0"/>
            <c:spPr>
              <a:solidFill>
                <a:srgbClr val="617D8A"/>
              </a:solidFill>
              <a:ln>
                <a:noFill/>
              </a:ln>
              <a:effectLst/>
            </c:spPr>
            <c:extLst>
              <c:ext xmlns:c16="http://schemas.microsoft.com/office/drawing/2014/chart" uri="{C3380CC4-5D6E-409C-BE32-E72D297353CC}">
                <c16:uniqueId val="{00000011-B2FC-419B-8F95-9BD3A8AE568D}"/>
              </c:ext>
            </c:extLst>
          </c:dPt>
          <c:dPt>
            <c:idx val="3"/>
            <c:bubble3D val="0"/>
            <c:spPr>
              <a:solidFill>
                <a:srgbClr val="91A4AD"/>
              </a:solidFill>
              <a:ln>
                <a:noFill/>
              </a:ln>
              <a:effectLst/>
            </c:spPr>
            <c:extLst>
              <c:ext xmlns:c16="http://schemas.microsoft.com/office/drawing/2014/chart" uri="{C3380CC4-5D6E-409C-BE32-E72D297353CC}">
                <c16:uniqueId val="{00000010-B2FC-419B-8F95-9BD3A8AE568D}"/>
              </c:ext>
            </c:extLst>
          </c:dPt>
          <c:dPt>
            <c:idx val="4"/>
            <c:bubble3D val="0"/>
            <c:spPr>
              <a:solidFill>
                <a:srgbClr val="CFD8DC"/>
              </a:solidFill>
              <a:ln>
                <a:noFill/>
              </a:ln>
              <a:effectLst/>
            </c:spPr>
            <c:extLst>
              <c:ext xmlns:c16="http://schemas.microsoft.com/office/drawing/2014/chart" uri="{C3380CC4-5D6E-409C-BE32-E72D297353CC}">
                <c16:uniqueId val="{0000000F-B2FC-419B-8F95-9BD3A8AE568D}"/>
              </c:ext>
            </c:extLst>
          </c:dPt>
          <c:dPt>
            <c:idx val="5"/>
            <c:bubble3D val="0"/>
            <c:spPr>
              <a:solidFill>
                <a:srgbClr val="F2F2F2"/>
              </a:solidFill>
              <a:ln>
                <a:noFill/>
              </a:ln>
              <a:effectLst/>
            </c:spPr>
            <c:extLst>
              <c:ext xmlns:c16="http://schemas.microsoft.com/office/drawing/2014/chart" uri="{C3380CC4-5D6E-409C-BE32-E72D297353CC}">
                <c16:uniqueId val="{0000000E-B2FC-419B-8F95-9BD3A8AE568D}"/>
              </c:ext>
            </c:extLst>
          </c:dPt>
          <c:dLbls>
            <c:dLbl>
              <c:idx val="4"/>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F-B2FC-419B-8F95-9BD3A8AE568D}"/>
                </c:ext>
              </c:extLst>
            </c:dLbl>
            <c:dLbl>
              <c:idx val="5"/>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E-B2FC-419B-8F95-9BD3A8AE568D}"/>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7-B2FC-419B-8F95-9BD3A8AE568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'Value Crystallisation'!$G$30:$G$31</c:f>
              <c:strCache>
                <c:ptCount val="2"/>
                <c:pt idx="0">
                  <c:v>Hard currency</c:v>
                </c:pt>
                <c:pt idx="1">
                  <c:v>Local currency</c:v>
                </c:pt>
              </c:strCache>
            </c:strRef>
          </c:cat>
          <c:val>
            <c:numRef>
              <c:f>'Value Crystallisation'!$H$30:$H$31</c:f>
              <c:numCache>
                <c:formatCode>0%</c:formatCode>
                <c:ptCount val="2"/>
                <c:pt idx="0">
                  <c:v>0.75</c:v>
                </c:pt>
                <c:pt idx="1">
                  <c:v>0.25</c:v>
                </c:pt>
              </c:numCache>
            </c:numRef>
          </c:val>
          <c:extLst>
            <c:ext xmlns:c16="http://schemas.microsoft.com/office/drawing/2014/chart" uri="{C3380CC4-5D6E-409C-BE32-E72D297353CC}">
              <c16:uniqueId val="{00000000-B2FC-419B-8F95-9BD3A8AE568D}"/>
            </c:ext>
          </c:extLst>
        </c:ser>
        <c:dLbls>
          <c:showLegendKey val="0"/>
          <c:showVal val="0"/>
          <c:showCatName val="0"/>
          <c:showSerName val="0"/>
          <c:showPercent val="0"/>
          <c:showBubbleSize val="0"/>
          <c:showLeaderLines val="1"/>
        </c:dLbls>
        <c:firstSliceAng val="0"/>
        <c:extLst/>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Deval!$F$2:$F$364</c:f>
              <c:numCache>
                <c:formatCode>m/d/yyyy</c:formatCode>
                <c:ptCount val="363"/>
                <c:pt idx="0">
                  <c:v>44927</c:v>
                </c:pt>
                <c:pt idx="1">
                  <c:v>44928</c:v>
                </c:pt>
                <c:pt idx="2">
                  <c:v>44929</c:v>
                </c:pt>
                <c:pt idx="3">
                  <c:v>44930</c:v>
                </c:pt>
                <c:pt idx="4">
                  <c:v>44931</c:v>
                </c:pt>
                <c:pt idx="5">
                  <c:v>44932</c:v>
                </c:pt>
                <c:pt idx="6">
                  <c:v>44933</c:v>
                </c:pt>
                <c:pt idx="7">
                  <c:v>44934</c:v>
                </c:pt>
                <c:pt idx="8">
                  <c:v>44935</c:v>
                </c:pt>
                <c:pt idx="9">
                  <c:v>44936</c:v>
                </c:pt>
                <c:pt idx="10">
                  <c:v>44937</c:v>
                </c:pt>
                <c:pt idx="11">
                  <c:v>44938</c:v>
                </c:pt>
                <c:pt idx="12">
                  <c:v>44939</c:v>
                </c:pt>
                <c:pt idx="13">
                  <c:v>44940</c:v>
                </c:pt>
                <c:pt idx="14">
                  <c:v>44941</c:v>
                </c:pt>
                <c:pt idx="15">
                  <c:v>44942</c:v>
                </c:pt>
                <c:pt idx="16">
                  <c:v>44943</c:v>
                </c:pt>
                <c:pt idx="17">
                  <c:v>44944</c:v>
                </c:pt>
                <c:pt idx="18">
                  <c:v>44945</c:v>
                </c:pt>
                <c:pt idx="19">
                  <c:v>44946</c:v>
                </c:pt>
                <c:pt idx="20">
                  <c:v>44947</c:v>
                </c:pt>
                <c:pt idx="21">
                  <c:v>44948</c:v>
                </c:pt>
                <c:pt idx="22">
                  <c:v>44949</c:v>
                </c:pt>
                <c:pt idx="23">
                  <c:v>44950</c:v>
                </c:pt>
                <c:pt idx="24">
                  <c:v>44951</c:v>
                </c:pt>
                <c:pt idx="25">
                  <c:v>44952</c:v>
                </c:pt>
                <c:pt idx="26">
                  <c:v>44953</c:v>
                </c:pt>
                <c:pt idx="27">
                  <c:v>44954</c:v>
                </c:pt>
                <c:pt idx="28">
                  <c:v>44955</c:v>
                </c:pt>
                <c:pt idx="29">
                  <c:v>44956</c:v>
                </c:pt>
                <c:pt idx="30">
                  <c:v>44957</c:v>
                </c:pt>
                <c:pt idx="31">
                  <c:v>44958</c:v>
                </c:pt>
                <c:pt idx="32">
                  <c:v>44959</c:v>
                </c:pt>
                <c:pt idx="33">
                  <c:v>44960</c:v>
                </c:pt>
                <c:pt idx="34">
                  <c:v>44961</c:v>
                </c:pt>
                <c:pt idx="35">
                  <c:v>44962</c:v>
                </c:pt>
                <c:pt idx="36">
                  <c:v>44963</c:v>
                </c:pt>
                <c:pt idx="37">
                  <c:v>44964</c:v>
                </c:pt>
                <c:pt idx="38">
                  <c:v>44965</c:v>
                </c:pt>
                <c:pt idx="39">
                  <c:v>44966</c:v>
                </c:pt>
                <c:pt idx="40">
                  <c:v>44967</c:v>
                </c:pt>
                <c:pt idx="41">
                  <c:v>44968</c:v>
                </c:pt>
                <c:pt idx="42">
                  <c:v>44969</c:v>
                </c:pt>
                <c:pt idx="43">
                  <c:v>44970</c:v>
                </c:pt>
                <c:pt idx="44">
                  <c:v>44971</c:v>
                </c:pt>
                <c:pt idx="45">
                  <c:v>44972</c:v>
                </c:pt>
                <c:pt idx="46">
                  <c:v>44973</c:v>
                </c:pt>
                <c:pt idx="47">
                  <c:v>44974</c:v>
                </c:pt>
                <c:pt idx="48">
                  <c:v>44975</c:v>
                </c:pt>
                <c:pt idx="49">
                  <c:v>44976</c:v>
                </c:pt>
                <c:pt idx="50">
                  <c:v>44977</c:v>
                </c:pt>
                <c:pt idx="51">
                  <c:v>44978</c:v>
                </c:pt>
                <c:pt idx="52">
                  <c:v>44979</c:v>
                </c:pt>
                <c:pt idx="53">
                  <c:v>44980</c:v>
                </c:pt>
                <c:pt idx="54">
                  <c:v>44981</c:v>
                </c:pt>
                <c:pt idx="55">
                  <c:v>44982</c:v>
                </c:pt>
                <c:pt idx="56">
                  <c:v>44983</c:v>
                </c:pt>
                <c:pt idx="57">
                  <c:v>44984</c:v>
                </c:pt>
                <c:pt idx="58">
                  <c:v>44985</c:v>
                </c:pt>
                <c:pt idx="59">
                  <c:v>44986</c:v>
                </c:pt>
                <c:pt idx="60">
                  <c:v>44987</c:v>
                </c:pt>
                <c:pt idx="61">
                  <c:v>44988</c:v>
                </c:pt>
                <c:pt idx="62">
                  <c:v>44989</c:v>
                </c:pt>
                <c:pt idx="63">
                  <c:v>44990</c:v>
                </c:pt>
                <c:pt idx="64">
                  <c:v>44991</c:v>
                </c:pt>
                <c:pt idx="65">
                  <c:v>44992</c:v>
                </c:pt>
                <c:pt idx="66">
                  <c:v>44993</c:v>
                </c:pt>
                <c:pt idx="67">
                  <c:v>44994</c:v>
                </c:pt>
                <c:pt idx="68">
                  <c:v>44995</c:v>
                </c:pt>
                <c:pt idx="69">
                  <c:v>44996</c:v>
                </c:pt>
                <c:pt idx="70">
                  <c:v>44997</c:v>
                </c:pt>
                <c:pt idx="71">
                  <c:v>44998</c:v>
                </c:pt>
                <c:pt idx="72">
                  <c:v>44999</c:v>
                </c:pt>
                <c:pt idx="73">
                  <c:v>45000</c:v>
                </c:pt>
                <c:pt idx="74">
                  <c:v>45001</c:v>
                </c:pt>
                <c:pt idx="75">
                  <c:v>45002</c:v>
                </c:pt>
                <c:pt idx="76">
                  <c:v>45003</c:v>
                </c:pt>
                <c:pt idx="77">
                  <c:v>45004</c:v>
                </c:pt>
                <c:pt idx="78">
                  <c:v>45005</c:v>
                </c:pt>
                <c:pt idx="79">
                  <c:v>45006</c:v>
                </c:pt>
                <c:pt idx="80">
                  <c:v>45007</c:v>
                </c:pt>
                <c:pt idx="81">
                  <c:v>45008</c:v>
                </c:pt>
                <c:pt idx="82">
                  <c:v>45009</c:v>
                </c:pt>
                <c:pt idx="83">
                  <c:v>45010</c:v>
                </c:pt>
                <c:pt idx="84">
                  <c:v>45011</c:v>
                </c:pt>
                <c:pt idx="85">
                  <c:v>45012</c:v>
                </c:pt>
                <c:pt idx="86">
                  <c:v>45013</c:v>
                </c:pt>
                <c:pt idx="87">
                  <c:v>45014</c:v>
                </c:pt>
                <c:pt idx="88">
                  <c:v>45015</c:v>
                </c:pt>
                <c:pt idx="89">
                  <c:v>45016</c:v>
                </c:pt>
                <c:pt idx="90">
                  <c:v>45017</c:v>
                </c:pt>
                <c:pt idx="91">
                  <c:v>45018</c:v>
                </c:pt>
                <c:pt idx="92">
                  <c:v>45019</c:v>
                </c:pt>
                <c:pt idx="93">
                  <c:v>45020</c:v>
                </c:pt>
                <c:pt idx="94">
                  <c:v>45021</c:v>
                </c:pt>
                <c:pt idx="95">
                  <c:v>45022</c:v>
                </c:pt>
                <c:pt idx="96">
                  <c:v>45023</c:v>
                </c:pt>
                <c:pt idx="97">
                  <c:v>45024</c:v>
                </c:pt>
                <c:pt idx="98">
                  <c:v>45025</c:v>
                </c:pt>
                <c:pt idx="99">
                  <c:v>45026</c:v>
                </c:pt>
                <c:pt idx="100">
                  <c:v>45027</c:v>
                </c:pt>
                <c:pt idx="101">
                  <c:v>45028</c:v>
                </c:pt>
                <c:pt idx="102">
                  <c:v>45029</c:v>
                </c:pt>
                <c:pt idx="103">
                  <c:v>45030</c:v>
                </c:pt>
                <c:pt idx="104">
                  <c:v>45031</c:v>
                </c:pt>
                <c:pt idx="105">
                  <c:v>45032</c:v>
                </c:pt>
                <c:pt idx="106">
                  <c:v>45033</c:v>
                </c:pt>
                <c:pt idx="107">
                  <c:v>45034</c:v>
                </c:pt>
                <c:pt idx="108">
                  <c:v>45035</c:v>
                </c:pt>
                <c:pt idx="109">
                  <c:v>45036</c:v>
                </c:pt>
                <c:pt idx="110">
                  <c:v>45037</c:v>
                </c:pt>
                <c:pt idx="111">
                  <c:v>45038</c:v>
                </c:pt>
                <c:pt idx="112">
                  <c:v>45039</c:v>
                </c:pt>
                <c:pt idx="113">
                  <c:v>45040</c:v>
                </c:pt>
                <c:pt idx="114">
                  <c:v>45041</c:v>
                </c:pt>
                <c:pt idx="115">
                  <c:v>45042</c:v>
                </c:pt>
                <c:pt idx="116">
                  <c:v>45043</c:v>
                </c:pt>
                <c:pt idx="117">
                  <c:v>45044</c:v>
                </c:pt>
                <c:pt idx="118">
                  <c:v>45045</c:v>
                </c:pt>
                <c:pt idx="119">
                  <c:v>45046</c:v>
                </c:pt>
                <c:pt idx="120">
                  <c:v>45047</c:v>
                </c:pt>
                <c:pt idx="121">
                  <c:v>45048</c:v>
                </c:pt>
                <c:pt idx="122">
                  <c:v>45049</c:v>
                </c:pt>
                <c:pt idx="123">
                  <c:v>45050</c:v>
                </c:pt>
                <c:pt idx="124">
                  <c:v>45051</c:v>
                </c:pt>
                <c:pt idx="125">
                  <c:v>45052</c:v>
                </c:pt>
                <c:pt idx="126">
                  <c:v>45053</c:v>
                </c:pt>
                <c:pt idx="127">
                  <c:v>45054</c:v>
                </c:pt>
                <c:pt idx="128">
                  <c:v>45055</c:v>
                </c:pt>
                <c:pt idx="129">
                  <c:v>45056</c:v>
                </c:pt>
                <c:pt idx="130">
                  <c:v>45057</c:v>
                </c:pt>
                <c:pt idx="131">
                  <c:v>45058</c:v>
                </c:pt>
                <c:pt idx="132">
                  <c:v>45059</c:v>
                </c:pt>
                <c:pt idx="133">
                  <c:v>45060</c:v>
                </c:pt>
                <c:pt idx="134">
                  <c:v>45061</c:v>
                </c:pt>
                <c:pt idx="135">
                  <c:v>45062</c:v>
                </c:pt>
                <c:pt idx="136">
                  <c:v>45063</c:v>
                </c:pt>
                <c:pt idx="137">
                  <c:v>45064</c:v>
                </c:pt>
                <c:pt idx="138">
                  <c:v>45065</c:v>
                </c:pt>
                <c:pt idx="139">
                  <c:v>45066</c:v>
                </c:pt>
                <c:pt idx="140">
                  <c:v>45067</c:v>
                </c:pt>
                <c:pt idx="141">
                  <c:v>45068</c:v>
                </c:pt>
                <c:pt idx="142">
                  <c:v>45069</c:v>
                </c:pt>
                <c:pt idx="143">
                  <c:v>45070</c:v>
                </c:pt>
                <c:pt idx="144">
                  <c:v>45071</c:v>
                </c:pt>
                <c:pt idx="145">
                  <c:v>45072</c:v>
                </c:pt>
                <c:pt idx="146">
                  <c:v>45073</c:v>
                </c:pt>
                <c:pt idx="147">
                  <c:v>45074</c:v>
                </c:pt>
                <c:pt idx="148">
                  <c:v>45075</c:v>
                </c:pt>
                <c:pt idx="149">
                  <c:v>45076</c:v>
                </c:pt>
                <c:pt idx="150">
                  <c:v>45077</c:v>
                </c:pt>
                <c:pt idx="151">
                  <c:v>45078</c:v>
                </c:pt>
                <c:pt idx="152">
                  <c:v>45079</c:v>
                </c:pt>
                <c:pt idx="153">
                  <c:v>45080</c:v>
                </c:pt>
                <c:pt idx="154">
                  <c:v>45081</c:v>
                </c:pt>
                <c:pt idx="155">
                  <c:v>45082</c:v>
                </c:pt>
                <c:pt idx="156">
                  <c:v>45083</c:v>
                </c:pt>
                <c:pt idx="157">
                  <c:v>45084</c:v>
                </c:pt>
                <c:pt idx="158">
                  <c:v>45085</c:v>
                </c:pt>
                <c:pt idx="159">
                  <c:v>45086</c:v>
                </c:pt>
                <c:pt idx="160">
                  <c:v>45087</c:v>
                </c:pt>
                <c:pt idx="161">
                  <c:v>45088</c:v>
                </c:pt>
                <c:pt idx="162">
                  <c:v>45089</c:v>
                </c:pt>
                <c:pt idx="163">
                  <c:v>45090</c:v>
                </c:pt>
                <c:pt idx="164">
                  <c:v>45091</c:v>
                </c:pt>
                <c:pt idx="165">
                  <c:v>45092</c:v>
                </c:pt>
                <c:pt idx="166">
                  <c:v>45093</c:v>
                </c:pt>
                <c:pt idx="167">
                  <c:v>45095</c:v>
                </c:pt>
                <c:pt idx="168">
                  <c:v>45096</c:v>
                </c:pt>
                <c:pt idx="169">
                  <c:v>45097</c:v>
                </c:pt>
                <c:pt idx="170">
                  <c:v>45098</c:v>
                </c:pt>
                <c:pt idx="171">
                  <c:v>45099</c:v>
                </c:pt>
                <c:pt idx="172">
                  <c:v>45100</c:v>
                </c:pt>
                <c:pt idx="173">
                  <c:v>45101</c:v>
                </c:pt>
                <c:pt idx="174">
                  <c:v>45102</c:v>
                </c:pt>
                <c:pt idx="175">
                  <c:v>45103</c:v>
                </c:pt>
                <c:pt idx="176">
                  <c:v>45104</c:v>
                </c:pt>
                <c:pt idx="177">
                  <c:v>45105</c:v>
                </c:pt>
                <c:pt idx="178">
                  <c:v>45106</c:v>
                </c:pt>
                <c:pt idx="179">
                  <c:v>45107</c:v>
                </c:pt>
                <c:pt idx="180">
                  <c:v>45108</c:v>
                </c:pt>
                <c:pt idx="181">
                  <c:v>45109</c:v>
                </c:pt>
                <c:pt idx="182">
                  <c:v>45110</c:v>
                </c:pt>
                <c:pt idx="183">
                  <c:v>45111</c:v>
                </c:pt>
                <c:pt idx="184">
                  <c:v>45112</c:v>
                </c:pt>
                <c:pt idx="185">
                  <c:v>45113</c:v>
                </c:pt>
                <c:pt idx="186">
                  <c:v>45114</c:v>
                </c:pt>
                <c:pt idx="187">
                  <c:v>45115</c:v>
                </c:pt>
                <c:pt idx="188">
                  <c:v>45116</c:v>
                </c:pt>
                <c:pt idx="189">
                  <c:v>45117</c:v>
                </c:pt>
                <c:pt idx="190">
                  <c:v>45118</c:v>
                </c:pt>
                <c:pt idx="191">
                  <c:v>45119</c:v>
                </c:pt>
                <c:pt idx="192">
                  <c:v>45120</c:v>
                </c:pt>
                <c:pt idx="193">
                  <c:v>45121</c:v>
                </c:pt>
                <c:pt idx="194">
                  <c:v>45122</c:v>
                </c:pt>
                <c:pt idx="195">
                  <c:v>45123</c:v>
                </c:pt>
                <c:pt idx="196">
                  <c:v>45124</c:v>
                </c:pt>
                <c:pt idx="197">
                  <c:v>45125</c:v>
                </c:pt>
                <c:pt idx="198">
                  <c:v>45126</c:v>
                </c:pt>
                <c:pt idx="199">
                  <c:v>45127</c:v>
                </c:pt>
                <c:pt idx="200">
                  <c:v>45128</c:v>
                </c:pt>
                <c:pt idx="201">
                  <c:v>45129</c:v>
                </c:pt>
                <c:pt idx="202">
                  <c:v>45130</c:v>
                </c:pt>
                <c:pt idx="203">
                  <c:v>45131</c:v>
                </c:pt>
                <c:pt idx="204">
                  <c:v>45132</c:v>
                </c:pt>
                <c:pt idx="205">
                  <c:v>45133</c:v>
                </c:pt>
                <c:pt idx="206">
                  <c:v>45134</c:v>
                </c:pt>
                <c:pt idx="207">
                  <c:v>45135</c:v>
                </c:pt>
                <c:pt idx="208">
                  <c:v>45136</c:v>
                </c:pt>
                <c:pt idx="209">
                  <c:v>45137</c:v>
                </c:pt>
                <c:pt idx="210">
                  <c:v>45138</c:v>
                </c:pt>
                <c:pt idx="211">
                  <c:v>45139</c:v>
                </c:pt>
                <c:pt idx="212">
                  <c:v>45140</c:v>
                </c:pt>
                <c:pt idx="213">
                  <c:v>45141</c:v>
                </c:pt>
                <c:pt idx="214">
                  <c:v>45142</c:v>
                </c:pt>
                <c:pt idx="215">
                  <c:v>45143</c:v>
                </c:pt>
                <c:pt idx="216">
                  <c:v>45144</c:v>
                </c:pt>
                <c:pt idx="217">
                  <c:v>45145</c:v>
                </c:pt>
                <c:pt idx="218">
                  <c:v>45146</c:v>
                </c:pt>
                <c:pt idx="219">
                  <c:v>45147</c:v>
                </c:pt>
                <c:pt idx="220">
                  <c:v>45148</c:v>
                </c:pt>
                <c:pt idx="221">
                  <c:v>45149</c:v>
                </c:pt>
                <c:pt idx="222">
                  <c:v>45150</c:v>
                </c:pt>
                <c:pt idx="223">
                  <c:v>45151</c:v>
                </c:pt>
                <c:pt idx="224">
                  <c:v>45152</c:v>
                </c:pt>
                <c:pt idx="225">
                  <c:v>45153</c:v>
                </c:pt>
                <c:pt idx="226">
                  <c:v>45154</c:v>
                </c:pt>
                <c:pt idx="227">
                  <c:v>45155</c:v>
                </c:pt>
                <c:pt idx="228">
                  <c:v>45156</c:v>
                </c:pt>
                <c:pt idx="229">
                  <c:v>45157</c:v>
                </c:pt>
                <c:pt idx="230">
                  <c:v>45158</c:v>
                </c:pt>
                <c:pt idx="231">
                  <c:v>45159</c:v>
                </c:pt>
                <c:pt idx="232">
                  <c:v>45160</c:v>
                </c:pt>
                <c:pt idx="233">
                  <c:v>45161</c:v>
                </c:pt>
                <c:pt idx="234">
                  <c:v>45162</c:v>
                </c:pt>
                <c:pt idx="235">
                  <c:v>45163</c:v>
                </c:pt>
                <c:pt idx="236">
                  <c:v>45164</c:v>
                </c:pt>
                <c:pt idx="237">
                  <c:v>45165</c:v>
                </c:pt>
                <c:pt idx="238">
                  <c:v>45166</c:v>
                </c:pt>
                <c:pt idx="239">
                  <c:v>45167</c:v>
                </c:pt>
                <c:pt idx="240">
                  <c:v>45168</c:v>
                </c:pt>
                <c:pt idx="241">
                  <c:v>45169</c:v>
                </c:pt>
                <c:pt idx="242">
                  <c:v>45170</c:v>
                </c:pt>
                <c:pt idx="243">
                  <c:v>45171</c:v>
                </c:pt>
                <c:pt idx="244">
                  <c:v>45172</c:v>
                </c:pt>
                <c:pt idx="245">
                  <c:v>45173</c:v>
                </c:pt>
                <c:pt idx="246">
                  <c:v>45174</c:v>
                </c:pt>
                <c:pt idx="247">
                  <c:v>45175</c:v>
                </c:pt>
                <c:pt idx="248">
                  <c:v>45176</c:v>
                </c:pt>
                <c:pt idx="249">
                  <c:v>45177</c:v>
                </c:pt>
                <c:pt idx="250">
                  <c:v>45178</c:v>
                </c:pt>
                <c:pt idx="251">
                  <c:v>45179</c:v>
                </c:pt>
                <c:pt idx="252">
                  <c:v>45180</c:v>
                </c:pt>
                <c:pt idx="253">
                  <c:v>45181</c:v>
                </c:pt>
                <c:pt idx="254">
                  <c:v>45182</c:v>
                </c:pt>
                <c:pt idx="255">
                  <c:v>45183</c:v>
                </c:pt>
                <c:pt idx="256">
                  <c:v>45184</c:v>
                </c:pt>
                <c:pt idx="257">
                  <c:v>45185</c:v>
                </c:pt>
                <c:pt idx="258">
                  <c:v>45186</c:v>
                </c:pt>
                <c:pt idx="259">
                  <c:v>45187</c:v>
                </c:pt>
                <c:pt idx="260">
                  <c:v>45188</c:v>
                </c:pt>
                <c:pt idx="261">
                  <c:v>45189</c:v>
                </c:pt>
                <c:pt idx="262">
                  <c:v>45190</c:v>
                </c:pt>
                <c:pt idx="263">
                  <c:v>45191</c:v>
                </c:pt>
                <c:pt idx="264">
                  <c:v>45192</c:v>
                </c:pt>
                <c:pt idx="265">
                  <c:v>45193</c:v>
                </c:pt>
                <c:pt idx="266">
                  <c:v>45194</c:v>
                </c:pt>
                <c:pt idx="267">
                  <c:v>45195</c:v>
                </c:pt>
                <c:pt idx="268">
                  <c:v>45196</c:v>
                </c:pt>
                <c:pt idx="269">
                  <c:v>45197</c:v>
                </c:pt>
                <c:pt idx="270">
                  <c:v>45198</c:v>
                </c:pt>
                <c:pt idx="271">
                  <c:v>45199</c:v>
                </c:pt>
                <c:pt idx="272">
                  <c:v>45200</c:v>
                </c:pt>
                <c:pt idx="273">
                  <c:v>45201</c:v>
                </c:pt>
                <c:pt idx="274">
                  <c:v>45202</c:v>
                </c:pt>
                <c:pt idx="275">
                  <c:v>45203</c:v>
                </c:pt>
                <c:pt idx="276">
                  <c:v>45204</c:v>
                </c:pt>
                <c:pt idx="277">
                  <c:v>45205</c:v>
                </c:pt>
                <c:pt idx="278">
                  <c:v>45206</c:v>
                </c:pt>
                <c:pt idx="279">
                  <c:v>45207</c:v>
                </c:pt>
                <c:pt idx="280">
                  <c:v>45208</c:v>
                </c:pt>
                <c:pt idx="281">
                  <c:v>45209</c:v>
                </c:pt>
                <c:pt idx="282">
                  <c:v>45210</c:v>
                </c:pt>
                <c:pt idx="283">
                  <c:v>45211</c:v>
                </c:pt>
                <c:pt idx="284">
                  <c:v>45212</c:v>
                </c:pt>
                <c:pt idx="285">
                  <c:v>45213</c:v>
                </c:pt>
                <c:pt idx="286">
                  <c:v>45214</c:v>
                </c:pt>
                <c:pt idx="287">
                  <c:v>45215</c:v>
                </c:pt>
                <c:pt idx="288">
                  <c:v>45216</c:v>
                </c:pt>
                <c:pt idx="289">
                  <c:v>45217</c:v>
                </c:pt>
                <c:pt idx="290">
                  <c:v>45218</c:v>
                </c:pt>
                <c:pt idx="291">
                  <c:v>45219</c:v>
                </c:pt>
                <c:pt idx="292">
                  <c:v>45220</c:v>
                </c:pt>
                <c:pt idx="293">
                  <c:v>45221</c:v>
                </c:pt>
                <c:pt idx="294">
                  <c:v>45222</c:v>
                </c:pt>
                <c:pt idx="295">
                  <c:v>45223</c:v>
                </c:pt>
                <c:pt idx="296">
                  <c:v>45224</c:v>
                </c:pt>
                <c:pt idx="297">
                  <c:v>45225</c:v>
                </c:pt>
                <c:pt idx="298">
                  <c:v>45226</c:v>
                </c:pt>
                <c:pt idx="299">
                  <c:v>45227</c:v>
                </c:pt>
                <c:pt idx="300">
                  <c:v>45228</c:v>
                </c:pt>
                <c:pt idx="301">
                  <c:v>45229</c:v>
                </c:pt>
                <c:pt idx="302">
                  <c:v>45230</c:v>
                </c:pt>
                <c:pt idx="303">
                  <c:v>45231</c:v>
                </c:pt>
                <c:pt idx="304">
                  <c:v>45232</c:v>
                </c:pt>
                <c:pt idx="305">
                  <c:v>45233</c:v>
                </c:pt>
                <c:pt idx="306">
                  <c:v>45234</c:v>
                </c:pt>
                <c:pt idx="307">
                  <c:v>45235</c:v>
                </c:pt>
                <c:pt idx="308">
                  <c:v>45236</c:v>
                </c:pt>
                <c:pt idx="309">
                  <c:v>45237</c:v>
                </c:pt>
                <c:pt idx="310">
                  <c:v>45238</c:v>
                </c:pt>
                <c:pt idx="311">
                  <c:v>45239</c:v>
                </c:pt>
                <c:pt idx="312">
                  <c:v>45240</c:v>
                </c:pt>
                <c:pt idx="313">
                  <c:v>45241</c:v>
                </c:pt>
                <c:pt idx="314">
                  <c:v>45242</c:v>
                </c:pt>
                <c:pt idx="315">
                  <c:v>45243</c:v>
                </c:pt>
                <c:pt idx="316">
                  <c:v>45244</c:v>
                </c:pt>
                <c:pt idx="317">
                  <c:v>45245</c:v>
                </c:pt>
                <c:pt idx="318">
                  <c:v>45246</c:v>
                </c:pt>
                <c:pt idx="319">
                  <c:v>45247</c:v>
                </c:pt>
                <c:pt idx="320">
                  <c:v>45248</c:v>
                </c:pt>
                <c:pt idx="321">
                  <c:v>45249</c:v>
                </c:pt>
                <c:pt idx="322">
                  <c:v>45250</c:v>
                </c:pt>
                <c:pt idx="323">
                  <c:v>45251</c:v>
                </c:pt>
                <c:pt idx="324">
                  <c:v>45252</c:v>
                </c:pt>
                <c:pt idx="325">
                  <c:v>45253</c:v>
                </c:pt>
                <c:pt idx="326">
                  <c:v>45254</c:v>
                </c:pt>
                <c:pt idx="327">
                  <c:v>45255</c:v>
                </c:pt>
                <c:pt idx="328">
                  <c:v>45256</c:v>
                </c:pt>
                <c:pt idx="329">
                  <c:v>45257</c:v>
                </c:pt>
                <c:pt idx="330">
                  <c:v>45258</c:v>
                </c:pt>
                <c:pt idx="331">
                  <c:v>45259</c:v>
                </c:pt>
                <c:pt idx="332">
                  <c:v>45260</c:v>
                </c:pt>
                <c:pt idx="333">
                  <c:v>45261</c:v>
                </c:pt>
                <c:pt idx="334">
                  <c:v>45262</c:v>
                </c:pt>
                <c:pt idx="335">
                  <c:v>45263</c:v>
                </c:pt>
                <c:pt idx="336">
                  <c:v>45264</c:v>
                </c:pt>
                <c:pt idx="337">
                  <c:v>45265</c:v>
                </c:pt>
                <c:pt idx="338">
                  <c:v>45266</c:v>
                </c:pt>
                <c:pt idx="339">
                  <c:v>45267</c:v>
                </c:pt>
                <c:pt idx="340">
                  <c:v>45268</c:v>
                </c:pt>
                <c:pt idx="341">
                  <c:v>45269</c:v>
                </c:pt>
                <c:pt idx="342">
                  <c:v>45270</c:v>
                </c:pt>
                <c:pt idx="343">
                  <c:v>45271</c:v>
                </c:pt>
                <c:pt idx="344">
                  <c:v>45272</c:v>
                </c:pt>
                <c:pt idx="345">
                  <c:v>45273</c:v>
                </c:pt>
                <c:pt idx="346">
                  <c:v>45274</c:v>
                </c:pt>
                <c:pt idx="347">
                  <c:v>45275</c:v>
                </c:pt>
                <c:pt idx="348">
                  <c:v>45276</c:v>
                </c:pt>
                <c:pt idx="349">
                  <c:v>45277</c:v>
                </c:pt>
                <c:pt idx="350">
                  <c:v>45278</c:v>
                </c:pt>
                <c:pt idx="351">
                  <c:v>45279</c:v>
                </c:pt>
                <c:pt idx="352">
                  <c:v>45280</c:v>
                </c:pt>
                <c:pt idx="353">
                  <c:v>45281</c:v>
                </c:pt>
                <c:pt idx="354">
                  <c:v>45282</c:v>
                </c:pt>
                <c:pt idx="355">
                  <c:v>45283</c:v>
                </c:pt>
                <c:pt idx="356">
                  <c:v>45284</c:v>
                </c:pt>
                <c:pt idx="357">
                  <c:v>45285</c:v>
                </c:pt>
                <c:pt idx="358">
                  <c:v>45286</c:v>
                </c:pt>
                <c:pt idx="359">
                  <c:v>45287</c:v>
                </c:pt>
                <c:pt idx="360">
                  <c:v>45288</c:v>
                </c:pt>
                <c:pt idx="361">
                  <c:v>45289</c:v>
                </c:pt>
                <c:pt idx="362">
                  <c:v>45290</c:v>
                </c:pt>
              </c:numCache>
            </c:numRef>
          </c:cat>
          <c:val>
            <c:numRef>
              <c:f>Deval!$G$2:$G$364</c:f>
              <c:numCache>
                <c:formatCode>General</c:formatCode>
                <c:ptCount val="363"/>
                <c:pt idx="0">
                  <c:v>448.08</c:v>
                </c:pt>
                <c:pt idx="1">
                  <c:v>448.08</c:v>
                </c:pt>
                <c:pt idx="2">
                  <c:v>448.55</c:v>
                </c:pt>
                <c:pt idx="3">
                  <c:v>449.01</c:v>
                </c:pt>
                <c:pt idx="4">
                  <c:v>449.53</c:v>
                </c:pt>
                <c:pt idx="5">
                  <c:v>450.05</c:v>
                </c:pt>
                <c:pt idx="6">
                  <c:v>450.05</c:v>
                </c:pt>
                <c:pt idx="7">
                  <c:v>450.05</c:v>
                </c:pt>
                <c:pt idx="8">
                  <c:v>450.05</c:v>
                </c:pt>
                <c:pt idx="9">
                  <c:v>450.08</c:v>
                </c:pt>
                <c:pt idx="10">
                  <c:v>451.6</c:v>
                </c:pt>
                <c:pt idx="11">
                  <c:v>452.13</c:v>
                </c:pt>
                <c:pt idx="12">
                  <c:v>452.59</c:v>
                </c:pt>
                <c:pt idx="13">
                  <c:v>452.59</c:v>
                </c:pt>
                <c:pt idx="14">
                  <c:v>452.59</c:v>
                </c:pt>
                <c:pt idx="15">
                  <c:v>452.62</c:v>
                </c:pt>
                <c:pt idx="16">
                  <c:v>453.58</c:v>
                </c:pt>
                <c:pt idx="17">
                  <c:v>453.58</c:v>
                </c:pt>
                <c:pt idx="18">
                  <c:v>460.5</c:v>
                </c:pt>
                <c:pt idx="19">
                  <c:v>455.06</c:v>
                </c:pt>
                <c:pt idx="20">
                  <c:v>455.06</c:v>
                </c:pt>
                <c:pt idx="21">
                  <c:v>455.06</c:v>
                </c:pt>
                <c:pt idx="22">
                  <c:v>455.06</c:v>
                </c:pt>
                <c:pt idx="23">
                  <c:v>455.07</c:v>
                </c:pt>
                <c:pt idx="24">
                  <c:v>459.97</c:v>
                </c:pt>
                <c:pt idx="25">
                  <c:v>460.28</c:v>
                </c:pt>
                <c:pt idx="26">
                  <c:v>460.28</c:v>
                </c:pt>
                <c:pt idx="27">
                  <c:v>460.28</c:v>
                </c:pt>
                <c:pt idx="28">
                  <c:v>460.28</c:v>
                </c:pt>
                <c:pt idx="29">
                  <c:v>460.41</c:v>
                </c:pt>
                <c:pt idx="30">
                  <c:v>460.52</c:v>
                </c:pt>
                <c:pt idx="31">
                  <c:v>460.52</c:v>
                </c:pt>
                <c:pt idx="32">
                  <c:v>460.54</c:v>
                </c:pt>
                <c:pt idx="33">
                  <c:v>460.54</c:v>
                </c:pt>
                <c:pt idx="34">
                  <c:v>460.54</c:v>
                </c:pt>
                <c:pt idx="35">
                  <c:v>460.54</c:v>
                </c:pt>
                <c:pt idx="36">
                  <c:v>459.7</c:v>
                </c:pt>
                <c:pt idx="37">
                  <c:v>460.42</c:v>
                </c:pt>
                <c:pt idx="38">
                  <c:v>460.42</c:v>
                </c:pt>
                <c:pt idx="39">
                  <c:v>460.47</c:v>
                </c:pt>
                <c:pt idx="40">
                  <c:v>459.49</c:v>
                </c:pt>
                <c:pt idx="41">
                  <c:v>459.49</c:v>
                </c:pt>
                <c:pt idx="42">
                  <c:v>459.49</c:v>
                </c:pt>
                <c:pt idx="43">
                  <c:v>460.52</c:v>
                </c:pt>
                <c:pt idx="44">
                  <c:v>460.56</c:v>
                </c:pt>
                <c:pt idx="45">
                  <c:v>461.5</c:v>
                </c:pt>
                <c:pt idx="46">
                  <c:v>460.55</c:v>
                </c:pt>
                <c:pt idx="47">
                  <c:v>460</c:v>
                </c:pt>
                <c:pt idx="48">
                  <c:v>460.54</c:v>
                </c:pt>
                <c:pt idx="49">
                  <c:v>460.54</c:v>
                </c:pt>
                <c:pt idx="50">
                  <c:v>460.55</c:v>
                </c:pt>
                <c:pt idx="51">
                  <c:v>460</c:v>
                </c:pt>
                <c:pt idx="52">
                  <c:v>460.47</c:v>
                </c:pt>
                <c:pt idx="53">
                  <c:v>460.44</c:v>
                </c:pt>
                <c:pt idx="54">
                  <c:v>459.5</c:v>
                </c:pt>
                <c:pt idx="55">
                  <c:v>460.44</c:v>
                </c:pt>
                <c:pt idx="56">
                  <c:v>460.44</c:v>
                </c:pt>
                <c:pt idx="57">
                  <c:v>460.5</c:v>
                </c:pt>
                <c:pt idx="58">
                  <c:v>460.47</c:v>
                </c:pt>
                <c:pt idx="59">
                  <c:v>460.5</c:v>
                </c:pt>
                <c:pt idx="60">
                  <c:v>460</c:v>
                </c:pt>
                <c:pt idx="61">
                  <c:v>461</c:v>
                </c:pt>
                <c:pt idx="62">
                  <c:v>460.46</c:v>
                </c:pt>
                <c:pt idx="63">
                  <c:v>460.46</c:v>
                </c:pt>
                <c:pt idx="64">
                  <c:v>460.46</c:v>
                </c:pt>
                <c:pt idx="65">
                  <c:v>460.5</c:v>
                </c:pt>
                <c:pt idx="66">
                  <c:v>460.5</c:v>
                </c:pt>
                <c:pt idx="67">
                  <c:v>460.5</c:v>
                </c:pt>
                <c:pt idx="68">
                  <c:v>460.52</c:v>
                </c:pt>
                <c:pt idx="69">
                  <c:v>460.52</c:v>
                </c:pt>
                <c:pt idx="70">
                  <c:v>460.52</c:v>
                </c:pt>
                <c:pt idx="71">
                  <c:v>460.5</c:v>
                </c:pt>
                <c:pt idx="72">
                  <c:v>460.53</c:v>
                </c:pt>
                <c:pt idx="73">
                  <c:v>460</c:v>
                </c:pt>
                <c:pt idx="74">
                  <c:v>460</c:v>
                </c:pt>
                <c:pt idx="75">
                  <c:v>460</c:v>
                </c:pt>
                <c:pt idx="76">
                  <c:v>460.44</c:v>
                </c:pt>
                <c:pt idx="77">
                  <c:v>460.44</c:v>
                </c:pt>
                <c:pt idx="78">
                  <c:v>460.39</c:v>
                </c:pt>
                <c:pt idx="79">
                  <c:v>460.42</c:v>
                </c:pt>
                <c:pt idx="80">
                  <c:v>460.45</c:v>
                </c:pt>
                <c:pt idx="81">
                  <c:v>460.48</c:v>
                </c:pt>
                <c:pt idx="82">
                  <c:v>460.48</c:v>
                </c:pt>
                <c:pt idx="83">
                  <c:v>460.48</c:v>
                </c:pt>
                <c:pt idx="84">
                  <c:v>460.48</c:v>
                </c:pt>
                <c:pt idx="85">
                  <c:v>461.5</c:v>
                </c:pt>
                <c:pt idx="86">
                  <c:v>464.5</c:v>
                </c:pt>
                <c:pt idx="87">
                  <c:v>460</c:v>
                </c:pt>
                <c:pt idx="88">
                  <c:v>463.5</c:v>
                </c:pt>
                <c:pt idx="89">
                  <c:v>464.5</c:v>
                </c:pt>
                <c:pt idx="90">
                  <c:v>464.5</c:v>
                </c:pt>
                <c:pt idx="91">
                  <c:v>460.34</c:v>
                </c:pt>
                <c:pt idx="92">
                  <c:v>460.33</c:v>
                </c:pt>
                <c:pt idx="93">
                  <c:v>464.5</c:v>
                </c:pt>
                <c:pt idx="94">
                  <c:v>464.5</c:v>
                </c:pt>
                <c:pt idx="95">
                  <c:v>460.33</c:v>
                </c:pt>
                <c:pt idx="96">
                  <c:v>465</c:v>
                </c:pt>
                <c:pt idx="97">
                  <c:v>465</c:v>
                </c:pt>
                <c:pt idx="98">
                  <c:v>460.33</c:v>
                </c:pt>
                <c:pt idx="99">
                  <c:v>460.33</c:v>
                </c:pt>
                <c:pt idx="100">
                  <c:v>465</c:v>
                </c:pt>
                <c:pt idx="101">
                  <c:v>464.5</c:v>
                </c:pt>
                <c:pt idx="102">
                  <c:v>465.5</c:v>
                </c:pt>
                <c:pt idx="103">
                  <c:v>464.5</c:v>
                </c:pt>
                <c:pt idx="104">
                  <c:v>464.5</c:v>
                </c:pt>
                <c:pt idx="105">
                  <c:v>460.43</c:v>
                </c:pt>
                <c:pt idx="106">
                  <c:v>460.42</c:v>
                </c:pt>
                <c:pt idx="107">
                  <c:v>465</c:v>
                </c:pt>
                <c:pt idx="108">
                  <c:v>460.32</c:v>
                </c:pt>
                <c:pt idx="109">
                  <c:v>463.5</c:v>
                </c:pt>
                <c:pt idx="110">
                  <c:v>460.53</c:v>
                </c:pt>
                <c:pt idx="111">
                  <c:v>460.53</c:v>
                </c:pt>
                <c:pt idx="112">
                  <c:v>460.53</c:v>
                </c:pt>
                <c:pt idx="113">
                  <c:v>460.53</c:v>
                </c:pt>
                <c:pt idx="114">
                  <c:v>464.5</c:v>
                </c:pt>
                <c:pt idx="115">
                  <c:v>463</c:v>
                </c:pt>
                <c:pt idx="116">
                  <c:v>461.5</c:v>
                </c:pt>
                <c:pt idx="117">
                  <c:v>462.5</c:v>
                </c:pt>
                <c:pt idx="118">
                  <c:v>461.5</c:v>
                </c:pt>
                <c:pt idx="119">
                  <c:v>460.47</c:v>
                </c:pt>
                <c:pt idx="120">
                  <c:v>461.5</c:v>
                </c:pt>
                <c:pt idx="121">
                  <c:v>462.5</c:v>
                </c:pt>
                <c:pt idx="122">
                  <c:v>460.35</c:v>
                </c:pt>
                <c:pt idx="123">
                  <c:v>462.5</c:v>
                </c:pt>
                <c:pt idx="124">
                  <c:v>461</c:v>
                </c:pt>
                <c:pt idx="125">
                  <c:v>461.5</c:v>
                </c:pt>
                <c:pt idx="126">
                  <c:v>460.37</c:v>
                </c:pt>
                <c:pt idx="127">
                  <c:v>461.5</c:v>
                </c:pt>
                <c:pt idx="128">
                  <c:v>462.5</c:v>
                </c:pt>
                <c:pt idx="129">
                  <c:v>462.5</c:v>
                </c:pt>
                <c:pt idx="130">
                  <c:v>462.5</c:v>
                </c:pt>
                <c:pt idx="131">
                  <c:v>462.5</c:v>
                </c:pt>
                <c:pt idx="132">
                  <c:v>462.5</c:v>
                </c:pt>
                <c:pt idx="133">
                  <c:v>460.53</c:v>
                </c:pt>
                <c:pt idx="134">
                  <c:v>462</c:v>
                </c:pt>
                <c:pt idx="135">
                  <c:v>461</c:v>
                </c:pt>
                <c:pt idx="136">
                  <c:v>461</c:v>
                </c:pt>
                <c:pt idx="137">
                  <c:v>462</c:v>
                </c:pt>
                <c:pt idx="138">
                  <c:v>461</c:v>
                </c:pt>
                <c:pt idx="139">
                  <c:v>461</c:v>
                </c:pt>
                <c:pt idx="140">
                  <c:v>460.84</c:v>
                </c:pt>
                <c:pt idx="141">
                  <c:v>461.5</c:v>
                </c:pt>
                <c:pt idx="142">
                  <c:v>461</c:v>
                </c:pt>
                <c:pt idx="143">
                  <c:v>461.5</c:v>
                </c:pt>
                <c:pt idx="144">
                  <c:v>461.5</c:v>
                </c:pt>
                <c:pt idx="145">
                  <c:v>461.5</c:v>
                </c:pt>
                <c:pt idx="146">
                  <c:v>461.5</c:v>
                </c:pt>
                <c:pt idx="147">
                  <c:v>460.75</c:v>
                </c:pt>
                <c:pt idx="148">
                  <c:v>460.72</c:v>
                </c:pt>
                <c:pt idx="149">
                  <c:v>462</c:v>
                </c:pt>
                <c:pt idx="150">
                  <c:v>461.5</c:v>
                </c:pt>
                <c:pt idx="151">
                  <c:v>461.26</c:v>
                </c:pt>
                <c:pt idx="152">
                  <c:v>462</c:v>
                </c:pt>
                <c:pt idx="153">
                  <c:v>462</c:v>
                </c:pt>
                <c:pt idx="154">
                  <c:v>461.42</c:v>
                </c:pt>
                <c:pt idx="155">
                  <c:v>462</c:v>
                </c:pt>
                <c:pt idx="156">
                  <c:v>462</c:v>
                </c:pt>
                <c:pt idx="157">
                  <c:v>462</c:v>
                </c:pt>
                <c:pt idx="158">
                  <c:v>462.17</c:v>
                </c:pt>
                <c:pt idx="159">
                  <c:v>464</c:v>
                </c:pt>
                <c:pt idx="160">
                  <c:v>464</c:v>
                </c:pt>
                <c:pt idx="161">
                  <c:v>462.4</c:v>
                </c:pt>
                <c:pt idx="162">
                  <c:v>463.5</c:v>
                </c:pt>
                <c:pt idx="163">
                  <c:v>463.5</c:v>
                </c:pt>
                <c:pt idx="164">
                  <c:v>465.5</c:v>
                </c:pt>
                <c:pt idx="165">
                  <c:v>465.5</c:v>
                </c:pt>
                <c:pt idx="166">
                  <c:v>656.5</c:v>
                </c:pt>
                <c:pt idx="167">
                  <c:v>656.5</c:v>
                </c:pt>
                <c:pt idx="168">
                  <c:v>687.46</c:v>
                </c:pt>
                <c:pt idx="169">
                  <c:v>755.5</c:v>
                </c:pt>
                <c:pt idx="170">
                  <c:v>820</c:v>
                </c:pt>
                <c:pt idx="171">
                  <c:v>816.5</c:v>
                </c:pt>
                <c:pt idx="172">
                  <c:v>823</c:v>
                </c:pt>
                <c:pt idx="173">
                  <c:v>823</c:v>
                </c:pt>
                <c:pt idx="174">
                  <c:v>761.5</c:v>
                </c:pt>
                <c:pt idx="175">
                  <c:v>813</c:v>
                </c:pt>
                <c:pt idx="176">
                  <c:v>764.55</c:v>
                </c:pt>
                <c:pt idx="177">
                  <c:v>754.45</c:v>
                </c:pt>
                <c:pt idx="178">
                  <c:v>754.5</c:v>
                </c:pt>
                <c:pt idx="179">
                  <c:v>760.27</c:v>
                </c:pt>
                <c:pt idx="180">
                  <c:v>760.27</c:v>
                </c:pt>
                <c:pt idx="181">
                  <c:v>760.27</c:v>
                </c:pt>
                <c:pt idx="182">
                  <c:v>770.5</c:v>
                </c:pt>
                <c:pt idx="183">
                  <c:v>771.38</c:v>
                </c:pt>
                <c:pt idx="184">
                  <c:v>773.5</c:v>
                </c:pt>
                <c:pt idx="185">
                  <c:v>774.5</c:v>
                </c:pt>
                <c:pt idx="186">
                  <c:v>769.5</c:v>
                </c:pt>
                <c:pt idx="187">
                  <c:v>769.5</c:v>
                </c:pt>
                <c:pt idx="188">
                  <c:v>762.56</c:v>
                </c:pt>
                <c:pt idx="189">
                  <c:v>787.65</c:v>
                </c:pt>
                <c:pt idx="190">
                  <c:v>780.5</c:v>
                </c:pt>
                <c:pt idx="191">
                  <c:v>776.5</c:v>
                </c:pt>
                <c:pt idx="192">
                  <c:v>777.5</c:v>
                </c:pt>
                <c:pt idx="193">
                  <c:v>776.5</c:v>
                </c:pt>
                <c:pt idx="194">
                  <c:v>776.5</c:v>
                </c:pt>
                <c:pt idx="195">
                  <c:v>776.5</c:v>
                </c:pt>
                <c:pt idx="196">
                  <c:v>777.5</c:v>
                </c:pt>
                <c:pt idx="197">
                  <c:v>789.5</c:v>
                </c:pt>
                <c:pt idx="198">
                  <c:v>791.51</c:v>
                </c:pt>
                <c:pt idx="199">
                  <c:v>791.01</c:v>
                </c:pt>
                <c:pt idx="200">
                  <c:v>776.5</c:v>
                </c:pt>
                <c:pt idx="201">
                  <c:v>776.5</c:v>
                </c:pt>
                <c:pt idx="202">
                  <c:v>792.01</c:v>
                </c:pt>
                <c:pt idx="203">
                  <c:v>793.32</c:v>
                </c:pt>
                <c:pt idx="204">
                  <c:v>793.32</c:v>
                </c:pt>
                <c:pt idx="205">
                  <c:v>788.5</c:v>
                </c:pt>
                <c:pt idx="206">
                  <c:v>775.5</c:v>
                </c:pt>
                <c:pt idx="207">
                  <c:v>775.78</c:v>
                </c:pt>
                <c:pt idx="208">
                  <c:v>775.78</c:v>
                </c:pt>
                <c:pt idx="209">
                  <c:v>772.44</c:v>
                </c:pt>
                <c:pt idx="210">
                  <c:v>760.4</c:v>
                </c:pt>
                <c:pt idx="211">
                  <c:v>758.52</c:v>
                </c:pt>
                <c:pt idx="212">
                  <c:v>776.36</c:v>
                </c:pt>
                <c:pt idx="213">
                  <c:v>778</c:v>
                </c:pt>
                <c:pt idx="214">
                  <c:v>767.45</c:v>
                </c:pt>
                <c:pt idx="215">
                  <c:v>767.45</c:v>
                </c:pt>
                <c:pt idx="216">
                  <c:v>765.59</c:v>
                </c:pt>
                <c:pt idx="217">
                  <c:v>751.12</c:v>
                </c:pt>
                <c:pt idx="218">
                  <c:v>750.97</c:v>
                </c:pt>
                <c:pt idx="219">
                  <c:v>769.27</c:v>
                </c:pt>
                <c:pt idx="220">
                  <c:v>769.24</c:v>
                </c:pt>
                <c:pt idx="221">
                  <c:v>769.2</c:v>
                </c:pt>
                <c:pt idx="222">
                  <c:v>769.2</c:v>
                </c:pt>
                <c:pt idx="223">
                  <c:v>772.17</c:v>
                </c:pt>
                <c:pt idx="224">
                  <c:v>766.4</c:v>
                </c:pt>
                <c:pt idx="225">
                  <c:v>760.5</c:v>
                </c:pt>
                <c:pt idx="226">
                  <c:v>785.89</c:v>
                </c:pt>
                <c:pt idx="227">
                  <c:v>767.97</c:v>
                </c:pt>
                <c:pt idx="228">
                  <c:v>769.5</c:v>
                </c:pt>
                <c:pt idx="229">
                  <c:v>769.5</c:v>
                </c:pt>
                <c:pt idx="230">
                  <c:v>746.43</c:v>
                </c:pt>
                <c:pt idx="231">
                  <c:v>765</c:v>
                </c:pt>
                <c:pt idx="232">
                  <c:v>762.29</c:v>
                </c:pt>
                <c:pt idx="233">
                  <c:v>760.5</c:v>
                </c:pt>
                <c:pt idx="234">
                  <c:v>755.71</c:v>
                </c:pt>
                <c:pt idx="235">
                  <c:v>772.34</c:v>
                </c:pt>
                <c:pt idx="236">
                  <c:v>772.34</c:v>
                </c:pt>
                <c:pt idx="237">
                  <c:v>771.34</c:v>
                </c:pt>
                <c:pt idx="238">
                  <c:v>772.95</c:v>
                </c:pt>
                <c:pt idx="239">
                  <c:v>772.47</c:v>
                </c:pt>
                <c:pt idx="240">
                  <c:v>773.5</c:v>
                </c:pt>
                <c:pt idx="241">
                  <c:v>773.5</c:v>
                </c:pt>
                <c:pt idx="242">
                  <c:v>757.02</c:v>
                </c:pt>
                <c:pt idx="243">
                  <c:v>757.02</c:v>
                </c:pt>
                <c:pt idx="244">
                  <c:v>757.02</c:v>
                </c:pt>
                <c:pt idx="245">
                  <c:v>757.49</c:v>
                </c:pt>
                <c:pt idx="246">
                  <c:v>761</c:v>
                </c:pt>
                <c:pt idx="247">
                  <c:v>754.36</c:v>
                </c:pt>
                <c:pt idx="248">
                  <c:v>785.5</c:v>
                </c:pt>
                <c:pt idx="249">
                  <c:v>789.5</c:v>
                </c:pt>
                <c:pt idx="250">
                  <c:v>789.5</c:v>
                </c:pt>
                <c:pt idx="251">
                  <c:v>789.5</c:v>
                </c:pt>
                <c:pt idx="252">
                  <c:v>779.04750000000001</c:v>
                </c:pt>
                <c:pt idx="253">
                  <c:v>755</c:v>
                </c:pt>
                <c:pt idx="254">
                  <c:v>784.5</c:v>
                </c:pt>
                <c:pt idx="255">
                  <c:v>784.5</c:v>
                </c:pt>
                <c:pt idx="256">
                  <c:v>784.74</c:v>
                </c:pt>
                <c:pt idx="257">
                  <c:v>784.74</c:v>
                </c:pt>
                <c:pt idx="258">
                  <c:v>768.24</c:v>
                </c:pt>
                <c:pt idx="259">
                  <c:v>760.43</c:v>
                </c:pt>
                <c:pt idx="260">
                  <c:v>776.5</c:v>
                </c:pt>
                <c:pt idx="261">
                  <c:v>770.77</c:v>
                </c:pt>
                <c:pt idx="262">
                  <c:v>767.93</c:v>
                </c:pt>
                <c:pt idx="263">
                  <c:v>770.5</c:v>
                </c:pt>
                <c:pt idx="264">
                  <c:v>770.5</c:v>
                </c:pt>
                <c:pt idx="265">
                  <c:v>767.93</c:v>
                </c:pt>
                <c:pt idx="266">
                  <c:v>779.55</c:v>
                </c:pt>
                <c:pt idx="267">
                  <c:v>779.55</c:v>
                </c:pt>
                <c:pt idx="268">
                  <c:v>781.5</c:v>
                </c:pt>
                <c:pt idx="269">
                  <c:v>778.1</c:v>
                </c:pt>
                <c:pt idx="270">
                  <c:v>770.5</c:v>
                </c:pt>
                <c:pt idx="271">
                  <c:v>770.5</c:v>
                </c:pt>
                <c:pt idx="272">
                  <c:v>769.55</c:v>
                </c:pt>
                <c:pt idx="273">
                  <c:v>766.97</c:v>
                </c:pt>
                <c:pt idx="274">
                  <c:v>766</c:v>
                </c:pt>
                <c:pt idx="275">
                  <c:v>747.11</c:v>
                </c:pt>
                <c:pt idx="276">
                  <c:v>762.04</c:v>
                </c:pt>
                <c:pt idx="277">
                  <c:v>767</c:v>
                </c:pt>
                <c:pt idx="278">
                  <c:v>767</c:v>
                </c:pt>
                <c:pt idx="279">
                  <c:v>772.04</c:v>
                </c:pt>
                <c:pt idx="280">
                  <c:v>759.21</c:v>
                </c:pt>
                <c:pt idx="281">
                  <c:v>763.53</c:v>
                </c:pt>
                <c:pt idx="282">
                  <c:v>766.70899999999995</c:v>
                </c:pt>
                <c:pt idx="283">
                  <c:v>768.6</c:v>
                </c:pt>
                <c:pt idx="284">
                  <c:v>770.01</c:v>
                </c:pt>
                <c:pt idx="285">
                  <c:v>770.01</c:v>
                </c:pt>
                <c:pt idx="286">
                  <c:v>770.01</c:v>
                </c:pt>
                <c:pt idx="287">
                  <c:v>765.5</c:v>
                </c:pt>
                <c:pt idx="288">
                  <c:v>765.5</c:v>
                </c:pt>
                <c:pt idx="289">
                  <c:v>766</c:v>
                </c:pt>
                <c:pt idx="290">
                  <c:v>764</c:v>
                </c:pt>
                <c:pt idx="291">
                  <c:v>764</c:v>
                </c:pt>
                <c:pt idx="292">
                  <c:v>764</c:v>
                </c:pt>
                <c:pt idx="293">
                  <c:v>764</c:v>
                </c:pt>
                <c:pt idx="294">
                  <c:v>764.59500000000003</c:v>
                </c:pt>
                <c:pt idx="295">
                  <c:v>860.5</c:v>
                </c:pt>
                <c:pt idx="296">
                  <c:v>817.91</c:v>
                </c:pt>
                <c:pt idx="297">
                  <c:v>802.7</c:v>
                </c:pt>
                <c:pt idx="298">
                  <c:v>795</c:v>
                </c:pt>
                <c:pt idx="299">
                  <c:v>795</c:v>
                </c:pt>
                <c:pt idx="300">
                  <c:v>795</c:v>
                </c:pt>
                <c:pt idx="301">
                  <c:v>786.48</c:v>
                </c:pt>
                <c:pt idx="302">
                  <c:v>787</c:v>
                </c:pt>
                <c:pt idx="303">
                  <c:v>788.5</c:v>
                </c:pt>
                <c:pt idx="304">
                  <c:v>786.09</c:v>
                </c:pt>
                <c:pt idx="305">
                  <c:v>806.77</c:v>
                </c:pt>
                <c:pt idx="306">
                  <c:v>806.77</c:v>
                </c:pt>
                <c:pt idx="307">
                  <c:v>806.77</c:v>
                </c:pt>
                <c:pt idx="308">
                  <c:v>800</c:v>
                </c:pt>
                <c:pt idx="309">
                  <c:v>786.59</c:v>
                </c:pt>
                <c:pt idx="310">
                  <c:v>803.3</c:v>
                </c:pt>
                <c:pt idx="311">
                  <c:v>803.00599999999997</c:v>
                </c:pt>
                <c:pt idx="312">
                  <c:v>805</c:v>
                </c:pt>
                <c:pt idx="313">
                  <c:v>805</c:v>
                </c:pt>
                <c:pt idx="314">
                  <c:v>805</c:v>
                </c:pt>
                <c:pt idx="315">
                  <c:v>836</c:v>
                </c:pt>
                <c:pt idx="316">
                  <c:v>905.5</c:v>
                </c:pt>
                <c:pt idx="317">
                  <c:v>843.58</c:v>
                </c:pt>
                <c:pt idx="318">
                  <c:v>845.5</c:v>
                </c:pt>
                <c:pt idx="319">
                  <c:v>840.04</c:v>
                </c:pt>
                <c:pt idx="320">
                  <c:v>840.04</c:v>
                </c:pt>
                <c:pt idx="321">
                  <c:v>840.04</c:v>
                </c:pt>
                <c:pt idx="322">
                  <c:v>820.18</c:v>
                </c:pt>
                <c:pt idx="323">
                  <c:v>816.6</c:v>
                </c:pt>
                <c:pt idx="324">
                  <c:v>804.39</c:v>
                </c:pt>
                <c:pt idx="325">
                  <c:v>804.94</c:v>
                </c:pt>
                <c:pt idx="326">
                  <c:v>812.5</c:v>
                </c:pt>
                <c:pt idx="327">
                  <c:v>812.5</c:v>
                </c:pt>
                <c:pt idx="328">
                  <c:v>812.5</c:v>
                </c:pt>
                <c:pt idx="329">
                  <c:v>799.5</c:v>
                </c:pt>
                <c:pt idx="330">
                  <c:v>799.5</c:v>
                </c:pt>
                <c:pt idx="331">
                  <c:v>794</c:v>
                </c:pt>
                <c:pt idx="332">
                  <c:v>790.5</c:v>
                </c:pt>
                <c:pt idx="333">
                  <c:v>789</c:v>
                </c:pt>
                <c:pt idx="334">
                  <c:v>789</c:v>
                </c:pt>
                <c:pt idx="335">
                  <c:v>789</c:v>
                </c:pt>
                <c:pt idx="336">
                  <c:v>799</c:v>
                </c:pt>
                <c:pt idx="337">
                  <c:v>802.5</c:v>
                </c:pt>
                <c:pt idx="338">
                  <c:v>803.5</c:v>
                </c:pt>
                <c:pt idx="339">
                  <c:v>801.75</c:v>
                </c:pt>
                <c:pt idx="340">
                  <c:v>802.5</c:v>
                </c:pt>
                <c:pt idx="341">
                  <c:v>803.5</c:v>
                </c:pt>
                <c:pt idx="342">
                  <c:v>803.5</c:v>
                </c:pt>
                <c:pt idx="343">
                  <c:v>798.5</c:v>
                </c:pt>
                <c:pt idx="344">
                  <c:v>802.42</c:v>
                </c:pt>
                <c:pt idx="345">
                  <c:v>802.5</c:v>
                </c:pt>
                <c:pt idx="346">
                  <c:v>791</c:v>
                </c:pt>
                <c:pt idx="347">
                  <c:v>802.99</c:v>
                </c:pt>
                <c:pt idx="348">
                  <c:v>802.99</c:v>
                </c:pt>
                <c:pt idx="349">
                  <c:v>802.99</c:v>
                </c:pt>
                <c:pt idx="350">
                  <c:v>789.91</c:v>
                </c:pt>
                <c:pt idx="351">
                  <c:v>802.5</c:v>
                </c:pt>
                <c:pt idx="352">
                  <c:v>825</c:v>
                </c:pt>
                <c:pt idx="353">
                  <c:v>825.0761</c:v>
                </c:pt>
                <c:pt idx="354">
                  <c:v>903.89</c:v>
                </c:pt>
                <c:pt idx="355">
                  <c:v>903.89</c:v>
                </c:pt>
                <c:pt idx="356">
                  <c:v>903.89</c:v>
                </c:pt>
                <c:pt idx="357">
                  <c:v>904.57</c:v>
                </c:pt>
                <c:pt idx="358">
                  <c:v>905.1</c:v>
                </c:pt>
                <c:pt idx="359">
                  <c:v>895.5</c:v>
                </c:pt>
                <c:pt idx="360">
                  <c:v>896.62</c:v>
                </c:pt>
                <c:pt idx="361">
                  <c:v>896.64</c:v>
                </c:pt>
                <c:pt idx="362">
                  <c:v>896.64</c:v>
                </c:pt>
              </c:numCache>
            </c:numRef>
          </c:val>
          <c:smooth val="0"/>
          <c:extLst>
            <c:ext xmlns:c16="http://schemas.microsoft.com/office/drawing/2014/chart" uri="{C3380CC4-5D6E-409C-BE32-E72D297353CC}">
              <c16:uniqueId val="{00000000-0C31-48FA-8CA5-441C96E1A292}"/>
            </c:ext>
          </c:extLst>
        </c:ser>
        <c:dLbls>
          <c:showLegendKey val="0"/>
          <c:showVal val="0"/>
          <c:showCatName val="0"/>
          <c:showSerName val="0"/>
          <c:showPercent val="0"/>
          <c:showBubbleSize val="0"/>
        </c:dLbls>
        <c:smooth val="0"/>
        <c:axId val="366792223"/>
        <c:axId val="724272912"/>
      </c:lineChart>
      <c:dateAx>
        <c:axId val="366792223"/>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272912"/>
        <c:crosses val="autoZero"/>
        <c:auto val="1"/>
        <c:lblOffset val="100"/>
        <c:baseTimeUnit val="days"/>
      </c:dateAx>
      <c:valAx>
        <c:axId val="7242729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67922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Deval!$A$2:$A$364</c:f>
              <c:numCache>
                <c:formatCode>m/d/yyyy</c:formatCode>
                <c:ptCount val="363"/>
                <c:pt idx="0">
                  <c:v>45292</c:v>
                </c:pt>
                <c:pt idx="1">
                  <c:v>45293</c:v>
                </c:pt>
                <c:pt idx="2">
                  <c:v>45294</c:v>
                </c:pt>
                <c:pt idx="3">
                  <c:v>45295</c:v>
                </c:pt>
                <c:pt idx="4">
                  <c:v>45296</c:v>
                </c:pt>
                <c:pt idx="5">
                  <c:v>45297</c:v>
                </c:pt>
                <c:pt idx="6">
                  <c:v>45298</c:v>
                </c:pt>
                <c:pt idx="7">
                  <c:v>45299</c:v>
                </c:pt>
                <c:pt idx="8">
                  <c:v>45300</c:v>
                </c:pt>
                <c:pt idx="9">
                  <c:v>45301</c:v>
                </c:pt>
                <c:pt idx="10">
                  <c:v>45302</c:v>
                </c:pt>
                <c:pt idx="11">
                  <c:v>45303</c:v>
                </c:pt>
                <c:pt idx="12">
                  <c:v>45304</c:v>
                </c:pt>
                <c:pt idx="13">
                  <c:v>45305</c:v>
                </c:pt>
                <c:pt idx="14">
                  <c:v>45306</c:v>
                </c:pt>
                <c:pt idx="15">
                  <c:v>45307</c:v>
                </c:pt>
                <c:pt idx="16">
                  <c:v>45308</c:v>
                </c:pt>
                <c:pt idx="17">
                  <c:v>45309</c:v>
                </c:pt>
                <c:pt idx="18">
                  <c:v>45310</c:v>
                </c:pt>
                <c:pt idx="19">
                  <c:v>45311</c:v>
                </c:pt>
                <c:pt idx="20">
                  <c:v>45312</c:v>
                </c:pt>
                <c:pt idx="21">
                  <c:v>45313</c:v>
                </c:pt>
                <c:pt idx="22">
                  <c:v>45314</c:v>
                </c:pt>
                <c:pt idx="23">
                  <c:v>45315</c:v>
                </c:pt>
                <c:pt idx="24">
                  <c:v>45316</c:v>
                </c:pt>
                <c:pt idx="25">
                  <c:v>45317</c:v>
                </c:pt>
                <c:pt idx="26">
                  <c:v>45318</c:v>
                </c:pt>
                <c:pt idx="27">
                  <c:v>45319</c:v>
                </c:pt>
                <c:pt idx="28">
                  <c:v>45320</c:v>
                </c:pt>
                <c:pt idx="29">
                  <c:v>45321</c:v>
                </c:pt>
                <c:pt idx="30">
                  <c:v>45322</c:v>
                </c:pt>
                <c:pt idx="31">
                  <c:v>45324</c:v>
                </c:pt>
                <c:pt idx="32">
                  <c:v>45325</c:v>
                </c:pt>
                <c:pt idx="33">
                  <c:v>45326</c:v>
                </c:pt>
                <c:pt idx="34">
                  <c:v>45327</c:v>
                </c:pt>
                <c:pt idx="35">
                  <c:v>45330</c:v>
                </c:pt>
                <c:pt idx="36">
                  <c:v>45331</c:v>
                </c:pt>
                <c:pt idx="37">
                  <c:v>45332</c:v>
                </c:pt>
                <c:pt idx="38">
                  <c:v>45333</c:v>
                </c:pt>
                <c:pt idx="39">
                  <c:v>45334</c:v>
                </c:pt>
                <c:pt idx="40">
                  <c:v>45335</c:v>
                </c:pt>
                <c:pt idx="41">
                  <c:v>45336</c:v>
                </c:pt>
                <c:pt idx="42">
                  <c:v>45337</c:v>
                </c:pt>
                <c:pt idx="43">
                  <c:v>45338</c:v>
                </c:pt>
                <c:pt idx="44">
                  <c:v>45339</c:v>
                </c:pt>
                <c:pt idx="45">
                  <c:v>45340</c:v>
                </c:pt>
                <c:pt idx="46">
                  <c:v>45341</c:v>
                </c:pt>
                <c:pt idx="47">
                  <c:v>45342</c:v>
                </c:pt>
                <c:pt idx="48">
                  <c:v>45343</c:v>
                </c:pt>
                <c:pt idx="49">
                  <c:v>45344</c:v>
                </c:pt>
                <c:pt idx="50">
                  <c:v>45345</c:v>
                </c:pt>
                <c:pt idx="51">
                  <c:v>45346</c:v>
                </c:pt>
                <c:pt idx="52">
                  <c:v>45347</c:v>
                </c:pt>
                <c:pt idx="53">
                  <c:v>45348</c:v>
                </c:pt>
                <c:pt idx="54">
                  <c:v>45349</c:v>
                </c:pt>
                <c:pt idx="55">
                  <c:v>45350</c:v>
                </c:pt>
                <c:pt idx="56">
                  <c:v>45351</c:v>
                </c:pt>
                <c:pt idx="57">
                  <c:v>45352</c:v>
                </c:pt>
                <c:pt idx="58">
                  <c:v>45353</c:v>
                </c:pt>
                <c:pt idx="59">
                  <c:v>45354</c:v>
                </c:pt>
                <c:pt idx="60">
                  <c:v>45355</c:v>
                </c:pt>
                <c:pt idx="61">
                  <c:v>45356</c:v>
                </c:pt>
                <c:pt idx="62">
                  <c:v>45357</c:v>
                </c:pt>
                <c:pt idx="63">
                  <c:v>45358</c:v>
                </c:pt>
                <c:pt idx="64">
                  <c:v>45359</c:v>
                </c:pt>
                <c:pt idx="65">
                  <c:v>45360</c:v>
                </c:pt>
                <c:pt idx="66">
                  <c:v>45361</c:v>
                </c:pt>
                <c:pt idx="67">
                  <c:v>45362</c:v>
                </c:pt>
                <c:pt idx="68">
                  <c:v>45363</c:v>
                </c:pt>
                <c:pt idx="69">
                  <c:v>45364</c:v>
                </c:pt>
                <c:pt idx="70">
                  <c:v>45365</c:v>
                </c:pt>
                <c:pt idx="71">
                  <c:v>45366</c:v>
                </c:pt>
                <c:pt idx="72">
                  <c:v>45367</c:v>
                </c:pt>
                <c:pt idx="73">
                  <c:v>45368</c:v>
                </c:pt>
                <c:pt idx="74">
                  <c:v>45369</c:v>
                </c:pt>
                <c:pt idx="75">
                  <c:v>45370</c:v>
                </c:pt>
                <c:pt idx="76">
                  <c:v>45371</c:v>
                </c:pt>
                <c:pt idx="77">
                  <c:v>45372</c:v>
                </c:pt>
                <c:pt idx="78">
                  <c:v>45373</c:v>
                </c:pt>
                <c:pt idx="79">
                  <c:v>45374</c:v>
                </c:pt>
                <c:pt idx="80">
                  <c:v>45375</c:v>
                </c:pt>
                <c:pt idx="81">
                  <c:v>45376</c:v>
                </c:pt>
                <c:pt idx="82">
                  <c:v>45377</c:v>
                </c:pt>
                <c:pt idx="83">
                  <c:v>45378</c:v>
                </c:pt>
                <c:pt idx="84">
                  <c:v>45379</c:v>
                </c:pt>
                <c:pt idx="85">
                  <c:v>45380</c:v>
                </c:pt>
                <c:pt idx="86">
                  <c:v>45381</c:v>
                </c:pt>
                <c:pt idx="87">
                  <c:v>45382</c:v>
                </c:pt>
                <c:pt idx="88">
                  <c:v>45383</c:v>
                </c:pt>
                <c:pt idx="89">
                  <c:v>45384</c:v>
                </c:pt>
                <c:pt idx="90">
                  <c:v>45385</c:v>
                </c:pt>
                <c:pt idx="91">
                  <c:v>45386</c:v>
                </c:pt>
                <c:pt idx="92">
                  <c:v>45387</c:v>
                </c:pt>
                <c:pt idx="93">
                  <c:v>45388</c:v>
                </c:pt>
                <c:pt idx="94">
                  <c:v>45389</c:v>
                </c:pt>
                <c:pt idx="95">
                  <c:v>45390</c:v>
                </c:pt>
                <c:pt idx="96">
                  <c:v>45391</c:v>
                </c:pt>
                <c:pt idx="97">
                  <c:v>45392</c:v>
                </c:pt>
                <c:pt idx="98">
                  <c:v>45393</c:v>
                </c:pt>
                <c:pt idx="99">
                  <c:v>45394</c:v>
                </c:pt>
                <c:pt idx="100">
                  <c:v>45395</c:v>
                </c:pt>
                <c:pt idx="101">
                  <c:v>45396</c:v>
                </c:pt>
                <c:pt idx="102">
                  <c:v>45397</c:v>
                </c:pt>
                <c:pt idx="103">
                  <c:v>45398</c:v>
                </c:pt>
                <c:pt idx="104">
                  <c:v>45399</c:v>
                </c:pt>
                <c:pt idx="105">
                  <c:v>45400</c:v>
                </c:pt>
                <c:pt idx="106">
                  <c:v>45401</c:v>
                </c:pt>
                <c:pt idx="107">
                  <c:v>45402</c:v>
                </c:pt>
                <c:pt idx="108">
                  <c:v>45403</c:v>
                </c:pt>
                <c:pt idx="109">
                  <c:v>45404</c:v>
                </c:pt>
                <c:pt idx="110">
                  <c:v>45405</c:v>
                </c:pt>
                <c:pt idx="111">
                  <c:v>45406</c:v>
                </c:pt>
                <c:pt idx="112">
                  <c:v>45407</c:v>
                </c:pt>
                <c:pt idx="113">
                  <c:v>45408</c:v>
                </c:pt>
                <c:pt idx="114">
                  <c:v>45409</c:v>
                </c:pt>
                <c:pt idx="115">
                  <c:v>45410</c:v>
                </c:pt>
                <c:pt idx="116">
                  <c:v>45411</c:v>
                </c:pt>
                <c:pt idx="117">
                  <c:v>45412</c:v>
                </c:pt>
                <c:pt idx="118">
                  <c:v>45413</c:v>
                </c:pt>
                <c:pt idx="119">
                  <c:v>45414</c:v>
                </c:pt>
                <c:pt idx="120">
                  <c:v>45415</c:v>
                </c:pt>
                <c:pt idx="121">
                  <c:v>45416</c:v>
                </c:pt>
                <c:pt idx="122">
                  <c:v>45417</c:v>
                </c:pt>
                <c:pt idx="123">
                  <c:v>45418</c:v>
                </c:pt>
                <c:pt idx="124">
                  <c:v>45419</c:v>
                </c:pt>
                <c:pt idx="125">
                  <c:v>45420</c:v>
                </c:pt>
                <c:pt idx="126">
                  <c:v>45421</c:v>
                </c:pt>
                <c:pt idx="127">
                  <c:v>45422</c:v>
                </c:pt>
                <c:pt idx="128">
                  <c:v>45423</c:v>
                </c:pt>
                <c:pt idx="129">
                  <c:v>45424</c:v>
                </c:pt>
                <c:pt idx="130">
                  <c:v>45425</c:v>
                </c:pt>
                <c:pt idx="131">
                  <c:v>45426</c:v>
                </c:pt>
                <c:pt idx="132">
                  <c:v>45427</c:v>
                </c:pt>
                <c:pt idx="133">
                  <c:v>45428</c:v>
                </c:pt>
                <c:pt idx="134">
                  <c:v>45429</c:v>
                </c:pt>
                <c:pt idx="135">
                  <c:v>45430</c:v>
                </c:pt>
                <c:pt idx="136">
                  <c:v>45431</c:v>
                </c:pt>
                <c:pt idx="137">
                  <c:v>45432</c:v>
                </c:pt>
                <c:pt idx="138">
                  <c:v>45433</c:v>
                </c:pt>
                <c:pt idx="139">
                  <c:v>45434</c:v>
                </c:pt>
                <c:pt idx="140">
                  <c:v>45435</c:v>
                </c:pt>
                <c:pt idx="141">
                  <c:v>45436</c:v>
                </c:pt>
                <c:pt idx="142">
                  <c:v>45437</c:v>
                </c:pt>
                <c:pt idx="143">
                  <c:v>45438</c:v>
                </c:pt>
                <c:pt idx="144">
                  <c:v>45439</c:v>
                </c:pt>
                <c:pt idx="145">
                  <c:v>45440</c:v>
                </c:pt>
                <c:pt idx="146">
                  <c:v>45441</c:v>
                </c:pt>
                <c:pt idx="147">
                  <c:v>45442</c:v>
                </c:pt>
                <c:pt idx="148">
                  <c:v>45443</c:v>
                </c:pt>
                <c:pt idx="149">
                  <c:v>45444</c:v>
                </c:pt>
                <c:pt idx="150">
                  <c:v>45445</c:v>
                </c:pt>
                <c:pt idx="151">
                  <c:v>45446</c:v>
                </c:pt>
                <c:pt idx="152">
                  <c:v>45447</c:v>
                </c:pt>
                <c:pt idx="153">
                  <c:v>45448</c:v>
                </c:pt>
                <c:pt idx="154">
                  <c:v>45449</c:v>
                </c:pt>
                <c:pt idx="155">
                  <c:v>45450</c:v>
                </c:pt>
                <c:pt idx="156">
                  <c:v>45451</c:v>
                </c:pt>
                <c:pt idx="157">
                  <c:v>45452</c:v>
                </c:pt>
                <c:pt idx="158">
                  <c:v>45453</c:v>
                </c:pt>
                <c:pt idx="159">
                  <c:v>45454</c:v>
                </c:pt>
                <c:pt idx="160">
                  <c:v>45455</c:v>
                </c:pt>
                <c:pt idx="161">
                  <c:v>45456</c:v>
                </c:pt>
                <c:pt idx="162">
                  <c:v>45457</c:v>
                </c:pt>
                <c:pt idx="163">
                  <c:v>45458</c:v>
                </c:pt>
                <c:pt idx="164">
                  <c:v>45459</c:v>
                </c:pt>
                <c:pt idx="165">
                  <c:v>45460</c:v>
                </c:pt>
                <c:pt idx="166">
                  <c:v>45461</c:v>
                </c:pt>
                <c:pt idx="167">
                  <c:v>45462</c:v>
                </c:pt>
                <c:pt idx="168">
                  <c:v>45463</c:v>
                </c:pt>
                <c:pt idx="169">
                  <c:v>45464</c:v>
                </c:pt>
                <c:pt idx="170">
                  <c:v>45465</c:v>
                </c:pt>
                <c:pt idx="171">
                  <c:v>45466</c:v>
                </c:pt>
                <c:pt idx="172">
                  <c:v>45467</c:v>
                </c:pt>
                <c:pt idx="173">
                  <c:v>45468</c:v>
                </c:pt>
                <c:pt idx="174">
                  <c:v>45469</c:v>
                </c:pt>
                <c:pt idx="175">
                  <c:v>45470</c:v>
                </c:pt>
                <c:pt idx="176">
                  <c:v>45471</c:v>
                </c:pt>
                <c:pt idx="177">
                  <c:v>45472</c:v>
                </c:pt>
                <c:pt idx="178">
                  <c:v>45473</c:v>
                </c:pt>
                <c:pt idx="179">
                  <c:v>45474</c:v>
                </c:pt>
                <c:pt idx="180">
                  <c:v>45475</c:v>
                </c:pt>
                <c:pt idx="181">
                  <c:v>45476</c:v>
                </c:pt>
                <c:pt idx="182">
                  <c:v>45477</c:v>
                </c:pt>
                <c:pt idx="183">
                  <c:v>45478</c:v>
                </c:pt>
                <c:pt idx="184">
                  <c:v>45479</c:v>
                </c:pt>
                <c:pt idx="185">
                  <c:v>45480</c:v>
                </c:pt>
                <c:pt idx="186">
                  <c:v>45481</c:v>
                </c:pt>
                <c:pt idx="187">
                  <c:v>45482</c:v>
                </c:pt>
                <c:pt idx="188">
                  <c:v>45483</c:v>
                </c:pt>
                <c:pt idx="189">
                  <c:v>45484</c:v>
                </c:pt>
                <c:pt idx="190">
                  <c:v>45485</c:v>
                </c:pt>
                <c:pt idx="191">
                  <c:v>45486</c:v>
                </c:pt>
                <c:pt idx="192">
                  <c:v>45487</c:v>
                </c:pt>
                <c:pt idx="193">
                  <c:v>45488</c:v>
                </c:pt>
                <c:pt idx="194">
                  <c:v>45489</c:v>
                </c:pt>
                <c:pt idx="195">
                  <c:v>45490</c:v>
                </c:pt>
                <c:pt idx="196">
                  <c:v>45491</c:v>
                </c:pt>
                <c:pt idx="197">
                  <c:v>45492</c:v>
                </c:pt>
                <c:pt idx="198">
                  <c:v>45493</c:v>
                </c:pt>
                <c:pt idx="199">
                  <c:v>45494</c:v>
                </c:pt>
                <c:pt idx="200">
                  <c:v>45495</c:v>
                </c:pt>
                <c:pt idx="201">
                  <c:v>45496</c:v>
                </c:pt>
                <c:pt idx="202">
                  <c:v>45497</c:v>
                </c:pt>
                <c:pt idx="203">
                  <c:v>45498</c:v>
                </c:pt>
                <c:pt idx="204">
                  <c:v>45499</c:v>
                </c:pt>
                <c:pt idx="205">
                  <c:v>45500</c:v>
                </c:pt>
                <c:pt idx="206">
                  <c:v>45501</c:v>
                </c:pt>
                <c:pt idx="207">
                  <c:v>45502</c:v>
                </c:pt>
                <c:pt idx="208">
                  <c:v>45503</c:v>
                </c:pt>
                <c:pt idx="209">
                  <c:v>45504</c:v>
                </c:pt>
                <c:pt idx="210">
                  <c:v>45505</c:v>
                </c:pt>
                <c:pt idx="211">
                  <c:v>45506</c:v>
                </c:pt>
                <c:pt idx="212">
                  <c:v>45507</c:v>
                </c:pt>
                <c:pt idx="213">
                  <c:v>45508</c:v>
                </c:pt>
                <c:pt idx="214">
                  <c:v>45509</c:v>
                </c:pt>
                <c:pt idx="215">
                  <c:v>45510</c:v>
                </c:pt>
                <c:pt idx="216">
                  <c:v>45511</c:v>
                </c:pt>
                <c:pt idx="217">
                  <c:v>45512</c:v>
                </c:pt>
                <c:pt idx="218">
                  <c:v>45513</c:v>
                </c:pt>
                <c:pt idx="219">
                  <c:v>45514</c:v>
                </c:pt>
                <c:pt idx="220">
                  <c:v>45515</c:v>
                </c:pt>
                <c:pt idx="221">
                  <c:v>45516</c:v>
                </c:pt>
                <c:pt idx="222">
                  <c:v>45517</c:v>
                </c:pt>
                <c:pt idx="223">
                  <c:v>45518</c:v>
                </c:pt>
                <c:pt idx="224">
                  <c:v>45519</c:v>
                </c:pt>
                <c:pt idx="225">
                  <c:v>45520</c:v>
                </c:pt>
                <c:pt idx="226">
                  <c:v>45521</c:v>
                </c:pt>
                <c:pt idx="227">
                  <c:v>45522</c:v>
                </c:pt>
                <c:pt idx="228">
                  <c:v>45523</c:v>
                </c:pt>
                <c:pt idx="229">
                  <c:v>45524</c:v>
                </c:pt>
                <c:pt idx="230">
                  <c:v>45525</c:v>
                </c:pt>
                <c:pt idx="231">
                  <c:v>45526</c:v>
                </c:pt>
                <c:pt idx="232">
                  <c:v>45527</c:v>
                </c:pt>
                <c:pt idx="233">
                  <c:v>45528</c:v>
                </c:pt>
                <c:pt idx="234">
                  <c:v>45529</c:v>
                </c:pt>
                <c:pt idx="235">
                  <c:v>45530</c:v>
                </c:pt>
                <c:pt idx="236">
                  <c:v>45531</c:v>
                </c:pt>
                <c:pt idx="237">
                  <c:v>45532</c:v>
                </c:pt>
                <c:pt idx="238">
                  <c:v>45533</c:v>
                </c:pt>
                <c:pt idx="239">
                  <c:v>45534</c:v>
                </c:pt>
                <c:pt idx="240">
                  <c:v>45535</c:v>
                </c:pt>
                <c:pt idx="241">
                  <c:v>45536</c:v>
                </c:pt>
                <c:pt idx="242">
                  <c:v>45537</c:v>
                </c:pt>
                <c:pt idx="243">
                  <c:v>45538</c:v>
                </c:pt>
                <c:pt idx="244">
                  <c:v>45539</c:v>
                </c:pt>
                <c:pt idx="245">
                  <c:v>45540</c:v>
                </c:pt>
                <c:pt idx="246">
                  <c:v>45541</c:v>
                </c:pt>
                <c:pt idx="247">
                  <c:v>45542</c:v>
                </c:pt>
                <c:pt idx="248">
                  <c:v>45543</c:v>
                </c:pt>
                <c:pt idx="249">
                  <c:v>45544</c:v>
                </c:pt>
                <c:pt idx="250">
                  <c:v>45545</c:v>
                </c:pt>
                <c:pt idx="251">
                  <c:v>45546</c:v>
                </c:pt>
                <c:pt idx="252">
                  <c:v>45547</c:v>
                </c:pt>
                <c:pt idx="253">
                  <c:v>45548</c:v>
                </c:pt>
                <c:pt idx="254">
                  <c:v>45549</c:v>
                </c:pt>
                <c:pt idx="255">
                  <c:v>45550</c:v>
                </c:pt>
                <c:pt idx="256">
                  <c:v>45551</c:v>
                </c:pt>
                <c:pt idx="257">
                  <c:v>45552</c:v>
                </c:pt>
                <c:pt idx="258">
                  <c:v>45553</c:v>
                </c:pt>
                <c:pt idx="259">
                  <c:v>45554</c:v>
                </c:pt>
                <c:pt idx="260">
                  <c:v>45555</c:v>
                </c:pt>
                <c:pt idx="261">
                  <c:v>45556</c:v>
                </c:pt>
                <c:pt idx="262">
                  <c:v>45557</c:v>
                </c:pt>
                <c:pt idx="263">
                  <c:v>45558</c:v>
                </c:pt>
                <c:pt idx="264">
                  <c:v>45559</c:v>
                </c:pt>
                <c:pt idx="265">
                  <c:v>45560</c:v>
                </c:pt>
                <c:pt idx="266">
                  <c:v>45561</c:v>
                </c:pt>
                <c:pt idx="267">
                  <c:v>45562</c:v>
                </c:pt>
                <c:pt idx="268">
                  <c:v>45563</c:v>
                </c:pt>
                <c:pt idx="269">
                  <c:v>45564</c:v>
                </c:pt>
                <c:pt idx="270">
                  <c:v>45565</c:v>
                </c:pt>
                <c:pt idx="271">
                  <c:v>45566</c:v>
                </c:pt>
                <c:pt idx="272">
                  <c:v>45567</c:v>
                </c:pt>
                <c:pt idx="273">
                  <c:v>45568</c:v>
                </c:pt>
                <c:pt idx="274">
                  <c:v>45569</c:v>
                </c:pt>
                <c:pt idx="275">
                  <c:v>45570</c:v>
                </c:pt>
                <c:pt idx="276">
                  <c:v>45571</c:v>
                </c:pt>
                <c:pt idx="277">
                  <c:v>45572</c:v>
                </c:pt>
                <c:pt idx="278">
                  <c:v>45573</c:v>
                </c:pt>
                <c:pt idx="279">
                  <c:v>45574</c:v>
                </c:pt>
                <c:pt idx="280">
                  <c:v>45575</c:v>
                </c:pt>
                <c:pt idx="281">
                  <c:v>45576</c:v>
                </c:pt>
                <c:pt idx="282">
                  <c:v>45577</c:v>
                </c:pt>
                <c:pt idx="283">
                  <c:v>45578</c:v>
                </c:pt>
                <c:pt idx="284">
                  <c:v>45579</c:v>
                </c:pt>
                <c:pt idx="285">
                  <c:v>45580</c:v>
                </c:pt>
                <c:pt idx="286">
                  <c:v>45581</c:v>
                </c:pt>
                <c:pt idx="287">
                  <c:v>45582</c:v>
                </c:pt>
                <c:pt idx="288">
                  <c:v>45583</c:v>
                </c:pt>
                <c:pt idx="289">
                  <c:v>45584</c:v>
                </c:pt>
                <c:pt idx="290">
                  <c:v>45585</c:v>
                </c:pt>
                <c:pt idx="291">
                  <c:v>45586</c:v>
                </c:pt>
                <c:pt idx="292">
                  <c:v>45587</c:v>
                </c:pt>
                <c:pt idx="293">
                  <c:v>45588</c:v>
                </c:pt>
                <c:pt idx="294">
                  <c:v>45589</c:v>
                </c:pt>
                <c:pt idx="295">
                  <c:v>45590</c:v>
                </c:pt>
                <c:pt idx="296">
                  <c:v>45591</c:v>
                </c:pt>
                <c:pt idx="297">
                  <c:v>45592</c:v>
                </c:pt>
                <c:pt idx="298">
                  <c:v>45593</c:v>
                </c:pt>
                <c:pt idx="299">
                  <c:v>45594</c:v>
                </c:pt>
                <c:pt idx="300">
                  <c:v>45595</c:v>
                </c:pt>
                <c:pt idx="301">
                  <c:v>45596</c:v>
                </c:pt>
                <c:pt idx="302">
                  <c:v>45597</c:v>
                </c:pt>
                <c:pt idx="303">
                  <c:v>45598</c:v>
                </c:pt>
                <c:pt idx="304">
                  <c:v>45599</c:v>
                </c:pt>
                <c:pt idx="305">
                  <c:v>45600</c:v>
                </c:pt>
                <c:pt idx="306">
                  <c:v>45601</c:v>
                </c:pt>
                <c:pt idx="307">
                  <c:v>45602</c:v>
                </c:pt>
                <c:pt idx="308">
                  <c:v>45603</c:v>
                </c:pt>
                <c:pt idx="309">
                  <c:v>45604</c:v>
                </c:pt>
                <c:pt idx="310">
                  <c:v>45605</c:v>
                </c:pt>
                <c:pt idx="311">
                  <c:v>45606</c:v>
                </c:pt>
                <c:pt idx="312">
                  <c:v>45607</c:v>
                </c:pt>
                <c:pt idx="313">
                  <c:v>45608</c:v>
                </c:pt>
                <c:pt idx="314">
                  <c:v>45609</c:v>
                </c:pt>
                <c:pt idx="315">
                  <c:v>45610</c:v>
                </c:pt>
                <c:pt idx="316">
                  <c:v>45611</c:v>
                </c:pt>
                <c:pt idx="317">
                  <c:v>45612</c:v>
                </c:pt>
                <c:pt idx="318">
                  <c:v>45613</c:v>
                </c:pt>
                <c:pt idx="319">
                  <c:v>45614</c:v>
                </c:pt>
                <c:pt idx="320">
                  <c:v>45615</c:v>
                </c:pt>
                <c:pt idx="321">
                  <c:v>45616</c:v>
                </c:pt>
                <c:pt idx="322">
                  <c:v>45617</c:v>
                </c:pt>
                <c:pt idx="323">
                  <c:v>45618</c:v>
                </c:pt>
                <c:pt idx="324">
                  <c:v>45619</c:v>
                </c:pt>
                <c:pt idx="325">
                  <c:v>45620</c:v>
                </c:pt>
                <c:pt idx="326">
                  <c:v>45621</c:v>
                </c:pt>
                <c:pt idx="327">
                  <c:v>45622</c:v>
                </c:pt>
                <c:pt idx="328">
                  <c:v>45623</c:v>
                </c:pt>
                <c:pt idx="329">
                  <c:v>45624</c:v>
                </c:pt>
                <c:pt idx="330">
                  <c:v>45625</c:v>
                </c:pt>
                <c:pt idx="331">
                  <c:v>45626</c:v>
                </c:pt>
                <c:pt idx="332">
                  <c:v>45627</c:v>
                </c:pt>
                <c:pt idx="333">
                  <c:v>45628</c:v>
                </c:pt>
                <c:pt idx="334">
                  <c:v>45629</c:v>
                </c:pt>
                <c:pt idx="335">
                  <c:v>45630</c:v>
                </c:pt>
                <c:pt idx="336">
                  <c:v>45631</c:v>
                </c:pt>
                <c:pt idx="337">
                  <c:v>45632</c:v>
                </c:pt>
                <c:pt idx="338">
                  <c:v>45633</c:v>
                </c:pt>
                <c:pt idx="339">
                  <c:v>45634</c:v>
                </c:pt>
                <c:pt idx="340">
                  <c:v>45635</c:v>
                </c:pt>
                <c:pt idx="341">
                  <c:v>45636</c:v>
                </c:pt>
                <c:pt idx="342">
                  <c:v>45637</c:v>
                </c:pt>
                <c:pt idx="343">
                  <c:v>45638</c:v>
                </c:pt>
                <c:pt idx="344">
                  <c:v>45639</c:v>
                </c:pt>
                <c:pt idx="345">
                  <c:v>45640</c:v>
                </c:pt>
                <c:pt idx="346">
                  <c:v>45641</c:v>
                </c:pt>
                <c:pt idx="347">
                  <c:v>45642</c:v>
                </c:pt>
                <c:pt idx="348">
                  <c:v>45643</c:v>
                </c:pt>
                <c:pt idx="349">
                  <c:v>45644</c:v>
                </c:pt>
                <c:pt idx="350">
                  <c:v>45645</c:v>
                </c:pt>
                <c:pt idx="351">
                  <c:v>45646</c:v>
                </c:pt>
                <c:pt idx="352">
                  <c:v>45647</c:v>
                </c:pt>
                <c:pt idx="353">
                  <c:v>45648</c:v>
                </c:pt>
                <c:pt idx="354">
                  <c:v>45649</c:v>
                </c:pt>
                <c:pt idx="355">
                  <c:v>45650</c:v>
                </c:pt>
                <c:pt idx="356">
                  <c:v>45651</c:v>
                </c:pt>
                <c:pt idx="357">
                  <c:v>45652</c:v>
                </c:pt>
                <c:pt idx="358">
                  <c:v>45653</c:v>
                </c:pt>
                <c:pt idx="359">
                  <c:v>45654</c:v>
                </c:pt>
                <c:pt idx="360">
                  <c:v>45655</c:v>
                </c:pt>
                <c:pt idx="361">
                  <c:v>45656</c:v>
                </c:pt>
                <c:pt idx="362">
                  <c:v>45657</c:v>
                </c:pt>
              </c:numCache>
            </c:numRef>
          </c:cat>
          <c:val>
            <c:numRef>
              <c:f>Deval!$B$2:$B$364</c:f>
              <c:numCache>
                <c:formatCode>General</c:formatCode>
                <c:ptCount val="363"/>
                <c:pt idx="0">
                  <c:v>899.1</c:v>
                </c:pt>
                <c:pt idx="1">
                  <c:v>884.8</c:v>
                </c:pt>
                <c:pt idx="2">
                  <c:v>891.9</c:v>
                </c:pt>
                <c:pt idx="3">
                  <c:v>912.5</c:v>
                </c:pt>
                <c:pt idx="4">
                  <c:v>914.47</c:v>
                </c:pt>
                <c:pt idx="5">
                  <c:v>914.47</c:v>
                </c:pt>
                <c:pt idx="6">
                  <c:v>914.47</c:v>
                </c:pt>
                <c:pt idx="7">
                  <c:v>884.80650000000003</c:v>
                </c:pt>
                <c:pt idx="8">
                  <c:v>914.5</c:v>
                </c:pt>
                <c:pt idx="9">
                  <c:v>951.49</c:v>
                </c:pt>
                <c:pt idx="10">
                  <c:v>959</c:v>
                </c:pt>
                <c:pt idx="11">
                  <c:v>957.51</c:v>
                </c:pt>
                <c:pt idx="12">
                  <c:v>957.51</c:v>
                </c:pt>
                <c:pt idx="13">
                  <c:v>957.51</c:v>
                </c:pt>
                <c:pt idx="14">
                  <c:v>958.05</c:v>
                </c:pt>
                <c:pt idx="15">
                  <c:v>895.5</c:v>
                </c:pt>
                <c:pt idx="16">
                  <c:v>876.98400000000004</c:v>
                </c:pt>
                <c:pt idx="17">
                  <c:v>895.52</c:v>
                </c:pt>
                <c:pt idx="18">
                  <c:v>891.04</c:v>
                </c:pt>
                <c:pt idx="19">
                  <c:v>891.04</c:v>
                </c:pt>
                <c:pt idx="20">
                  <c:v>891.04</c:v>
                </c:pt>
                <c:pt idx="21">
                  <c:v>891.01</c:v>
                </c:pt>
                <c:pt idx="22">
                  <c:v>915.45050000000003</c:v>
                </c:pt>
                <c:pt idx="23">
                  <c:v>900.27</c:v>
                </c:pt>
                <c:pt idx="24">
                  <c:v>888.5</c:v>
                </c:pt>
                <c:pt idx="25">
                  <c:v>899.2</c:v>
                </c:pt>
                <c:pt idx="26">
                  <c:v>899.2</c:v>
                </c:pt>
                <c:pt idx="27">
                  <c:v>899.2</c:v>
                </c:pt>
                <c:pt idx="28">
                  <c:v>893.5</c:v>
                </c:pt>
                <c:pt idx="29">
                  <c:v>896.5</c:v>
                </c:pt>
                <c:pt idx="30">
                  <c:v>896.5</c:v>
                </c:pt>
                <c:pt idx="31">
                  <c:v>1194.5</c:v>
                </c:pt>
                <c:pt idx="32">
                  <c:v>1194.5</c:v>
                </c:pt>
                <c:pt idx="33">
                  <c:v>1194.5</c:v>
                </c:pt>
                <c:pt idx="34">
                  <c:v>1250.5</c:v>
                </c:pt>
                <c:pt idx="35">
                  <c:v>1404.01</c:v>
                </c:pt>
                <c:pt idx="36">
                  <c:v>1474.62</c:v>
                </c:pt>
                <c:pt idx="37">
                  <c:v>1474.62</c:v>
                </c:pt>
                <c:pt idx="38">
                  <c:v>1474.62</c:v>
                </c:pt>
                <c:pt idx="39">
                  <c:v>1503.5</c:v>
                </c:pt>
                <c:pt idx="40">
                  <c:v>1515.59</c:v>
                </c:pt>
                <c:pt idx="41">
                  <c:v>1516.5</c:v>
                </c:pt>
                <c:pt idx="42">
                  <c:v>1517.2</c:v>
                </c:pt>
                <c:pt idx="43">
                  <c:v>1493.73</c:v>
                </c:pt>
                <c:pt idx="44">
                  <c:v>1493.73</c:v>
                </c:pt>
                <c:pt idx="45">
                  <c:v>1493.73</c:v>
                </c:pt>
                <c:pt idx="46">
                  <c:v>1493.73</c:v>
                </c:pt>
                <c:pt idx="47">
                  <c:v>1606.3</c:v>
                </c:pt>
                <c:pt idx="48">
                  <c:v>1607</c:v>
                </c:pt>
                <c:pt idx="49">
                  <c:v>1607</c:v>
                </c:pt>
                <c:pt idx="50">
                  <c:v>1607</c:v>
                </c:pt>
                <c:pt idx="51">
                  <c:v>1607</c:v>
                </c:pt>
                <c:pt idx="52">
                  <c:v>1607</c:v>
                </c:pt>
                <c:pt idx="53">
                  <c:v>1564</c:v>
                </c:pt>
                <c:pt idx="54">
                  <c:v>1579.08</c:v>
                </c:pt>
                <c:pt idx="55">
                  <c:v>1630.66</c:v>
                </c:pt>
                <c:pt idx="56">
                  <c:v>1617.55</c:v>
                </c:pt>
                <c:pt idx="57">
                  <c:v>1578.06</c:v>
                </c:pt>
                <c:pt idx="58">
                  <c:v>1578.06</c:v>
                </c:pt>
                <c:pt idx="59">
                  <c:v>1578.06</c:v>
                </c:pt>
                <c:pt idx="60">
                  <c:v>1512.49</c:v>
                </c:pt>
                <c:pt idx="61">
                  <c:v>1561.01</c:v>
                </c:pt>
                <c:pt idx="62">
                  <c:v>1591.17</c:v>
                </c:pt>
                <c:pt idx="63">
                  <c:v>1591.5</c:v>
                </c:pt>
                <c:pt idx="64">
                  <c:v>1594.34</c:v>
                </c:pt>
                <c:pt idx="65">
                  <c:v>1594.34</c:v>
                </c:pt>
                <c:pt idx="66">
                  <c:v>1594.34</c:v>
                </c:pt>
                <c:pt idx="67">
                  <c:v>1625.23</c:v>
                </c:pt>
                <c:pt idx="68">
                  <c:v>1612.78</c:v>
                </c:pt>
                <c:pt idx="69">
                  <c:v>1608.11</c:v>
                </c:pt>
                <c:pt idx="70">
                  <c:v>1594.5</c:v>
                </c:pt>
                <c:pt idx="71">
                  <c:v>1611.12</c:v>
                </c:pt>
                <c:pt idx="72">
                  <c:v>1611.12</c:v>
                </c:pt>
                <c:pt idx="73">
                  <c:v>1611.12</c:v>
                </c:pt>
                <c:pt idx="74">
                  <c:v>1564.46</c:v>
                </c:pt>
                <c:pt idx="75">
                  <c:v>1477.25</c:v>
                </c:pt>
                <c:pt idx="76">
                  <c:v>1481</c:v>
                </c:pt>
                <c:pt idx="77">
                  <c:v>1370.49</c:v>
                </c:pt>
                <c:pt idx="78">
                  <c:v>1469</c:v>
                </c:pt>
                <c:pt idx="79">
                  <c:v>1469</c:v>
                </c:pt>
                <c:pt idx="80">
                  <c:v>1469</c:v>
                </c:pt>
                <c:pt idx="81">
                  <c:v>1424.83</c:v>
                </c:pt>
                <c:pt idx="82">
                  <c:v>1395.02</c:v>
                </c:pt>
                <c:pt idx="83">
                  <c:v>1418.57</c:v>
                </c:pt>
                <c:pt idx="84">
                  <c:v>1393.51</c:v>
                </c:pt>
                <c:pt idx="85">
                  <c:v>1421</c:v>
                </c:pt>
                <c:pt idx="86">
                  <c:v>1421</c:v>
                </c:pt>
                <c:pt idx="87">
                  <c:v>1304.3399999999999</c:v>
                </c:pt>
                <c:pt idx="88">
                  <c:v>1306.67</c:v>
                </c:pt>
                <c:pt idx="89">
                  <c:v>1309</c:v>
                </c:pt>
                <c:pt idx="90">
                  <c:v>1319.6</c:v>
                </c:pt>
                <c:pt idx="91">
                  <c:v>1319.6</c:v>
                </c:pt>
                <c:pt idx="92">
                  <c:v>1247.75</c:v>
                </c:pt>
                <c:pt idx="93">
                  <c:v>1247.75</c:v>
                </c:pt>
                <c:pt idx="94">
                  <c:v>1247.75</c:v>
                </c:pt>
                <c:pt idx="95">
                  <c:v>1241.6300000000001</c:v>
                </c:pt>
                <c:pt idx="96">
                  <c:v>1250</c:v>
                </c:pt>
                <c:pt idx="97">
                  <c:v>1239.8599999999999</c:v>
                </c:pt>
                <c:pt idx="98">
                  <c:v>1250</c:v>
                </c:pt>
                <c:pt idx="99">
                  <c:v>1250</c:v>
                </c:pt>
                <c:pt idx="100">
                  <c:v>1250</c:v>
                </c:pt>
                <c:pt idx="101">
                  <c:v>1250</c:v>
                </c:pt>
                <c:pt idx="102">
                  <c:v>1250</c:v>
                </c:pt>
                <c:pt idx="103">
                  <c:v>1250</c:v>
                </c:pt>
                <c:pt idx="104">
                  <c:v>1250</c:v>
                </c:pt>
                <c:pt idx="105">
                  <c:v>1250</c:v>
                </c:pt>
                <c:pt idx="106">
                  <c:v>1250</c:v>
                </c:pt>
                <c:pt idx="107">
                  <c:v>1250</c:v>
                </c:pt>
                <c:pt idx="108">
                  <c:v>1250</c:v>
                </c:pt>
                <c:pt idx="109">
                  <c:v>1250</c:v>
                </c:pt>
                <c:pt idx="110">
                  <c:v>1250</c:v>
                </c:pt>
                <c:pt idx="111">
                  <c:v>1250</c:v>
                </c:pt>
                <c:pt idx="112">
                  <c:v>1250</c:v>
                </c:pt>
                <c:pt idx="113">
                  <c:v>1250</c:v>
                </c:pt>
                <c:pt idx="114">
                  <c:v>1250</c:v>
                </c:pt>
                <c:pt idx="115">
                  <c:v>1250</c:v>
                </c:pt>
                <c:pt idx="116">
                  <c:v>1250</c:v>
                </c:pt>
                <c:pt idx="117">
                  <c:v>1250</c:v>
                </c:pt>
                <c:pt idx="118">
                  <c:v>1250</c:v>
                </c:pt>
                <c:pt idx="119">
                  <c:v>1250</c:v>
                </c:pt>
                <c:pt idx="120">
                  <c:v>1250</c:v>
                </c:pt>
                <c:pt idx="121">
                  <c:v>1250</c:v>
                </c:pt>
                <c:pt idx="122">
                  <c:v>1250</c:v>
                </c:pt>
                <c:pt idx="123">
                  <c:v>1250</c:v>
                </c:pt>
                <c:pt idx="124">
                  <c:v>1250</c:v>
                </c:pt>
                <c:pt idx="125">
                  <c:v>1250</c:v>
                </c:pt>
                <c:pt idx="126">
                  <c:v>1250</c:v>
                </c:pt>
                <c:pt idx="127">
                  <c:v>1250</c:v>
                </c:pt>
                <c:pt idx="128">
                  <c:v>1250</c:v>
                </c:pt>
                <c:pt idx="129">
                  <c:v>1250</c:v>
                </c:pt>
                <c:pt idx="130">
                  <c:v>1250</c:v>
                </c:pt>
                <c:pt idx="131">
                  <c:v>1250</c:v>
                </c:pt>
                <c:pt idx="132">
                  <c:v>1250</c:v>
                </c:pt>
                <c:pt idx="133">
                  <c:v>1250</c:v>
                </c:pt>
                <c:pt idx="134">
                  <c:v>1250</c:v>
                </c:pt>
                <c:pt idx="135">
                  <c:v>1250</c:v>
                </c:pt>
                <c:pt idx="136">
                  <c:v>1250</c:v>
                </c:pt>
                <c:pt idx="137">
                  <c:v>1250</c:v>
                </c:pt>
                <c:pt idx="138">
                  <c:v>1250</c:v>
                </c:pt>
                <c:pt idx="139">
                  <c:v>1250</c:v>
                </c:pt>
                <c:pt idx="140">
                  <c:v>1250</c:v>
                </c:pt>
                <c:pt idx="141">
                  <c:v>1250</c:v>
                </c:pt>
                <c:pt idx="142">
                  <c:v>1250</c:v>
                </c:pt>
                <c:pt idx="143">
                  <c:v>1250</c:v>
                </c:pt>
                <c:pt idx="144">
                  <c:v>1250</c:v>
                </c:pt>
                <c:pt idx="145">
                  <c:v>1250</c:v>
                </c:pt>
                <c:pt idx="146">
                  <c:v>1250</c:v>
                </c:pt>
                <c:pt idx="147">
                  <c:v>1250</c:v>
                </c:pt>
                <c:pt idx="148">
                  <c:v>1250</c:v>
                </c:pt>
                <c:pt idx="149">
                  <c:v>1250</c:v>
                </c:pt>
                <c:pt idx="150">
                  <c:v>1250</c:v>
                </c:pt>
                <c:pt idx="151">
                  <c:v>1250</c:v>
                </c:pt>
                <c:pt idx="152">
                  <c:v>1250</c:v>
                </c:pt>
                <c:pt idx="153">
                  <c:v>1250</c:v>
                </c:pt>
                <c:pt idx="154">
                  <c:v>1250</c:v>
                </c:pt>
                <c:pt idx="155">
                  <c:v>1250</c:v>
                </c:pt>
                <c:pt idx="156">
                  <c:v>1250</c:v>
                </c:pt>
                <c:pt idx="157">
                  <c:v>1250</c:v>
                </c:pt>
                <c:pt idx="158">
                  <c:v>1250</c:v>
                </c:pt>
                <c:pt idx="159">
                  <c:v>1250</c:v>
                </c:pt>
                <c:pt idx="160">
                  <c:v>1250</c:v>
                </c:pt>
                <c:pt idx="161">
                  <c:v>1250</c:v>
                </c:pt>
                <c:pt idx="162">
                  <c:v>1250</c:v>
                </c:pt>
                <c:pt idx="163">
                  <c:v>1250</c:v>
                </c:pt>
                <c:pt idx="164">
                  <c:v>1250</c:v>
                </c:pt>
                <c:pt idx="165">
                  <c:v>1250</c:v>
                </c:pt>
                <c:pt idx="166">
                  <c:v>1250</c:v>
                </c:pt>
                <c:pt idx="167">
                  <c:v>1250</c:v>
                </c:pt>
                <c:pt idx="168">
                  <c:v>1250</c:v>
                </c:pt>
                <c:pt idx="169">
                  <c:v>1250</c:v>
                </c:pt>
                <c:pt idx="170">
                  <c:v>1250</c:v>
                </c:pt>
                <c:pt idx="171">
                  <c:v>1250</c:v>
                </c:pt>
                <c:pt idx="172">
                  <c:v>1250</c:v>
                </c:pt>
                <c:pt idx="173">
                  <c:v>1250</c:v>
                </c:pt>
                <c:pt idx="174">
                  <c:v>1250</c:v>
                </c:pt>
                <c:pt idx="175">
                  <c:v>1250</c:v>
                </c:pt>
                <c:pt idx="176">
                  <c:v>1250</c:v>
                </c:pt>
                <c:pt idx="177">
                  <c:v>1250</c:v>
                </c:pt>
                <c:pt idx="178">
                  <c:v>1250</c:v>
                </c:pt>
                <c:pt idx="179">
                  <c:v>1250</c:v>
                </c:pt>
                <c:pt idx="180">
                  <c:v>1250</c:v>
                </c:pt>
                <c:pt idx="181">
                  <c:v>1250</c:v>
                </c:pt>
                <c:pt idx="182">
                  <c:v>1250</c:v>
                </c:pt>
                <c:pt idx="183">
                  <c:v>1250</c:v>
                </c:pt>
                <c:pt idx="184">
                  <c:v>1250</c:v>
                </c:pt>
                <c:pt idx="185">
                  <c:v>1250</c:v>
                </c:pt>
                <c:pt idx="186">
                  <c:v>1250</c:v>
                </c:pt>
                <c:pt idx="187">
                  <c:v>1250</c:v>
                </c:pt>
                <c:pt idx="188">
                  <c:v>1250</c:v>
                </c:pt>
                <c:pt idx="189">
                  <c:v>1250</c:v>
                </c:pt>
                <c:pt idx="190">
                  <c:v>1250</c:v>
                </c:pt>
                <c:pt idx="191">
                  <c:v>1250</c:v>
                </c:pt>
                <c:pt idx="192">
                  <c:v>1250</c:v>
                </c:pt>
                <c:pt idx="193">
                  <c:v>1250</c:v>
                </c:pt>
                <c:pt idx="194">
                  <c:v>1250</c:v>
                </c:pt>
                <c:pt idx="195">
                  <c:v>1250</c:v>
                </c:pt>
                <c:pt idx="196">
                  <c:v>1250</c:v>
                </c:pt>
                <c:pt idx="197">
                  <c:v>1250</c:v>
                </c:pt>
                <c:pt idx="198">
                  <c:v>1250</c:v>
                </c:pt>
                <c:pt idx="199">
                  <c:v>1250</c:v>
                </c:pt>
                <c:pt idx="200">
                  <c:v>1250</c:v>
                </c:pt>
                <c:pt idx="201">
                  <c:v>1250</c:v>
                </c:pt>
                <c:pt idx="202">
                  <c:v>1250</c:v>
                </c:pt>
                <c:pt idx="203">
                  <c:v>1250</c:v>
                </c:pt>
                <c:pt idx="204">
                  <c:v>1250</c:v>
                </c:pt>
                <c:pt idx="205">
                  <c:v>1250</c:v>
                </c:pt>
                <c:pt idx="206">
                  <c:v>1250</c:v>
                </c:pt>
                <c:pt idx="207">
                  <c:v>1250</c:v>
                </c:pt>
                <c:pt idx="208">
                  <c:v>1250</c:v>
                </c:pt>
                <c:pt idx="209">
                  <c:v>1250</c:v>
                </c:pt>
                <c:pt idx="210">
                  <c:v>1250</c:v>
                </c:pt>
                <c:pt idx="211">
                  <c:v>1250</c:v>
                </c:pt>
                <c:pt idx="212">
                  <c:v>1250</c:v>
                </c:pt>
                <c:pt idx="213">
                  <c:v>1250</c:v>
                </c:pt>
                <c:pt idx="214">
                  <c:v>1250</c:v>
                </c:pt>
                <c:pt idx="215">
                  <c:v>1250</c:v>
                </c:pt>
                <c:pt idx="216">
                  <c:v>1250</c:v>
                </c:pt>
                <c:pt idx="217">
                  <c:v>1250</c:v>
                </c:pt>
                <c:pt idx="218">
                  <c:v>1250</c:v>
                </c:pt>
                <c:pt idx="219">
                  <c:v>1250</c:v>
                </c:pt>
                <c:pt idx="220">
                  <c:v>1250</c:v>
                </c:pt>
                <c:pt idx="221">
                  <c:v>1250</c:v>
                </c:pt>
                <c:pt idx="222">
                  <c:v>1250</c:v>
                </c:pt>
                <c:pt idx="223">
                  <c:v>1250</c:v>
                </c:pt>
                <c:pt idx="224">
                  <c:v>1250</c:v>
                </c:pt>
                <c:pt idx="225">
                  <c:v>1250</c:v>
                </c:pt>
                <c:pt idx="226">
                  <c:v>1250</c:v>
                </c:pt>
                <c:pt idx="227">
                  <c:v>1250</c:v>
                </c:pt>
                <c:pt idx="228">
                  <c:v>1250</c:v>
                </c:pt>
                <c:pt idx="229">
                  <c:v>1250</c:v>
                </c:pt>
                <c:pt idx="230">
                  <c:v>1250</c:v>
                </c:pt>
                <c:pt idx="231">
                  <c:v>1250</c:v>
                </c:pt>
                <c:pt idx="232">
                  <c:v>1250</c:v>
                </c:pt>
                <c:pt idx="233">
                  <c:v>1250</c:v>
                </c:pt>
                <c:pt idx="234">
                  <c:v>1250</c:v>
                </c:pt>
                <c:pt idx="235">
                  <c:v>1250</c:v>
                </c:pt>
                <c:pt idx="236">
                  <c:v>1250</c:v>
                </c:pt>
                <c:pt idx="237">
                  <c:v>1250</c:v>
                </c:pt>
                <c:pt idx="238">
                  <c:v>1250</c:v>
                </c:pt>
                <c:pt idx="239">
                  <c:v>1250</c:v>
                </c:pt>
                <c:pt idx="240">
                  <c:v>1250</c:v>
                </c:pt>
                <c:pt idx="241">
                  <c:v>1250</c:v>
                </c:pt>
                <c:pt idx="242">
                  <c:v>1250</c:v>
                </c:pt>
                <c:pt idx="243">
                  <c:v>1250</c:v>
                </c:pt>
                <c:pt idx="244">
                  <c:v>1250</c:v>
                </c:pt>
                <c:pt idx="245">
                  <c:v>1250</c:v>
                </c:pt>
                <c:pt idx="246">
                  <c:v>1250</c:v>
                </c:pt>
                <c:pt idx="247">
                  <c:v>1250</c:v>
                </c:pt>
                <c:pt idx="248">
                  <c:v>1250</c:v>
                </c:pt>
                <c:pt idx="249">
                  <c:v>1250</c:v>
                </c:pt>
                <c:pt idx="250">
                  <c:v>1250</c:v>
                </c:pt>
                <c:pt idx="251">
                  <c:v>1250</c:v>
                </c:pt>
                <c:pt idx="252">
                  <c:v>1250</c:v>
                </c:pt>
                <c:pt idx="253">
                  <c:v>1250</c:v>
                </c:pt>
                <c:pt idx="254">
                  <c:v>1250</c:v>
                </c:pt>
                <c:pt idx="255">
                  <c:v>1250</c:v>
                </c:pt>
                <c:pt idx="256">
                  <c:v>1250</c:v>
                </c:pt>
                <c:pt idx="257">
                  <c:v>1250</c:v>
                </c:pt>
                <c:pt idx="258">
                  <c:v>1250</c:v>
                </c:pt>
                <c:pt idx="259">
                  <c:v>1250</c:v>
                </c:pt>
                <c:pt idx="260">
                  <c:v>1250</c:v>
                </c:pt>
                <c:pt idx="261">
                  <c:v>1250</c:v>
                </c:pt>
                <c:pt idx="262">
                  <c:v>1250</c:v>
                </c:pt>
                <c:pt idx="263">
                  <c:v>1250</c:v>
                </c:pt>
                <c:pt idx="264">
                  <c:v>1250</c:v>
                </c:pt>
                <c:pt idx="265">
                  <c:v>1250</c:v>
                </c:pt>
                <c:pt idx="266">
                  <c:v>1250</c:v>
                </c:pt>
                <c:pt idx="267">
                  <c:v>1250</c:v>
                </c:pt>
                <c:pt idx="268">
                  <c:v>1250</c:v>
                </c:pt>
                <c:pt idx="269">
                  <c:v>1250</c:v>
                </c:pt>
                <c:pt idx="270">
                  <c:v>1250</c:v>
                </c:pt>
                <c:pt idx="271">
                  <c:v>1250</c:v>
                </c:pt>
                <c:pt idx="272">
                  <c:v>1250</c:v>
                </c:pt>
                <c:pt idx="273">
                  <c:v>1250</c:v>
                </c:pt>
                <c:pt idx="274">
                  <c:v>1250</c:v>
                </c:pt>
                <c:pt idx="275">
                  <c:v>1250</c:v>
                </c:pt>
                <c:pt idx="276">
                  <c:v>1250</c:v>
                </c:pt>
                <c:pt idx="277">
                  <c:v>1250</c:v>
                </c:pt>
                <c:pt idx="278">
                  <c:v>1250</c:v>
                </c:pt>
                <c:pt idx="279">
                  <c:v>1250</c:v>
                </c:pt>
                <c:pt idx="280">
                  <c:v>1250</c:v>
                </c:pt>
                <c:pt idx="281">
                  <c:v>1250</c:v>
                </c:pt>
                <c:pt idx="282">
                  <c:v>1250</c:v>
                </c:pt>
                <c:pt idx="283">
                  <c:v>1250</c:v>
                </c:pt>
                <c:pt idx="284">
                  <c:v>1250</c:v>
                </c:pt>
                <c:pt idx="285">
                  <c:v>1250</c:v>
                </c:pt>
                <c:pt idx="286">
                  <c:v>1250</c:v>
                </c:pt>
                <c:pt idx="287">
                  <c:v>1250</c:v>
                </c:pt>
                <c:pt idx="288">
                  <c:v>1250</c:v>
                </c:pt>
                <c:pt idx="289">
                  <c:v>1250</c:v>
                </c:pt>
                <c:pt idx="290">
                  <c:v>1250</c:v>
                </c:pt>
                <c:pt idx="291">
                  <c:v>1250</c:v>
                </c:pt>
                <c:pt idx="292">
                  <c:v>1250</c:v>
                </c:pt>
                <c:pt idx="293">
                  <c:v>1250</c:v>
                </c:pt>
                <c:pt idx="294">
                  <c:v>1250</c:v>
                </c:pt>
                <c:pt idx="295">
                  <c:v>1250</c:v>
                </c:pt>
                <c:pt idx="296">
                  <c:v>1250</c:v>
                </c:pt>
                <c:pt idx="297">
                  <c:v>1250</c:v>
                </c:pt>
                <c:pt idx="298">
                  <c:v>1250</c:v>
                </c:pt>
                <c:pt idx="299">
                  <c:v>1250</c:v>
                </c:pt>
                <c:pt idx="300">
                  <c:v>1250</c:v>
                </c:pt>
                <c:pt idx="301">
                  <c:v>1250</c:v>
                </c:pt>
                <c:pt idx="302">
                  <c:v>1250</c:v>
                </c:pt>
                <c:pt idx="303">
                  <c:v>1250</c:v>
                </c:pt>
                <c:pt idx="304">
                  <c:v>1250</c:v>
                </c:pt>
                <c:pt idx="305">
                  <c:v>1250</c:v>
                </c:pt>
                <c:pt idx="306">
                  <c:v>1250</c:v>
                </c:pt>
                <c:pt idx="307">
                  <c:v>1250</c:v>
                </c:pt>
                <c:pt idx="308">
                  <c:v>1250</c:v>
                </c:pt>
                <c:pt idx="309">
                  <c:v>1250</c:v>
                </c:pt>
                <c:pt idx="310">
                  <c:v>1250</c:v>
                </c:pt>
                <c:pt idx="311">
                  <c:v>1250</c:v>
                </c:pt>
                <c:pt idx="312">
                  <c:v>1250</c:v>
                </c:pt>
                <c:pt idx="313">
                  <c:v>1250</c:v>
                </c:pt>
                <c:pt idx="314">
                  <c:v>1250</c:v>
                </c:pt>
                <c:pt idx="315">
                  <c:v>1250</c:v>
                </c:pt>
                <c:pt idx="316">
                  <c:v>1250</c:v>
                </c:pt>
                <c:pt idx="317">
                  <c:v>1250</c:v>
                </c:pt>
                <c:pt idx="318">
                  <c:v>1250</c:v>
                </c:pt>
                <c:pt idx="319">
                  <c:v>1250</c:v>
                </c:pt>
                <c:pt idx="320">
                  <c:v>1250</c:v>
                </c:pt>
                <c:pt idx="321">
                  <c:v>1250</c:v>
                </c:pt>
                <c:pt idx="322">
                  <c:v>1250</c:v>
                </c:pt>
                <c:pt idx="323">
                  <c:v>1250</c:v>
                </c:pt>
                <c:pt idx="324">
                  <c:v>1250</c:v>
                </c:pt>
                <c:pt idx="325">
                  <c:v>1250</c:v>
                </c:pt>
                <c:pt idx="326">
                  <c:v>1250</c:v>
                </c:pt>
                <c:pt idx="327">
                  <c:v>1250</c:v>
                </c:pt>
                <c:pt idx="328">
                  <c:v>1250</c:v>
                </c:pt>
                <c:pt idx="329">
                  <c:v>1250</c:v>
                </c:pt>
                <c:pt idx="330">
                  <c:v>1250</c:v>
                </c:pt>
                <c:pt idx="331">
                  <c:v>1250</c:v>
                </c:pt>
                <c:pt idx="332">
                  <c:v>1250</c:v>
                </c:pt>
                <c:pt idx="333">
                  <c:v>1250</c:v>
                </c:pt>
                <c:pt idx="334">
                  <c:v>1250</c:v>
                </c:pt>
                <c:pt idx="335">
                  <c:v>1250</c:v>
                </c:pt>
                <c:pt idx="336">
                  <c:v>1250</c:v>
                </c:pt>
                <c:pt idx="337">
                  <c:v>1250</c:v>
                </c:pt>
                <c:pt idx="338">
                  <c:v>1250</c:v>
                </c:pt>
                <c:pt idx="339">
                  <c:v>1250</c:v>
                </c:pt>
                <c:pt idx="340">
                  <c:v>1250</c:v>
                </c:pt>
                <c:pt idx="341">
                  <c:v>1250</c:v>
                </c:pt>
                <c:pt idx="342">
                  <c:v>1250</c:v>
                </c:pt>
                <c:pt idx="343">
                  <c:v>1250</c:v>
                </c:pt>
                <c:pt idx="344">
                  <c:v>1250</c:v>
                </c:pt>
                <c:pt idx="345">
                  <c:v>1250</c:v>
                </c:pt>
                <c:pt idx="346">
                  <c:v>1250</c:v>
                </c:pt>
                <c:pt idx="347">
                  <c:v>1250</c:v>
                </c:pt>
                <c:pt idx="348">
                  <c:v>1250</c:v>
                </c:pt>
                <c:pt idx="349">
                  <c:v>1250</c:v>
                </c:pt>
                <c:pt idx="350">
                  <c:v>1250</c:v>
                </c:pt>
                <c:pt idx="351">
                  <c:v>1250</c:v>
                </c:pt>
                <c:pt idx="352">
                  <c:v>1250</c:v>
                </c:pt>
                <c:pt idx="353">
                  <c:v>1250</c:v>
                </c:pt>
                <c:pt idx="354">
                  <c:v>1250</c:v>
                </c:pt>
                <c:pt idx="355">
                  <c:v>1250</c:v>
                </c:pt>
                <c:pt idx="356">
                  <c:v>1250</c:v>
                </c:pt>
                <c:pt idx="357">
                  <c:v>1250</c:v>
                </c:pt>
                <c:pt idx="358">
                  <c:v>1250</c:v>
                </c:pt>
                <c:pt idx="359">
                  <c:v>1250</c:v>
                </c:pt>
                <c:pt idx="360">
                  <c:v>1250</c:v>
                </c:pt>
                <c:pt idx="361">
                  <c:v>1250</c:v>
                </c:pt>
                <c:pt idx="362">
                  <c:v>1250</c:v>
                </c:pt>
              </c:numCache>
            </c:numRef>
          </c:val>
          <c:smooth val="0"/>
          <c:extLst>
            <c:ext xmlns:c16="http://schemas.microsoft.com/office/drawing/2014/chart" uri="{C3380CC4-5D6E-409C-BE32-E72D297353CC}">
              <c16:uniqueId val="{00000000-D29A-4A79-9B77-4D4DDBC3648D}"/>
            </c:ext>
          </c:extLst>
        </c:ser>
        <c:dLbls>
          <c:showLegendKey val="0"/>
          <c:showVal val="0"/>
          <c:showCatName val="0"/>
          <c:showSerName val="0"/>
          <c:showPercent val="0"/>
          <c:showBubbleSize val="0"/>
        </c:dLbls>
        <c:smooth val="0"/>
        <c:axId val="379946367"/>
        <c:axId val="490836287"/>
      </c:lineChart>
      <c:dateAx>
        <c:axId val="379946367"/>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0836287"/>
        <c:crosses val="autoZero"/>
        <c:auto val="1"/>
        <c:lblOffset val="100"/>
        <c:baseTimeUnit val="days"/>
      </c:dateAx>
      <c:valAx>
        <c:axId val="4908362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99463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'Tower model'!$B$52</c:f>
              <c:strCache>
                <c:ptCount val="1"/>
                <c:pt idx="0">
                  <c:v>1 Tenant</c:v>
                </c:pt>
              </c:strCache>
            </c:strRef>
          </c:tx>
          <c:spPr>
            <a:solidFill>
              <a:srgbClr val="000080"/>
            </a:solidFill>
            <a:ln w="25400">
              <a:noFill/>
            </a:ln>
            <a:effectLst/>
          </c:spPr>
          <c:invertIfNegative val="0"/>
          <c:cat>
            <c:strRef>
              <c:f>'Tower model'!$A$53:$A$58</c:f>
              <c:strCache>
                <c:ptCount val="6"/>
                <c:pt idx="0">
                  <c:v>Indonesia</c:v>
                </c:pt>
                <c:pt idx="1">
                  <c:v>India</c:v>
                </c:pt>
                <c:pt idx="2">
                  <c:v>China</c:v>
                </c:pt>
                <c:pt idx="3">
                  <c:v>US</c:v>
                </c:pt>
                <c:pt idx="4">
                  <c:v>EU</c:v>
                </c:pt>
                <c:pt idx="5">
                  <c:v>IHS Nigeria</c:v>
                </c:pt>
              </c:strCache>
            </c:strRef>
          </c:cat>
          <c:val>
            <c:numRef>
              <c:f>'Tower model'!$B$53:$B$58</c:f>
              <c:numCache>
                <c:formatCode>0%</c:formatCode>
                <c:ptCount val="6"/>
                <c:pt idx="0">
                  <c:v>1.4E-2</c:v>
                </c:pt>
                <c:pt idx="1">
                  <c:v>-1.7999999999999999E-2</c:v>
                </c:pt>
                <c:pt idx="2">
                  <c:v>2.9000000000000001E-2</c:v>
                </c:pt>
                <c:pt idx="3">
                  <c:v>-8.0000000000000002E-3</c:v>
                </c:pt>
                <c:pt idx="4">
                  <c:v>7.0000000000000001E-3</c:v>
                </c:pt>
                <c:pt idx="5">
                  <c:v>3.4879019375892301E-2</c:v>
                </c:pt>
              </c:numCache>
            </c:numRef>
          </c:val>
          <c:extLst>
            <c:ext xmlns:c16="http://schemas.microsoft.com/office/drawing/2014/chart" uri="{C3380CC4-5D6E-409C-BE32-E72D297353CC}">
              <c16:uniqueId val="{00000000-A701-4B7F-B85C-B3922D463E11}"/>
            </c:ext>
          </c:extLst>
        </c:ser>
        <c:ser>
          <c:idx val="1"/>
          <c:order val="1"/>
          <c:tx>
            <c:strRef>
              <c:f>'Tower model'!$C$52</c:f>
              <c:strCache>
                <c:ptCount val="1"/>
                <c:pt idx="0">
                  <c:v>2 Tenants</c:v>
                </c:pt>
              </c:strCache>
            </c:strRef>
          </c:tx>
          <c:spPr>
            <a:solidFill>
              <a:srgbClr val="9999FF"/>
            </a:solidFill>
            <a:ln w="25400">
              <a:noFill/>
            </a:ln>
            <a:effectLst/>
          </c:spPr>
          <c:invertIfNegative val="0"/>
          <c:cat>
            <c:strRef>
              <c:f>'Tower model'!$A$53:$A$58</c:f>
              <c:strCache>
                <c:ptCount val="6"/>
                <c:pt idx="0">
                  <c:v>Indonesia</c:v>
                </c:pt>
                <c:pt idx="1">
                  <c:v>India</c:v>
                </c:pt>
                <c:pt idx="2">
                  <c:v>China</c:v>
                </c:pt>
                <c:pt idx="3">
                  <c:v>US</c:v>
                </c:pt>
                <c:pt idx="4">
                  <c:v>EU</c:v>
                </c:pt>
                <c:pt idx="5">
                  <c:v>IHS Nigeria</c:v>
                </c:pt>
              </c:strCache>
            </c:strRef>
          </c:cat>
          <c:val>
            <c:numRef>
              <c:f>'Tower model'!$C$53:$C$58</c:f>
              <c:numCache>
                <c:formatCode>0%</c:formatCode>
                <c:ptCount val="6"/>
                <c:pt idx="0">
                  <c:v>8.5999999999999993E-2</c:v>
                </c:pt>
                <c:pt idx="1">
                  <c:v>1.2E-2</c:v>
                </c:pt>
                <c:pt idx="2">
                  <c:v>4.7E-2</c:v>
                </c:pt>
                <c:pt idx="3">
                  <c:v>6.6000000000000003E-2</c:v>
                </c:pt>
                <c:pt idx="4">
                  <c:v>3.4000000000000002E-2</c:v>
                </c:pt>
                <c:pt idx="5">
                  <c:v>0.19775798792878133</c:v>
                </c:pt>
              </c:numCache>
            </c:numRef>
          </c:val>
          <c:extLst>
            <c:ext xmlns:c16="http://schemas.microsoft.com/office/drawing/2014/chart" uri="{C3380CC4-5D6E-409C-BE32-E72D297353CC}">
              <c16:uniqueId val="{00000001-A701-4B7F-B85C-B3922D463E11}"/>
            </c:ext>
          </c:extLst>
        </c:ser>
        <c:ser>
          <c:idx val="2"/>
          <c:order val="2"/>
          <c:tx>
            <c:strRef>
              <c:f>'Tower model'!$D$52</c:f>
              <c:strCache>
                <c:ptCount val="1"/>
                <c:pt idx="0">
                  <c:v>3 Tenants</c:v>
                </c:pt>
              </c:strCache>
            </c:strRef>
          </c:tx>
          <c:spPr>
            <a:solidFill>
              <a:srgbClr val="3366FF"/>
            </a:solidFill>
            <a:ln w="25400">
              <a:noFill/>
            </a:ln>
            <a:effectLst/>
          </c:spPr>
          <c:invertIfNegative val="0"/>
          <c:cat>
            <c:strRef>
              <c:f>'Tower model'!$A$53:$A$58</c:f>
              <c:strCache>
                <c:ptCount val="6"/>
                <c:pt idx="0">
                  <c:v>Indonesia</c:v>
                </c:pt>
                <c:pt idx="1">
                  <c:v>India</c:v>
                </c:pt>
                <c:pt idx="2">
                  <c:v>China</c:v>
                </c:pt>
                <c:pt idx="3">
                  <c:v>US</c:v>
                </c:pt>
                <c:pt idx="4">
                  <c:v>EU</c:v>
                </c:pt>
                <c:pt idx="5">
                  <c:v>IHS Nigeria</c:v>
                </c:pt>
              </c:strCache>
            </c:strRef>
          </c:cat>
          <c:val>
            <c:numRef>
              <c:f>'Tower model'!$D$53:$D$58</c:f>
              <c:numCache>
                <c:formatCode>0%</c:formatCode>
                <c:ptCount val="6"/>
                <c:pt idx="0">
                  <c:v>0.14099999999999999</c:v>
                </c:pt>
                <c:pt idx="1">
                  <c:v>0.03</c:v>
                </c:pt>
                <c:pt idx="2">
                  <c:v>6.4000000000000001E-2</c:v>
                </c:pt>
                <c:pt idx="3">
                  <c:v>0.14099999999999999</c:v>
                </c:pt>
                <c:pt idx="4">
                  <c:v>0.06</c:v>
                </c:pt>
                <c:pt idx="5">
                  <c:v>0.34583493849648694</c:v>
                </c:pt>
              </c:numCache>
            </c:numRef>
          </c:val>
          <c:extLst>
            <c:ext xmlns:c16="http://schemas.microsoft.com/office/drawing/2014/chart" uri="{C3380CC4-5D6E-409C-BE32-E72D297353CC}">
              <c16:uniqueId val="{00000002-A701-4B7F-B85C-B3922D463E11}"/>
            </c:ext>
          </c:extLst>
        </c:ser>
        <c:dLbls>
          <c:showLegendKey val="0"/>
          <c:showVal val="0"/>
          <c:showCatName val="0"/>
          <c:showSerName val="0"/>
          <c:showPercent val="0"/>
          <c:showBubbleSize val="0"/>
        </c:dLbls>
        <c:gapWidth val="219"/>
        <c:overlap val="-27"/>
        <c:axId val="1636286111"/>
        <c:axId val="1636282783"/>
      </c:barChart>
      <c:catAx>
        <c:axId val="163628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636282783"/>
        <c:crosses val="autoZero"/>
        <c:auto val="1"/>
        <c:lblAlgn val="ctr"/>
        <c:lblOffset val="100"/>
        <c:noMultiLvlLbl val="0"/>
      </c:catAx>
      <c:valAx>
        <c:axId val="1636282783"/>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636286111"/>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cat>
            <c:strRef>
              <c:f>'Tower model'!$A$72:$A$77</c:f>
              <c:strCache>
                <c:ptCount val="6"/>
                <c:pt idx="0">
                  <c:v>Up to 2010</c:v>
                </c:pt>
                <c:pt idx="1">
                  <c:v>2011-2012</c:v>
                </c:pt>
                <c:pt idx="2">
                  <c:v>2013-2014</c:v>
                </c:pt>
                <c:pt idx="3">
                  <c:v>2016-2016</c:v>
                </c:pt>
                <c:pt idx="4">
                  <c:v>2017-2019</c:v>
                </c:pt>
                <c:pt idx="5">
                  <c:v>2020</c:v>
                </c:pt>
              </c:strCache>
            </c:strRef>
          </c:cat>
          <c:val>
            <c:numRef>
              <c:f>'Tower model'!$B$72:$B$77</c:f>
              <c:numCache>
                <c:formatCode>General</c:formatCode>
                <c:ptCount val="6"/>
                <c:pt idx="0">
                  <c:v>2.21</c:v>
                </c:pt>
                <c:pt idx="1">
                  <c:v>1.87</c:v>
                </c:pt>
                <c:pt idx="2">
                  <c:v>1.65</c:v>
                </c:pt>
                <c:pt idx="3">
                  <c:v>1.44</c:v>
                </c:pt>
                <c:pt idx="4">
                  <c:v>1.26</c:v>
                </c:pt>
                <c:pt idx="5">
                  <c:v>1.07</c:v>
                </c:pt>
              </c:numCache>
            </c:numRef>
          </c:val>
          <c:extLst>
            <c:ext xmlns:c16="http://schemas.microsoft.com/office/drawing/2014/chart" uri="{C3380CC4-5D6E-409C-BE32-E72D297353CC}">
              <c16:uniqueId val="{00000000-099C-4F1A-849A-414CA4AF853C}"/>
            </c:ext>
          </c:extLst>
        </c:ser>
        <c:dLbls>
          <c:showLegendKey val="0"/>
          <c:showVal val="0"/>
          <c:showCatName val="0"/>
          <c:showSerName val="0"/>
          <c:showPercent val="0"/>
          <c:showBubbleSize val="0"/>
        </c:dLbls>
        <c:gapWidth val="219"/>
        <c:overlap val="-27"/>
        <c:axId val="1624143599"/>
        <c:axId val="1624135695"/>
      </c:barChart>
      <c:catAx>
        <c:axId val="1624143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624135695"/>
        <c:crosses val="autoZero"/>
        <c:auto val="1"/>
        <c:lblAlgn val="ctr"/>
        <c:lblOffset val="100"/>
        <c:noMultiLvlLbl val="0"/>
      </c:catAx>
      <c:valAx>
        <c:axId val="1624135695"/>
        <c:scaling>
          <c:orientation val="minMax"/>
        </c:scaling>
        <c:delete val="0"/>
        <c:axPos val="l"/>
        <c:majorGridlines>
          <c:spPr>
            <a:ln w="3175" cap="flat" cmpd="sng" algn="ctr">
              <a:solidFill>
                <a:srgbClr val="C0C0C0"/>
              </a:solidFill>
              <a:prstDash val="solid"/>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624143599"/>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'Tower model'!$B$92</c:f>
              <c:strCache>
                <c:ptCount val="1"/>
                <c:pt idx="0">
                  <c:v>2016</c:v>
                </c:pt>
              </c:strCache>
            </c:strRef>
          </c:tx>
          <c:spPr>
            <a:solidFill>
              <a:srgbClr val="000080"/>
            </a:solidFill>
            <a:ln w="25400">
              <a:noFill/>
            </a:ln>
            <a:effectLst/>
          </c:spPr>
          <c:invertIfNegative val="0"/>
          <c:cat>
            <c:strRef>
              <c:f>'Tower model'!$A$93:$A$94</c:f>
              <c:strCache>
                <c:ptCount val="2"/>
                <c:pt idx="0">
                  <c:v>Gross profit margin</c:v>
                </c:pt>
                <c:pt idx="1">
                  <c:v>EBITDA Margin</c:v>
                </c:pt>
              </c:strCache>
            </c:strRef>
          </c:cat>
          <c:val>
            <c:numRef>
              <c:f>'Tower model'!$B$93:$B$94</c:f>
              <c:numCache>
                <c:formatCode>0%</c:formatCode>
                <c:ptCount val="2"/>
                <c:pt idx="0">
                  <c:v>0.24257950530035341</c:v>
                </c:pt>
                <c:pt idx="1">
                  <c:v>0.42287985865724376</c:v>
                </c:pt>
              </c:numCache>
            </c:numRef>
          </c:val>
          <c:extLst>
            <c:ext xmlns:c16="http://schemas.microsoft.com/office/drawing/2014/chart" uri="{C3380CC4-5D6E-409C-BE32-E72D297353CC}">
              <c16:uniqueId val="{00000000-F252-4558-9AF1-1EB04AFF7B70}"/>
            </c:ext>
          </c:extLst>
        </c:ser>
        <c:ser>
          <c:idx val="1"/>
          <c:order val="1"/>
          <c:tx>
            <c:strRef>
              <c:f>'Tower model'!$C$92</c:f>
              <c:strCache>
                <c:ptCount val="1"/>
                <c:pt idx="0">
                  <c:v>2017</c:v>
                </c:pt>
              </c:strCache>
            </c:strRef>
          </c:tx>
          <c:spPr>
            <a:solidFill>
              <a:srgbClr val="9999FF"/>
            </a:solidFill>
            <a:ln w="25400">
              <a:noFill/>
            </a:ln>
            <a:effectLst/>
          </c:spPr>
          <c:invertIfNegative val="0"/>
          <c:cat>
            <c:strRef>
              <c:f>'Tower model'!$A$93:$A$94</c:f>
              <c:strCache>
                <c:ptCount val="2"/>
                <c:pt idx="0">
                  <c:v>Gross profit margin</c:v>
                </c:pt>
                <c:pt idx="1">
                  <c:v>EBITDA Margin</c:v>
                </c:pt>
              </c:strCache>
            </c:strRef>
          </c:cat>
          <c:val>
            <c:numRef>
              <c:f>'Tower model'!$C$93:$C$94</c:f>
              <c:numCache>
                <c:formatCode>0%</c:formatCode>
                <c:ptCount val="2"/>
                <c:pt idx="0">
                  <c:v>0.28795338542842946</c:v>
                </c:pt>
                <c:pt idx="1">
                  <c:v>0.47610009485523286</c:v>
                </c:pt>
              </c:numCache>
            </c:numRef>
          </c:val>
          <c:extLst>
            <c:ext xmlns:c16="http://schemas.microsoft.com/office/drawing/2014/chart" uri="{C3380CC4-5D6E-409C-BE32-E72D297353CC}">
              <c16:uniqueId val="{00000001-F252-4558-9AF1-1EB04AFF7B70}"/>
            </c:ext>
          </c:extLst>
        </c:ser>
        <c:ser>
          <c:idx val="2"/>
          <c:order val="2"/>
          <c:tx>
            <c:strRef>
              <c:f>'Tower model'!$D$92</c:f>
              <c:strCache>
                <c:ptCount val="1"/>
                <c:pt idx="0">
                  <c:v>2018</c:v>
                </c:pt>
              </c:strCache>
            </c:strRef>
          </c:tx>
          <c:spPr>
            <a:solidFill>
              <a:srgbClr val="3366FF"/>
            </a:solidFill>
            <a:ln w="25400">
              <a:noFill/>
            </a:ln>
            <a:effectLst/>
          </c:spPr>
          <c:invertIfNegative val="0"/>
          <c:cat>
            <c:strRef>
              <c:f>'Tower model'!$A$93:$A$94</c:f>
              <c:strCache>
                <c:ptCount val="2"/>
                <c:pt idx="0">
                  <c:v>Gross profit margin</c:v>
                </c:pt>
                <c:pt idx="1">
                  <c:v>EBITDA Margin</c:v>
                </c:pt>
              </c:strCache>
            </c:strRef>
          </c:cat>
          <c:val>
            <c:numRef>
              <c:f>'Tower model'!$D$93:$D$94</c:f>
              <c:numCache>
                <c:formatCode>0%</c:formatCode>
                <c:ptCount val="2"/>
                <c:pt idx="0">
                  <c:v>0.34357876712328761</c:v>
                </c:pt>
                <c:pt idx="1">
                  <c:v>0.47150856164383559</c:v>
                </c:pt>
              </c:numCache>
            </c:numRef>
          </c:val>
          <c:extLst>
            <c:ext xmlns:c16="http://schemas.microsoft.com/office/drawing/2014/chart" uri="{C3380CC4-5D6E-409C-BE32-E72D297353CC}">
              <c16:uniqueId val="{00000003-F252-4558-9AF1-1EB04AFF7B70}"/>
            </c:ext>
          </c:extLst>
        </c:ser>
        <c:ser>
          <c:idx val="3"/>
          <c:order val="3"/>
          <c:tx>
            <c:strRef>
              <c:f>'Tower model'!$E$92</c:f>
              <c:strCache>
                <c:ptCount val="1"/>
                <c:pt idx="0">
                  <c:v>2019</c:v>
                </c:pt>
              </c:strCache>
            </c:strRef>
          </c:tx>
          <c:spPr>
            <a:solidFill>
              <a:srgbClr val="CCCCFF"/>
            </a:solidFill>
            <a:ln w="25400">
              <a:noFill/>
            </a:ln>
            <a:effectLst/>
          </c:spPr>
          <c:invertIfNegative val="0"/>
          <c:cat>
            <c:strRef>
              <c:f>'Tower model'!$A$93:$A$94</c:f>
              <c:strCache>
                <c:ptCount val="2"/>
                <c:pt idx="0">
                  <c:v>Gross profit margin</c:v>
                </c:pt>
                <c:pt idx="1">
                  <c:v>EBITDA Margin</c:v>
                </c:pt>
              </c:strCache>
            </c:strRef>
          </c:cat>
          <c:val>
            <c:numRef>
              <c:f>'Tower model'!$E$93:$E$94</c:f>
              <c:numCache>
                <c:formatCode>0%</c:formatCode>
                <c:ptCount val="2"/>
                <c:pt idx="0">
                  <c:v>0.3412185215272136</c:v>
                </c:pt>
                <c:pt idx="1">
                  <c:v>0.54314703493095051</c:v>
                </c:pt>
              </c:numCache>
            </c:numRef>
          </c:val>
          <c:extLst>
            <c:ext xmlns:c16="http://schemas.microsoft.com/office/drawing/2014/chart" uri="{C3380CC4-5D6E-409C-BE32-E72D297353CC}">
              <c16:uniqueId val="{00000004-F252-4558-9AF1-1EB04AFF7B70}"/>
            </c:ext>
          </c:extLst>
        </c:ser>
        <c:ser>
          <c:idx val="4"/>
          <c:order val="4"/>
          <c:tx>
            <c:strRef>
              <c:f>'Tower model'!$F$92</c:f>
              <c:strCache>
                <c:ptCount val="1"/>
                <c:pt idx="0">
                  <c:v>2020</c:v>
                </c:pt>
              </c:strCache>
            </c:strRef>
          </c:tx>
          <c:spPr>
            <a:solidFill>
              <a:srgbClr val="969696"/>
            </a:solidFill>
            <a:ln w="25400">
              <a:noFill/>
            </a:ln>
            <a:effectLst/>
          </c:spPr>
          <c:invertIfNegative val="0"/>
          <c:cat>
            <c:strRef>
              <c:f>'Tower model'!$A$93:$A$94</c:f>
              <c:strCache>
                <c:ptCount val="2"/>
                <c:pt idx="0">
                  <c:v>Gross profit margin</c:v>
                </c:pt>
                <c:pt idx="1">
                  <c:v>EBITDA Margin</c:v>
                </c:pt>
              </c:strCache>
            </c:strRef>
          </c:cat>
          <c:val>
            <c:numRef>
              <c:f>'Tower model'!$F$93:$F$94</c:f>
              <c:numCache>
                <c:formatCode>0%</c:formatCode>
                <c:ptCount val="2"/>
                <c:pt idx="0">
                  <c:v>0.40240912330719891</c:v>
                </c:pt>
                <c:pt idx="1">
                  <c:v>0.58375908766928009</c:v>
                </c:pt>
              </c:numCache>
            </c:numRef>
          </c:val>
          <c:extLst>
            <c:ext xmlns:c16="http://schemas.microsoft.com/office/drawing/2014/chart" uri="{C3380CC4-5D6E-409C-BE32-E72D297353CC}">
              <c16:uniqueId val="{00000005-F252-4558-9AF1-1EB04AFF7B70}"/>
            </c:ext>
          </c:extLst>
        </c:ser>
        <c:dLbls>
          <c:showLegendKey val="0"/>
          <c:showVal val="0"/>
          <c:showCatName val="0"/>
          <c:showSerName val="0"/>
          <c:showPercent val="0"/>
          <c:showBubbleSize val="0"/>
        </c:dLbls>
        <c:gapWidth val="150"/>
        <c:axId val="74939967"/>
        <c:axId val="74940799"/>
      </c:barChart>
      <c:catAx>
        <c:axId val="749399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4940799"/>
        <c:crosses val="autoZero"/>
        <c:auto val="1"/>
        <c:lblAlgn val="ctr"/>
        <c:lblOffset val="100"/>
        <c:noMultiLvlLbl val="0"/>
      </c:catAx>
      <c:valAx>
        <c:axId val="74940799"/>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4939967"/>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39173228346457"/>
          <c:y val="8.2372776319626737E-2"/>
          <c:w val="0.83144466316710408"/>
          <c:h val="0.62590186643336243"/>
        </c:manualLayout>
      </c:layout>
      <c:barChart>
        <c:barDir val="col"/>
        <c:grouping val="clustered"/>
        <c:varyColors val="0"/>
        <c:ser>
          <c:idx val="0"/>
          <c:order val="0"/>
          <c:spPr>
            <a:solidFill>
              <a:srgbClr val="000080"/>
            </a:solidFill>
            <a:ln w="25400">
              <a:noFill/>
            </a:ln>
            <a:effectLst/>
          </c:spPr>
          <c:invertIfNegative val="0"/>
          <c:dPt>
            <c:idx val="9"/>
            <c:invertIfNegative val="0"/>
            <c:bubble3D val="0"/>
            <c:spPr>
              <a:solidFill>
                <a:srgbClr val="FF0000"/>
              </a:solidFill>
              <a:ln w="25400">
                <a:noFill/>
              </a:ln>
              <a:effectLst/>
            </c:spPr>
            <c:extLst>
              <c:ext xmlns:c16="http://schemas.microsoft.com/office/drawing/2014/chart" uri="{C3380CC4-5D6E-409C-BE32-E72D297353CC}">
                <c16:uniqueId val="{00000001-F8A6-4260-8E22-FD62F77C623F}"/>
              </c:ext>
            </c:extLst>
          </c:dPt>
          <c:dPt>
            <c:idx val="11"/>
            <c:invertIfNegative val="0"/>
            <c:bubble3D val="0"/>
            <c:spPr>
              <a:solidFill>
                <a:srgbClr val="FF0000"/>
              </a:solidFill>
              <a:ln w="25400">
                <a:noFill/>
              </a:ln>
              <a:effectLst/>
            </c:spPr>
            <c:extLst>
              <c:ext xmlns:c16="http://schemas.microsoft.com/office/drawing/2014/chart" uri="{C3380CC4-5D6E-409C-BE32-E72D297353CC}">
                <c16:uniqueId val="{00000002-F8A6-4260-8E22-FD62F77C623F}"/>
              </c:ext>
            </c:extLst>
          </c:dPt>
          <c:dPt>
            <c:idx val="12"/>
            <c:invertIfNegative val="0"/>
            <c:bubble3D val="0"/>
            <c:spPr>
              <a:solidFill>
                <a:srgbClr val="FF0000"/>
              </a:solidFill>
              <a:ln w="25400">
                <a:noFill/>
              </a:ln>
              <a:effectLst/>
            </c:spPr>
            <c:extLst>
              <c:ext xmlns:c16="http://schemas.microsoft.com/office/drawing/2014/chart" uri="{C3380CC4-5D6E-409C-BE32-E72D297353CC}">
                <c16:uniqueId val="{00000003-F8A6-4260-8E22-FD62F77C623F}"/>
              </c:ext>
            </c:extLst>
          </c:dPt>
          <c:dPt>
            <c:idx val="13"/>
            <c:invertIfNegative val="0"/>
            <c:bubble3D val="0"/>
            <c:spPr>
              <a:solidFill>
                <a:srgbClr val="FF0000"/>
              </a:solidFill>
              <a:ln w="25400">
                <a:noFill/>
              </a:ln>
              <a:effectLst/>
            </c:spPr>
            <c:extLst>
              <c:ext xmlns:c16="http://schemas.microsoft.com/office/drawing/2014/chart" uri="{C3380CC4-5D6E-409C-BE32-E72D297353CC}">
                <c16:uniqueId val="{00000004-F8A6-4260-8E22-FD62F77C623F}"/>
              </c:ext>
            </c:extLst>
          </c:dPt>
          <c:cat>
            <c:strRef>
              <c:f>Tenancies!$G$27:$G$41</c:f>
              <c:strCache>
                <c:ptCount val="15"/>
                <c:pt idx="0">
                  <c:v>China Tower</c:v>
                </c:pt>
                <c:pt idx="1">
                  <c:v>Inwit</c:v>
                </c:pt>
                <c:pt idx="2">
                  <c:v>Infratel (India)</c:v>
                </c:pt>
                <c:pt idx="3">
                  <c:v>AMT - Asia</c:v>
                </c:pt>
                <c:pt idx="4">
                  <c:v>Tower Bersama</c:v>
                </c:pt>
                <c:pt idx="5">
                  <c:v>Telesites</c:v>
                </c:pt>
                <c:pt idx="6">
                  <c:v>Cellnex</c:v>
                </c:pt>
                <c:pt idx="7">
                  <c:v>Protelindo</c:v>
                </c:pt>
                <c:pt idx="8">
                  <c:v>AMT - Latam</c:v>
                </c:pt>
                <c:pt idx="9">
                  <c:v>Tanzania</c:v>
                </c:pt>
                <c:pt idx="10">
                  <c:v>AMT  -EMEA</c:v>
                </c:pt>
                <c:pt idx="11">
                  <c:v>Ghana</c:v>
                </c:pt>
                <c:pt idx="12">
                  <c:v>Congo B</c:v>
                </c:pt>
                <c:pt idx="13">
                  <c:v>DRC</c:v>
                </c:pt>
                <c:pt idx="14">
                  <c:v>AMT - USA</c:v>
                </c:pt>
              </c:strCache>
            </c:strRef>
          </c:cat>
          <c:val>
            <c:numRef>
              <c:f>Tenancies!$H$27:$H$41</c:f>
              <c:numCache>
                <c:formatCode>_-* #,##0_-;\-* #,##0_-;_-* "-"??_-;_-@_-</c:formatCode>
                <c:ptCount val="15"/>
                <c:pt idx="0">
                  <c:v>450.28637707953476</c:v>
                </c:pt>
                <c:pt idx="1">
                  <c:v>1379.3333333333333</c:v>
                </c:pt>
                <c:pt idx="2" formatCode="General">
                  <c:v>1610</c:v>
                </c:pt>
                <c:pt idx="3">
                  <c:v>1716.1515426982514</c:v>
                </c:pt>
                <c:pt idx="4">
                  <c:v>1772</c:v>
                </c:pt>
                <c:pt idx="5">
                  <c:v>1820</c:v>
                </c:pt>
                <c:pt idx="6">
                  <c:v>1890</c:v>
                </c:pt>
                <c:pt idx="7">
                  <c:v>1988</c:v>
                </c:pt>
                <c:pt idx="8">
                  <c:v>3057.771331883007</c:v>
                </c:pt>
                <c:pt idx="9">
                  <c:v>3473.767148683723</c:v>
                </c:pt>
                <c:pt idx="10">
                  <c:v>3507.3209581572014</c:v>
                </c:pt>
                <c:pt idx="11">
                  <c:v>3982.128982128982</c:v>
                </c:pt>
                <c:pt idx="12">
                  <c:v>5205.6555269922883</c:v>
                </c:pt>
                <c:pt idx="13">
                  <c:v>6537.676317743133</c:v>
                </c:pt>
                <c:pt idx="14">
                  <c:v>13024.79485292113</c:v>
                </c:pt>
              </c:numCache>
            </c:numRef>
          </c:val>
          <c:extLst>
            <c:ext xmlns:c16="http://schemas.microsoft.com/office/drawing/2014/chart" uri="{C3380CC4-5D6E-409C-BE32-E72D297353CC}">
              <c16:uniqueId val="{00000000-F8A6-4260-8E22-FD62F77C623F}"/>
            </c:ext>
          </c:extLst>
        </c:ser>
        <c:dLbls>
          <c:showLegendKey val="0"/>
          <c:showVal val="0"/>
          <c:showCatName val="0"/>
          <c:showSerName val="0"/>
          <c:showPercent val="0"/>
          <c:showBubbleSize val="0"/>
        </c:dLbls>
        <c:gapWidth val="150"/>
        <c:axId val="450686896"/>
        <c:axId val="450684928"/>
      </c:barChart>
      <c:catAx>
        <c:axId val="450686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en-US"/>
          </a:p>
        </c:txPr>
        <c:crossAx val="450684928"/>
        <c:crosses val="autoZero"/>
        <c:auto val="1"/>
        <c:lblAlgn val="ctr"/>
        <c:lblOffset val="100"/>
        <c:noMultiLvlLbl val="0"/>
      </c:catAx>
      <c:valAx>
        <c:axId val="450684928"/>
        <c:scaling>
          <c:orientation val="minMax"/>
        </c:scaling>
        <c:delete val="0"/>
        <c:axPos val="l"/>
        <c:majorGridlines>
          <c:spPr>
            <a:ln w="3175" cap="flat" cmpd="sng" algn="ctr">
              <a:solidFill>
                <a:srgbClr val="C0C0C0"/>
              </a:solidFill>
              <a:prstDash val="solid"/>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en-US"/>
          </a:p>
        </c:txPr>
        <c:crossAx val="45068689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8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cat>
            <c:strRef>
              <c:f>Sheet2!$B$27:$B$32</c:f>
              <c:strCache>
                <c:ptCount val="6"/>
                <c:pt idx="0">
                  <c:v>ATC</c:v>
                </c:pt>
                <c:pt idx="1">
                  <c:v>Cellnex</c:v>
                </c:pt>
                <c:pt idx="2">
                  <c:v>SBA</c:v>
                </c:pt>
                <c:pt idx="3">
                  <c:v>HIS</c:v>
                </c:pt>
                <c:pt idx="4">
                  <c:v>PTI</c:v>
                </c:pt>
                <c:pt idx="5">
                  <c:v>Helios</c:v>
                </c:pt>
              </c:strCache>
            </c:strRef>
          </c:cat>
          <c:val>
            <c:numRef>
              <c:f>Sheet2!$C$27:$C$32</c:f>
              <c:numCache>
                <c:formatCode>_-* #,##0_-;\-* #,##0_-;_-* "-"??_-;_-@_-</c:formatCode>
                <c:ptCount val="6"/>
                <c:pt idx="0">
                  <c:v>212537</c:v>
                </c:pt>
                <c:pt idx="1">
                  <c:v>85749</c:v>
                </c:pt>
                <c:pt idx="2">
                  <c:v>33854</c:v>
                </c:pt>
                <c:pt idx="3">
                  <c:v>30207</c:v>
                </c:pt>
                <c:pt idx="4">
                  <c:v>13500</c:v>
                </c:pt>
                <c:pt idx="5">
                  <c:v>8603</c:v>
                </c:pt>
              </c:numCache>
            </c:numRef>
          </c:val>
          <c:extLst>
            <c:ext xmlns:c16="http://schemas.microsoft.com/office/drawing/2014/chart" uri="{C3380CC4-5D6E-409C-BE32-E72D297353CC}">
              <c16:uniqueId val="{00000000-3D65-4D40-A6F5-916D3AEE3AA6}"/>
            </c:ext>
          </c:extLst>
        </c:ser>
        <c:dLbls>
          <c:showLegendKey val="0"/>
          <c:showVal val="0"/>
          <c:showCatName val="0"/>
          <c:showSerName val="0"/>
          <c:showPercent val="0"/>
          <c:showBubbleSize val="0"/>
        </c:dLbls>
        <c:gapWidth val="150"/>
        <c:axId val="1422770607"/>
        <c:axId val="1422803471"/>
      </c:barChart>
      <c:catAx>
        <c:axId val="142277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422803471"/>
        <c:crosses val="autoZero"/>
        <c:auto val="1"/>
        <c:lblAlgn val="ctr"/>
        <c:lblOffset val="100"/>
        <c:noMultiLvlLbl val="0"/>
      </c:catAx>
      <c:valAx>
        <c:axId val="1422803471"/>
        <c:scaling>
          <c:orientation val="minMax"/>
        </c:scaling>
        <c:delete val="0"/>
        <c:axPos val="l"/>
        <c:majorGridlines>
          <c:spPr>
            <a:ln w="3175" cap="flat" cmpd="sng" algn="ctr">
              <a:solidFill>
                <a:srgbClr val="C0C0C0"/>
              </a:solidFill>
              <a:prstDash val="solid"/>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422770607"/>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Pt>
            <c:idx val="7"/>
            <c:invertIfNegative val="0"/>
            <c:bubble3D val="0"/>
            <c:spPr>
              <a:solidFill>
                <a:srgbClr val="FF0000"/>
              </a:solidFill>
              <a:ln w="25400">
                <a:noFill/>
              </a:ln>
              <a:effectLst/>
            </c:spPr>
            <c:extLst>
              <c:ext xmlns:c16="http://schemas.microsoft.com/office/drawing/2014/chart" uri="{C3380CC4-5D6E-409C-BE32-E72D297353CC}">
                <c16:uniqueId val="{0000000A-46DE-4261-AC38-77AB1973D535}"/>
              </c:ext>
            </c:extLst>
          </c:dPt>
          <c:dPt>
            <c:idx val="9"/>
            <c:invertIfNegative val="0"/>
            <c:bubble3D val="0"/>
            <c:spPr>
              <a:solidFill>
                <a:srgbClr val="FF0000"/>
              </a:solidFill>
              <a:ln w="25400">
                <a:noFill/>
              </a:ln>
              <a:effectLst/>
            </c:spPr>
            <c:extLst>
              <c:ext xmlns:c16="http://schemas.microsoft.com/office/drawing/2014/chart" uri="{C3380CC4-5D6E-409C-BE32-E72D297353CC}">
                <c16:uniqueId val="{00000009-46DE-4261-AC38-77AB1973D535}"/>
              </c:ext>
            </c:extLst>
          </c:dPt>
          <c:dPt>
            <c:idx val="12"/>
            <c:invertIfNegative val="0"/>
            <c:bubble3D val="0"/>
            <c:extLst>
              <c:ext xmlns:c16="http://schemas.microsoft.com/office/drawing/2014/chart" uri="{C3380CC4-5D6E-409C-BE32-E72D297353CC}">
                <c16:uniqueId val="{00000005-6800-4063-9358-E5CF0F2571DB}"/>
              </c:ext>
            </c:extLst>
          </c:dPt>
          <c:dPt>
            <c:idx val="13"/>
            <c:invertIfNegative val="0"/>
            <c:bubble3D val="0"/>
            <c:extLst>
              <c:ext xmlns:c16="http://schemas.microsoft.com/office/drawing/2014/chart" uri="{C3380CC4-5D6E-409C-BE32-E72D297353CC}">
                <c16:uniqueId val="{00000007-6800-4063-9358-E5CF0F2571DB}"/>
              </c:ext>
            </c:extLst>
          </c:dPt>
          <c:dPt>
            <c:idx val="14"/>
            <c:invertIfNegative val="0"/>
            <c:bubble3D val="0"/>
            <c:extLst>
              <c:ext xmlns:c16="http://schemas.microsoft.com/office/drawing/2014/chart" uri="{C3380CC4-5D6E-409C-BE32-E72D297353CC}">
                <c16:uniqueId val="{00000009-6800-4063-9358-E5CF0F2571DB}"/>
              </c:ext>
            </c:extLst>
          </c:dPt>
          <c:dPt>
            <c:idx val="15"/>
            <c:invertIfNegative val="0"/>
            <c:bubble3D val="0"/>
            <c:extLst>
              <c:ext xmlns:c16="http://schemas.microsoft.com/office/drawing/2014/chart" uri="{C3380CC4-5D6E-409C-BE32-E72D297353CC}">
                <c16:uniqueId val="{00000003-46DE-4261-AC38-77AB1973D535}"/>
              </c:ext>
            </c:extLst>
          </c:dPt>
          <c:dPt>
            <c:idx val="17"/>
            <c:invertIfNegative val="0"/>
            <c:bubble3D val="0"/>
            <c:spPr>
              <a:solidFill>
                <a:srgbClr val="FF0000"/>
              </a:solidFill>
              <a:ln w="25400">
                <a:noFill/>
              </a:ln>
              <a:effectLst/>
            </c:spPr>
            <c:extLst>
              <c:ext xmlns:c16="http://schemas.microsoft.com/office/drawing/2014/chart" uri="{C3380CC4-5D6E-409C-BE32-E72D297353CC}">
                <c16:uniqueId val="{00000005-46DE-4261-AC38-77AB1973D535}"/>
              </c:ext>
            </c:extLst>
          </c:dPt>
          <c:dPt>
            <c:idx val="18"/>
            <c:invertIfNegative val="0"/>
            <c:bubble3D val="0"/>
            <c:spPr>
              <a:solidFill>
                <a:srgbClr val="FF0000"/>
              </a:solidFill>
              <a:ln w="25400">
                <a:noFill/>
              </a:ln>
              <a:effectLst/>
            </c:spPr>
            <c:extLst>
              <c:ext xmlns:c16="http://schemas.microsoft.com/office/drawing/2014/chart" uri="{C3380CC4-5D6E-409C-BE32-E72D297353CC}">
                <c16:uniqueId val="{00000008-46DE-4261-AC38-77AB1973D535}"/>
              </c:ext>
            </c:extLst>
          </c:dPt>
          <c:cat>
            <c:strRef>
              <c:f>Tenancies!$E$78:$E$97</c:f>
              <c:strCache>
                <c:ptCount val="20"/>
                <c:pt idx="0">
                  <c:v>China Tower</c:v>
                </c:pt>
                <c:pt idx="1">
                  <c:v>India (Infratel)</c:v>
                </c:pt>
                <c:pt idx="2">
                  <c:v>Uk</c:v>
                </c:pt>
                <c:pt idx="3">
                  <c:v>Tower Bersama</c:v>
                </c:pt>
                <c:pt idx="4">
                  <c:v>Spain</c:v>
                </c:pt>
                <c:pt idx="5">
                  <c:v>Telesites</c:v>
                </c:pt>
                <c:pt idx="6">
                  <c:v>Protelindo</c:v>
                </c:pt>
                <c:pt idx="7">
                  <c:v>Tanzania</c:v>
                </c:pt>
                <c:pt idx="8">
                  <c:v>Inwit</c:v>
                </c:pt>
                <c:pt idx="9">
                  <c:v>Ghana</c:v>
                </c:pt>
                <c:pt idx="10">
                  <c:v>AMT - Latam</c:v>
                </c:pt>
                <c:pt idx="11">
                  <c:v>AMT  -EMEA</c:v>
                </c:pt>
                <c:pt idx="12">
                  <c:v>Cellnex</c:v>
                </c:pt>
                <c:pt idx="13">
                  <c:v>Italy</c:v>
                </c:pt>
                <c:pt idx="14">
                  <c:v>France</c:v>
                </c:pt>
                <c:pt idx="15">
                  <c:v>Switzerland</c:v>
                </c:pt>
                <c:pt idx="16">
                  <c:v>Netherlands</c:v>
                </c:pt>
                <c:pt idx="17">
                  <c:v>DRC</c:v>
                </c:pt>
                <c:pt idx="18">
                  <c:v>Congo B</c:v>
                </c:pt>
                <c:pt idx="19">
                  <c:v>AMT - USA</c:v>
                </c:pt>
              </c:strCache>
            </c:strRef>
          </c:cat>
          <c:val>
            <c:numRef>
              <c:f>Tenancies!$F$78:$F$97</c:f>
              <c:numCache>
                <c:formatCode>_-* #,##0_-;\-* #,##0_-;_-* "-"??_-;_-@_-</c:formatCode>
                <c:ptCount val="20"/>
                <c:pt idx="0">
                  <c:v>293.59389171732511</c:v>
                </c:pt>
                <c:pt idx="1">
                  <c:v>627.60601195350841</c:v>
                </c:pt>
                <c:pt idx="2">
                  <c:v>899.19774037920138</c:v>
                </c:pt>
                <c:pt idx="3">
                  <c:v>1021.6465960131541</c:v>
                </c:pt>
                <c:pt idx="4">
                  <c:v>1048.31782457181</c:v>
                </c:pt>
                <c:pt idx="5">
                  <c:v>1089.8785568970266</c:v>
                </c:pt>
                <c:pt idx="6">
                  <c:v>1192.5598457799269</c:v>
                </c:pt>
                <c:pt idx="7">
                  <c:v>1311.4610673665793</c:v>
                </c:pt>
                <c:pt idx="8">
                  <c:v>1379.3333333333333</c:v>
                </c:pt>
                <c:pt idx="9">
                  <c:v>1586.3453815261046</c:v>
                </c:pt>
                <c:pt idx="10">
                  <c:v>1676</c:v>
                </c:pt>
                <c:pt idx="11">
                  <c:v>1871</c:v>
                </c:pt>
                <c:pt idx="12">
                  <c:v>1890</c:v>
                </c:pt>
                <c:pt idx="13">
                  <c:v>1948.5111429212982</c:v>
                </c:pt>
                <c:pt idx="14">
                  <c:v>1995.3837703917561</c:v>
                </c:pt>
                <c:pt idx="15">
                  <c:v>2002.8531401900584</c:v>
                </c:pt>
                <c:pt idx="16">
                  <c:v>2003.3747407324713</c:v>
                </c:pt>
                <c:pt idx="17">
                  <c:v>2472.2912706536044</c:v>
                </c:pt>
                <c:pt idx="18">
                  <c:v>3381.4041745730556</c:v>
                </c:pt>
                <c:pt idx="19">
                  <c:v>3495</c:v>
                </c:pt>
              </c:numCache>
            </c:numRef>
          </c:val>
          <c:extLst>
            <c:ext xmlns:c16="http://schemas.microsoft.com/office/drawing/2014/chart" uri="{C3380CC4-5D6E-409C-BE32-E72D297353CC}">
              <c16:uniqueId val="{00000000-8377-47D1-A737-A7AC9A95E99B}"/>
            </c:ext>
          </c:extLst>
        </c:ser>
        <c:dLbls>
          <c:showLegendKey val="0"/>
          <c:showVal val="0"/>
          <c:showCatName val="0"/>
          <c:showSerName val="0"/>
          <c:showPercent val="0"/>
          <c:showBubbleSize val="0"/>
        </c:dLbls>
        <c:gapWidth val="150"/>
        <c:axId val="1041780264"/>
        <c:axId val="1041780592"/>
      </c:barChart>
      <c:catAx>
        <c:axId val="1041780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41780592"/>
        <c:crosses val="autoZero"/>
        <c:auto val="1"/>
        <c:lblAlgn val="ctr"/>
        <c:lblOffset val="100"/>
        <c:noMultiLvlLbl val="0"/>
      </c:catAx>
      <c:valAx>
        <c:axId val="1041780592"/>
        <c:scaling>
          <c:orientation val="minMax"/>
        </c:scaling>
        <c:delete val="0"/>
        <c:axPos val="l"/>
        <c:majorGridlines>
          <c:spPr>
            <a:ln w="3175" cap="flat" cmpd="sng" algn="ctr">
              <a:solidFill>
                <a:srgbClr val="C0C0C0"/>
              </a:solidFill>
              <a:prstDash val="solid"/>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41780264"/>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Pt>
            <c:idx val="24"/>
            <c:invertIfNegative val="0"/>
            <c:bubble3D val="0"/>
            <c:spPr>
              <a:solidFill>
                <a:srgbClr val="FF0000"/>
              </a:solidFill>
              <a:ln w="25400">
                <a:noFill/>
              </a:ln>
              <a:effectLst/>
            </c:spPr>
            <c:extLst>
              <c:ext xmlns:c16="http://schemas.microsoft.com/office/drawing/2014/chart" uri="{C3380CC4-5D6E-409C-BE32-E72D297353CC}">
                <c16:uniqueId val="{00000001-E2A0-4488-8D35-C11E46A3E63C}"/>
              </c:ext>
            </c:extLst>
          </c:dPt>
          <c:dPt>
            <c:idx val="25"/>
            <c:invertIfNegative val="0"/>
            <c:bubble3D val="0"/>
            <c:spPr>
              <a:solidFill>
                <a:srgbClr val="FF0000"/>
              </a:solidFill>
              <a:ln w="25400">
                <a:noFill/>
              </a:ln>
              <a:effectLst/>
            </c:spPr>
            <c:extLst>
              <c:ext xmlns:c16="http://schemas.microsoft.com/office/drawing/2014/chart" uri="{C3380CC4-5D6E-409C-BE32-E72D297353CC}">
                <c16:uniqueId val="{00000002-E2A0-4488-8D35-C11E46A3E63C}"/>
              </c:ext>
            </c:extLst>
          </c:dPt>
          <c:dPt>
            <c:idx val="26"/>
            <c:invertIfNegative val="0"/>
            <c:bubble3D val="0"/>
            <c:spPr>
              <a:solidFill>
                <a:srgbClr val="FF0000"/>
              </a:solidFill>
              <a:ln w="25400">
                <a:noFill/>
              </a:ln>
              <a:effectLst/>
            </c:spPr>
            <c:extLst>
              <c:ext xmlns:c16="http://schemas.microsoft.com/office/drawing/2014/chart" uri="{C3380CC4-5D6E-409C-BE32-E72D297353CC}">
                <c16:uniqueId val="{00000003-E2A0-4488-8D35-C11E46A3E63C}"/>
              </c:ext>
            </c:extLst>
          </c:dPt>
          <c:dPt>
            <c:idx val="27"/>
            <c:invertIfNegative val="0"/>
            <c:bubble3D val="0"/>
            <c:spPr>
              <a:solidFill>
                <a:srgbClr val="FF0000"/>
              </a:solidFill>
              <a:ln w="25400">
                <a:noFill/>
              </a:ln>
              <a:effectLst/>
            </c:spPr>
            <c:extLst>
              <c:ext xmlns:c16="http://schemas.microsoft.com/office/drawing/2014/chart" uri="{C3380CC4-5D6E-409C-BE32-E72D297353CC}">
                <c16:uniqueId val="{00000004-E2A0-4488-8D35-C11E46A3E63C}"/>
              </c:ext>
            </c:extLst>
          </c:dPt>
          <c:cat>
            <c:strRef>
              <c:f>Tenancies!$A$111:$A$138</c:f>
              <c:strCache>
                <c:ptCount val="28"/>
                <c:pt idx="0">
                  <c:v>China</c:v>
                </c:pt>
                <c:pt idx="1">
                  <c:v>Hong Kong</c:v>
                </c:pt>
                <c:pt idx="2">
                  <c:v>Singapore</c:v>
                </c:pt>
                <c:pt idx="3">
                  <c:v>France</c:v>
                </c:pt>
                <c:pt idx="4">
                  <c:v>Spain</c:v>
                </c:pt>
                <c:pt idx="5">
                  <c:v>Malaysia</c:v>
                </c:pt>
                <c:pt idx="6">
                  <c:v>Thailand</c:v>
                </c:pt>
                <c:pt idx="7">
                  <c:v>Italy</c:v>
                </c:pt>
                <c:pt idx="8">
                  <c:v>Vietnam</c:v>
                </c:pt>
                <c:pt idx="9">
                  <c:v>Turkey</c:v>
                </c:pt>
                <c:pt idx="10">
                  <c:v>USA</c:v>
                </c:pt>
                <c:pt idx="11">
                  <c:v>India</c:v>
                </c:pt>
                <c:pt idx="12">
                  <c:v>Indonesia</c:v>
                </c:pt>
                <c:pt idx="13">
                  <c:v>Sri Lanka</c:v>
                </c:pt>
                <c:pt idx="14">
                  <c:v>Philippines</c:v>
                </c:pt>
                <c:pt idx="15">
                  <c:v>UK</c:v>
                </c:pt>
                <c:pt idx="16">
                  <c:v>Colombia</c:v>
                </c:pt>
                <c:pt idx="17">
                  <c:v>Argentina</c:v>
                </c:pt>
                <c:pt idx="18">
                  <c:v>Russia</c:v>
                </c:pt>
                <c:pt idx="19">
                  <c:v>Brazil</c:v>
                </c:pt>
                <c:pt idx="20">
                  <c:v>Myanmar</c:v>
                </c:pt>
                <c:pt idx="21">
                  <c:v>Mexico</c:v>
                </c:pt>
                <c:pt idx="22">
                  <c:v>Bangladesh</c:v>
                </c:pt>
                <c:pt idx="23">
                  <c:v>Pakistan</c:v>
                </c:pt>
                <c:pt idx="24">
                  <c:v>Congo B</c:v>
                </c:pt>
                <c:pt idx="25">
                  <c:v>Ghana</c:v>
                </c:pt>
                <c:pt idx="26">
                  <c:v>Tanzania</c:v>
                </c:pt>
                <c:pt idx="27">
                  <c:v>DRC</c:v>
                </c:pt>
              </c:strCache>
            </c:strRef>
          </c:cat>
          <c:val>
            <c:numRef>
              <c:f>Tenancies!$B$111:$B$138</c:f>
              <c:numCache>
                <c:formatCode>_-* #,##0_-;\-* #,##0_-;_-* "-"??_-;_-@_-</c:formatCode>
                <c:ptCount val="28"/>
                <c:pt idx="0">
                  <c:v>596.18260869565222</c:v>
                </c:pt>
                <c:pt idx="1">
                  <c:v>632.71845500995926</c:v>
                </c:pt>
                <c:pt idx="2">
                  <c:v>773.04526748971193</c:v>
                </c:pt>
                <c:pt idx="3">
                  <c:v>963.31747661254167</c:v>
                </c:pt>
                <c:pt idx="4">
                  <c:v>996.28922588533067</c:v>
                </c:pt>
                <c:pt idx="5">
                  <c:v>1214.3478260869565</c:v>
                </c:pt>
                <c:pt idx="6">
                  <c:v>1252.8649635036497</c:v>
                </c:pt>
                <c:pt idx="7">
                  <c:v>1354.4236044514819</c:v>
                </c:pt>
                <c:pt idx="8">
                  <c:v>1667.5090909090909</c:v>
                </c:pt>
                <c:pt idx="9">
                  <c:v>2445.96875</c:v>
                </c:pt>
                <c:pt idx="10">
                  <c:v>2674.1416666666669</c:v>
                </c:pt>
                <c:pt idx="11">
                  <c:v>2897.09218304264</c:v>
                </c:pt>
                <c:pt idx="12">
                  <c:v>2933.6590909090905</c:v>
                </c:pt>
                <c:pt idx="13">
                  <c:v>2995.1428571428573</c:v>
                </c:pt>
                <c:pt idx="14">
                  <c:v>3057.0382513661202</c:v>
                </c:pt>
                <c:pt idx="15">
                  <c:v>3122.1955896452546</c:v>
                </c:pt>
                <c:pt idx="16">
                  <c:v>3164.6325459317586</c:v>
                </c:pt>
                <c:pt idx="17">
                  <c:v>3169.1970802919709</c:v>
                </c:pt>
                <c:pt idx="18">
                  <c:v>3202.1555555555556</c:v>
                </c:pt>
                <c:pt idx="19">
                  <c:v>4119.24</c:v>
                </c:pt>
                <c:pt idx="20">
                  <c:v>4364.4222776392353</c:v>
                </c:pt>
                <c:pt idx="21">
                  <c:v>4496.1071428571431</c:v>
                </c:pt>
                <c:pt idx="22">
                  <c:v>5069.1823899371066</c:v>
                </c:pt>
                <c:pt idx="23">
                  <c:v>5410.8571428571431</c:v>
                </c:pt>
                <c:pt idx="24">
                  <c:v>0</c:v>
                </c:pt>
                <c:pt idx="25">
                  <c:v>0</c:v>
                </c:pt>
                <c:pt idx="26">
                  <c:v>5778.5920313488377</c:v>
                </c:pt>
                <c:pt idx="27">
                  <c:v>0</c:v>
                </c:pt>
              </c:numCache>
            </c:numRef>
          </c:val>
          <c:extLst>
            <c:ext xmlns:c16="http://schemas.microsoft.com/office/drawing/2014/chart" uri="{C3380CC4-5D6E-409C-BE32-E72D297353CC}">
              <c16:uniqueId val="{00000000-E2A0-4488-8D35-C11E46A3E63C}"/>
            </c:ext>
          </c:extLst>
        </c:ser>
        <c:dLbls>
          <c:showLegendKey val="0"/>
          <c:showVal val="0"/>
          <c:showCatName val="0"/>
          <c:showSerName val="0"/>
          <c:showPercent val="0"/>
          <c:showBubbleSize val="0"/>
        </c:dLbls>
        <c:gapWidth val="150"/>
        <c:axId val="857316784"/>
        <c:axId val="857314816"/>
      </c:barChart>
      <c:catAx>
        <c:axId val="85731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57314816"/>
        <c:crosses val="autoZero"/>
        <c:auto val="1"/>
        <c:lblAlgn val="ctr"/>
        <c:lblOffset val="100"/>
        <c:tickLblSkip val="1"/>
        <c:noMultiLvlLbl val="0"/>
      </c:catAx>
      <c:valAx>
        <c:axId val="857314816"/>
        <c:scaling>
          <c:orientation val="minMax"/>
          <c:max val="30000"/>
        </c:scaling>
        <c:delete val="0"/>
        <c:axPos val="l"/>
        <c:majorGridlines>
          <c:spPr>
            <a:ln w="3175" cap="flat" cmpd="sng" algn="ctr">
              <a:solidFill>
                <a:srgbClr val="C0C0C0"/>
              </a:solidFill>
              <a:prstDash val="solid"/>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57316784"/>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Pt>
            <c:idx val="23"/>
            <c:invertIfNegative val="0"/>
            <c:bubble3D val="0"/>
            <c:spPr>
              <a:solidFill>
                <a:srgbClr val="FF0000"/>
              </a:solidFill>
              <a:ln w="25400">
                <a:noFill/>
              </a:ln>
              <a:effectLst/>
            </c:spPr>
            <c:extLst>
              <c:ext xmlns:c16="http://schemas.microsoft.com/office/drawing/2014/chart" uri="{C3380CC4-5D6E-409C-BE32-E72D297353CC}">
                <c16:uniqueId val="{00000004-586D-46B5-B754-DAA439579147}"/>
              </c:ext>
            </c:extLst>
          </c:dPt>
          <c:dPt>
            <c:idx val="25"/>
            <c:invertIfNegative val="0"/>
            <c:bubble3D val="0"/>
            <c:spPr>
              <a:solidFill>
                <a:srgbClr val="FF0000"/>
              </a:solidFill>
              <a:ln w="25400">
                <a:noFill/>
              </a:ln>
              <a:effectLst/>
            </c:spPr>
            <c:extLst>
              <c:ext xmlns:c16="http://schemas.microsoft.com/office/drawing/2014/chart" uri="{C3380CC4-5D6E-409C-BE32-E72D297353CC}">
                <c16:uniqueId val="{00000003-586D-46B5-B754-DAA439579147}"/>
              </c:ext>
            </c:extLst>
          </c:dPt>
          <c:dPt>
            <c:idx val="26"/>
            <c:invertIfNegative val="0"/>
            <c:bubble3D val="0"/>
            <c:spPr>
              <a:solidFill>
                <a:srgbClr val="FF0000"/>
              </a:solidFill>
              <a:ln w="25400">
                <a:noFill/>
              </a:ln>
              <a:effectLst/>
            </c:spPr>
            <c:extLst>
              <c:ext xmlns:c16="http://schemas.microsoft.com/office/drawing/2014/chart" uri="{C3380CC4-5D6E-409C-BE32-E72D297353CC}">
                <c16:uniqueId val="{00000002-586D-46B5-B754-DAA439579147}"/>
              </c:ext>
            </c:extLst>
          </c:dPt>
          <c:dPt>
            <c:idx val="27"/>
            <c:invertIfNegative val="0"/>
            <c:bubble3D val="0"/>
            <c:spPr>
              <a:solidFill>
                <a:srgbClr val="FF0000"/>
              </a:solidFill>
              <a:ln w="25400">
                <a:noFill/>
              </a:ln>
              <a:effectLst/>
            </c:spPr>
            <c:extLst>
              <c:ext xmlns:c16="http://schemas.microsoft.com/office/drawing/2014/chart" uri="{C3380CC4-5D6E-409C-BE32-E72D297353CC}">
                <c16:uniqueId val="{00000001-586D-46B5-B754-DAA439579147}"/>
              </c:ext>
            </c:extLst>
          </c:dPt>
          <c:cat>
            <c:strRef>
              <c:f>Tenancies!$A$141:$A$168</c:f>
              <c:strCache>
                <c:ptCount val="28"/>
                <c:pt idx="0">
                  <c:v>China</c:v>
                </c:pt>
                <c:pt idx="1">
                  <c:v>Hong Kong</c:v>
                </c:pt>
                <c:pt idx="2">
                  <c:v>Singapore</c:v>
                </c:pt>
                <c:pt idx="3">
                  <c:v>South Korea</c:v>
                </c:pt>
                <c:pt idx="4">
                  <c:v>Spain</c:v>
                </c:pt>
                <c:pt idx="5">
                  <c:v>Thailand</c:v>
                </c:pt>
                <c:pt idx="6">
                  <c:v>Italy</c:v>
                </c:pt>
                <c:pt idx="7">
                  <c:v>Japan</c:v>
                </c:pt>
                <c:pt idx="8">
                  <c:v>USA</c:v>
                </c:pt>
                <c:pt idx="9">
                  <c:v>South Africa</c:v>
                </c:pt>
                <c:pt idx="10">
                  <c:v>Russia</c:v>
                </c:pt>
                <c:pt idx="11">
                  <c:v>Turkey</c:v>
                </c:pt>
                <c:pt idx="12">
                  <c:v>Chile</c:v>
                </c:pt>
                <c:pt idx="13">
                  <c:v>India</c:v>
                </c:pt>
                <c:pt idx="14">
                  <c:v>Sri Lanka</c:v>
                </c:pt>
                <c:pt idx="15">
                  <c:v>Indonesia</c:v>
                </c:pt>
                <c:pt idx="16">
                  <c:v>Philippines</c:v>
                </c:pt>
                <c:pt idx="17">
                  <c:v>Colombia</c:v>
                </c:pt>
                <c:pt idx="18">
                  <c:v>Peru</c:v>
                </c:pt>
                <c:pt idx="19">
                  <c:v>Ghana</c:v>
                </c:pt>
                <c:pt idx="20">
                  <c:v>Brazil</c:v>
                </c:pt>
                <c:pt idx="21">
                  <c:v>Myanmar</c:v>
                </c:pt>
                <c:pt idx="22">
                  <c:v>Bangladesh</c:v>
                </c:pt>
                <c:pt idx="23">
                  <c:v>Ghana</c:v>
                </c:pt>
                <c:pt idx="24">
                  <c:v>Mexico</c:v>
                </c:pt>
                <c:pt idx="25">
                  <c:v>Tanzania</c:v>
                </c:pt>
                <c:pt idx="26">
                  <c:v>CongoB</c:v>
                </c:pt>
                <c:pt idx="27">
                  <c:v>DRC</c:v>
                </c:pt>
              </c:strCache>
            </c:strRef>
          </c:cat>
          <c:val>
            <c:numRef>
              <c:f>Tenancies!$B$141:$B$168</c:f>
              <c:numCache>
                <c:formatCode>_-* #,##0_-;\-* #,##0_-;_-* "-"??_-;_-@_-</c:formatCode>
                <c:ptCount val="28"/>
                <c:pt idx="0">
                  <c:v>332.74878048780488</c:v>
                </c:pt>
                <c:pt idx="1">
                  <c:v>351.8633691268646</c:v>
                </c:pt>
                <c:pt idx="2">
                  <c:v>450.18106995884773</c:v>
                </c:pt>
                <c:pt idx="3">
                  <c:v>488.1595736441613</c:v>
                </c:pt>
                <c:pt idx="4">
                  <c:v>741.50078297273978</c:v>
                </c:pt>
                <c:pt idx="5">
                  <c:v>874.21072401285642</c:v>
                </c:pt>
                <c:pt idx="6">
                  <c:v>890.86981844589684</c:v>
                </c:pt>
                <c:pt idx="7">
                  <c:v>1138.4937313432836</c:v>
                </c:pt>
                <c:pt idx="8">
                  <c:v>1300</c:v>
                </c:pt>
                <c:pt idx="9">
                  <c:v>1351.8307837604116</c:v>
                </c:pt>
                <c:pt idx="10">
                  <c:v>1369.7101809523811</c:v>
                </c:pt>
                <c:pt idx="11">
                  <c:v>1380.5881454545454</c:v>
                </c:pt>
                <c:pt idx="12">
                  <c:v>1583.7010496453902</c:v>
                </c:pt>
                <c:pt idx="13">
                  <c:v>1758.3445457433204</c:v>
                </c:pt>
                <c:pt idx="14">
                  <c:v>1842.7678571428571</c:v>
                </c:pt>
                <c:pt idx="15">
                  <c:v>1979.4336202345958</c:v>
                </c:pt>
                <c:pt idx="16">
                  <c:v>2040.0462083682648</c:v>
                </c:pt>
                <c:pt idx="17">
                  <c:v>2090.6121172353455</c:v>
                </c:pt>
                <c:pt idx="18">
                  <c:v>2296.1292136616366</c:v>
                </c:pt>
                <c:pt idx="19">
                  <c:v>2633.598922437101</c:v>
                </c:pt>
                <c:pt idx="20">
                  <c:v>3170.4292</c:v>
                </c:pt>
                <c:pt idx="21">
                  <c:v>3238.6156969696972</c:v>
                </c:pt>
                <c:pt idx="22">
                  <c:v>3437.5409649450435</c:v>
                </c:pt>
                <c:pt idx="23">
                  <c:v>3599.9999999999995</c:v>
                </c:pt>
                <c:pt idx="24">
                  <c:v>3811.1195440729484</c:v>
                </c:pt>
                <c:pt idx="25">
                  <c:v>4672.7828746177374</c:v>
                </c:pt>
                <c:pt idx="26">
                  <c:v>4816.6351606805292</c:v>
                </c:pt>
                <c:pt idx="27">
                  <c:v>14667.525773195877</c:v>
                </c:pt>
              </c:numCache>
            </c:numRef>
          </c:val>
          <c:extLst>
            <c:ext xmlns:c16="http://schemas.microsoft.com/office/drawing/2014/chart" uri="{C3380CC4-5D6E-409C-BE32-E72D297353CC}">
              <c16:uniqueId val="{00000000-586D-46B5-B754-DAA439579147}"/>
            </c:ext>
          </c:extLst>
        </c:ser>
        <c:dLbls>
          <c:showLegendKey val="0"/>
          <c:showVal val="0"/>
          <c:showCatName val="0"/>
          <c:showSerName val="0"/>
          <c:showPercent val="0"/>
          <c:showBubbleSize val="0"/>
        </c:dLbls>
        <c:gapWidth val="150"/>
        <c:axId val="859508616"/>
        <c:axId val="859515176"/>
      </c:barChart>
      <c:catAx>
        <c:axId val="859508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59515176"/>
        <c:crosses val="autoZero"/>
        <c:auto val="1"/>
        <c:lblAlgn val="ctr"/>
        <c:lblOffset val="100"/>
        <c:tickLblSkip val="1"/>
        <c:noMultiLvlLbl val="0"/>
      </c:catAx>
      <c:valAx>
        <c:axId val="859515176"/>
        <c:scaling>
          <c:orientation val="minMax"/>
        </c:scaling>
        <c:delete val="0"/>
        <c:axPos val="l"/>
        <c:majorGridlines>
          <c:spPr>
            <a:ln w="3175" cap="flat" cmpd="sng" algn="ctr">
              <a:solidFill>
                <a:srgbClr val="C0C0C0"/>
              </a:solidFill>
              <a:prstDash val="solid"/>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5950861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spPr>
            <a:ln w="19050">
              <a:noFill/>
            </a:ln>
          </c:spPr>
          <c:dLbls>
            <c:dLbl>
              <c:idx val="0"/>
              <c:tx>
                <c:strRef>
                  <c:f>Tenancies!$Q$78</c:f>
                  <c:strCache>
                    <c:ptCount val="1"/>
                    <c:pt idx="0">
                      <c:v>China Tower</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{7F7799D5-B406-4EB6-BC2B-EB498148E405}</c15:txfldGUID>
                      <c15:f>Tenancies!$Q$78</c15:f>
                      <c15:dlblFieldTableCache>
                        <c:ptCount val="1"/>
                        <c:pt idx="0">
                          <c:v>China Tower</c:v>
                        </c:pt>
                      </c15:dlblFieldTableCache>
                    </c15:dlblFTEntry>
                  </c15:dlblFieldTable>
                  <c15:showDataLabelsRange val="0"/>
                </c:ext>
                <c:ext xmlns:c16="http://schemas.microsoft.com/office/drawing/2014/chart" uri="{C3380CC4-5D6E-409C-BE32-E72D297353CC}">
                  <c16:uniqueId val="{00000003-37C9-4F71-AA34-1B017CE457FB}"/>
                </c:ext>
              </c:extLst>
            </c:dLbl>
            <c:dLbl>
              <c:idx val="1"/>
              <c:tx>
                <c:strRef>
                  <c:f>Tenancies!$Q$79</c:f>
                  <c:strCache>
                    <c:ptCount val="1"/>
                    <c:pt idx="0">
                      <c:v>India (Infratel)</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{59268E12-47A2-4424-9A27-C4371C1F11EF}</c15:txfldGUID>
                      <c15:f>Tenancies!$Q$79</c15:f>
                      <c15:dlblFieldTableCache>
                        <c:ptCount val="1"/>
                        <c:pt idx="0">
                          <c:v>India (Infratel)</c:v>
                        </c:pt>
                      </c15:dlblFieldTableCache>
                    </c15:dlblFTEntry>
                  </c15:dlblFieldTable>
                  <c15:showDataLabelsRange val="0"/>
                </c:ext>
                <c:ext xmlns:c16="http://schemas.microsoft.com/office/drawing/2014/chart" uri="{C3380CC4-5D6E-409C-BE32-E72D297353CC}">
                  <c16:uniqueId val="{00000004-37C9-4F71-AA34-1B017CE457FB}"/>
                </c:ext>
              </c:extLst>
            </c:dLbl>
            <c:dLbl>
              <c:idx val="2"/>
              <c:tx>
                <c:strRef>
                  <c:f>Tenancies!$Q$80</c:f>
                  <c:strCache>
                    <c:ptCount val="1"/>
                    <c:pt idx="0">
                      <c:v>Uk</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{1CA8B5FC-8101-45AF-AD53-DCB3417FF9FE}</c15:txfldGUID>
                      <c15:f>Tenancies!$Q$80</c15:f>
                      <c15:dlblFieldTableCache>
                        <c:ptCount val="1"/>
                        <c:pt idx="0">
                          <c:v>Uk</c:v>
                        </c:pt>
                      </c15:dlblFieldTableCache>
                    </c15:dlblFTEntry>
                  </c15:dlblFieldTable>
                  <c15:showDataLabelsRange val="0"/>
                </c:ext>
                <c:ext xmlns:c16="http://schemas.microsoft.com/office/drawing/2014/chart" uri="{C3380CC4-5D6E-409C-BE32-E72D297353CC}">
                  <c16:uniqueId val="{00000005-37C9-4F71-AA34-1B017CE457FB}"/>
                </c:ext>
              </c:extLst>
            </c:dLbl>
            <c:dLbl>
              <c:idx val="3"/>
              <c:tx>
                <c:strRef>
                  <c:f>Tenancies!$Q$81</c:f>
                  <c:strCache>
                    <c:ptCount val="1"/>
                    <c:pt idx="0">
                      <c:v>Tower Bersama</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{5C0739EB-6702-444D-B5EF-EED602FA1E91}</c15:txfldGUID>
                      <c15:f>Tenancies!$Q$81</c15:f>
                      <c15:dlblFieldTableCache>
                        <c:ptCount val="1"/>
                        <c:pt idx="0">
                          <c:v>Tower Bersama</c:v>
                        </c:pt>
                      </c15:dlblFieldTableCache>
                    </c15:dlblFTEntry>
                  </c15:dlblFieldTable>
                  <c15:showDataLabelsRange val="0"/>
                </c:ext>
                <c:ext xmlns:c16="http://schemas.microsoft.com/office/drawing/2014/chart" uri="{C3380CC4-5D6E-409C-BE32-E72D297353CC}">
                  <c16:uniqueId val="{00000006-37C9-4F71-AA34-1B017CE457FB}"/>
                </c:ext>
              </c:extLst>
            </c:dLbl>
            <c:dLbl>
              <c:idx val="4"/>
              <c:tx>
                <c:strRef>
                  <c:f>Tenancies!$Q$82</c:f>
                  <c:strCache>
                    <c:ptCount val="1"/>
                    <c:pt idx="0">
                      <c:v>Spain</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{FB9A8D61-1A2A-4694-83EA-1A505B8310DE}</c15:txfldGUID>
                      <c15:f>Tenancies!$Q$82</c15:f>
                      <c15:dlblFieldTableCache>
                        <c:ptCount val="1"/>
                        <c:pt idx="0">
                          <c:v>Spain</c:v>
                        </c:pt>
                      </c15:dlblFieldTableCache>
                    </c15:dlblFTEntry>
                  </c15:dlblFieldTable>
                  <c15:showDataLabelsRange val="0"/>
                </c:ext>
                <c:ext xmlns:c16="http://schemas.microsoft.com/office/drawing/2014/chart" uri="{C3380CC4-5D6E-409C-BE32-E72D297353CC}">
                  <c16:uniqueId val="{00000007-37C9-4F71-AA34-1B017CE457FB}"/>
                </c:ext>
              </c:extLst>
            </c:dLbl>
            <c:dLbl>
              <c:idx val="5"/>
              <c:tx>
                <c:strRef>
                  <c:f>Tenancies!$Q$83</c:f>
                  <c:strCache>
                    <c:ptCount val="1"/>
                    <c:pt idx="0">
                      <c:v>Telesites</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{F9BE4D42-719C-44FD-8F03-2811F3F02BD3}</c15:txfldGUID>
                      <c15:f>Tenancies!$Q$83</c15:f>
                      <c15:dlblFieldTableCache>
                        <c:ptCount val="1"/>
                        <c:pt idx="0">
                          <c:v>Telesites</c:v>
                        </c:pt>
                      </c15:dlblFieldTableCache>
                    </c15:dlblFTEntry>
                  </c15:dlblFieldTable>
                  <c15:showDataLabelsRange val="0"/>
                </c:ext>
                <c:ext xmlns:c16="http://schemas.microsoft.com/office/drawing/2014/chart" uri="{C3380CC4-5D6E-409C-BE32-E72D297353CC}">
                  <c16:uniqueId val="{00000008-37C9-4F71-AA34-1B017CE457FB}"/>
                </c:ext>
              </c:extLst>
            </c:dLbl>
            <c:dLbl>
              <c:idx val="6"/>
              <c:tx>
                <c:strRef>
                  <c:f>Tenancies!$Q$84</c:f>
                  <c:strCache>
                    <c:ptCount val="1"/>
                    <c:pt idx="0">
                      <c:v>Protelindo</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{5483F565-D0A9-4212-B71C-3C5ADBA4EA2B}</c15:txfldGUID>
                      <c15:f>Tenancies!$Q$84</c15:f>
                      <c15:dlblFieldTableCache>
                        <c:ptCount val="1"/>
                        <c:pt idx="0">
                          <c:v>Protelindo</c:v>
                        </c:pt>
                      </c15:dlblFieldTableCache>
                    </c15:dlblFTEntry>
                  </c15:dlblFieldTable>
                  <c15:showDataLabelsRange val="0"/>
                </c:ext>
                <c:ext xmlns:c16="http://schemas.microsoft.com/office/drawing/2014/chart" uri="{C3380CC4-5D6E-409C-BE32-E72D297353CC}">
                  <c16:uniqueId val="{00000009-37C9-4F71-AA34-1B017CE457FB}"/>
                </c:ext>
              </c:extLst>
            </c:dLbl>
            <c:dLbl>
              <c:idx val="7"/>
              <c:tx>
                <c:strRef>
                  <c:f>Tenancies!$Q$85</c:f>
                  <c:strCache>
                    <c:ptCount val="1"/>
                    <c:pt idx="0">
                      <c:v>Tanzania</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{DF5303CF-9476-425A-8629-7A3A006C0F84}</c15:txfldGUID>
                      <c15:f>Tenancies!$Q$85</c15:f>
                      <c15:dlblFieldTableCache>
                        <c:ptCount val="1"/>
                        <c:pt idx="0">
                          <c:v>Tanzania</c:v>
                        </c:pt>
                      </c15:dlblFieldTableCache>
                    </c15:dlblFTEntry>
                  </c15:dlblFieldTable>
                  <c15:showDataLabelsRange val="0"/>
                </c:ext>
                <c:ext xmlns:c16="http://schemas.microsoft.com/office/drawing/2014/chart" uri="{C3380CC4-5D6E-409C-BE32-E72D297353CC}">
                  <c16:uniqueId val="{0000000A-37C9-4F71-AA34-1B017CE457FB}"/>
                </c:ext>
              </c:extLst>
            </c:dLbl>
            <c:dLbl>
              <c:idx val="8"/>
              <c:tx>
                <c:strRef>
                  <c:f>Tenancies!$Q$86</c:f>
                  <c:strCache>
                    <c:ptCount val="1"/>
                    <c:pt idx="0">
                      <c:v>Inwit</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{8E9516A7-D3CB-4825-A521-2DF42D678972}</c15:txfldGUID>
                      <c15:f>Tenancies!$Q$86</c15:f>
                      <c15:dlblFieldTableCache>
                        <c:ptCount val="1"/>
                        <c:pt idx="0">
                          <c:v>Inwit</c:v>
                        </c:pt>
                      </c15:dlblFieldTableCache>
                    </c15:dlblFTEntry>
                  </c15:dlblFieldTable>
                  <c15:showDataLabelsRange val="0"/>
                </c:ext>
                <c:ext xmlns:c16="http://schemas.microsoft.com/office/drawing/2014/chart" uri="{C3380CC4-5D6E-409C-BE32-E72D297353CC}">
                  <c16:uniqueId val="{0000000B-37C9-4F71-AA34-1B017CE457FB}"/>
                </c:ext>
              </c:extLst>
            </c:dLbl>
            <c:dLbl>
              <c:idx val="9"/>
              <c:tx>
                <c:strRef>
                  <c:f>Tenancies!$Q$87</c:f>
                  <c:strCache>
                    <c:ptCount val="1"/>
                    <c:pt idx="0">
                      <c:v>Ghana</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{A9BBF613-33F2-44A2-BE84-8BC92CF1A33D}</c15:txfldGUID>
                      <c15:f>Tenancies!$Q$87</c15:f>
                      <c15:dlblFieldTableCache>
                        <c:ptCount val="1"/>
                        <c:pt idx="0">
                          <c:v>Ghana</c:v>
                        </c:pt>
                      </c15:dlblFieldTableCache>
                    </c15:dlblFTEntry>
                  </c15:dlblFieldTable>
                  <c15:showDataLabelsRange val="0"/>
                </c:ext>
                <c:ext xmlns:c16="http://schemas.microsoft.com/office/drawing/2014/chart" uri="{C3380CC4-5D6E-409C-BE32-E72D297353CC}">
                  <c16:uniqueId val="{0000000C-37C9-4F71-AA34-1B017CE457FB}"/>
                </c:ext>
              </c:extLst>
            </c:dLbl>
            <c:dLbl>
              <c:idx val="10"/>
              <c:tx>
                <c:strRef>
                  <c:f>Tenancies!$Q$88</c:f>
                  <c:strCache>
                    <c:ptCount val="1"/>
                    <c:pt idx="0">
                      <c:v>Cellnex</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{862269B6-D652-43CF-BD84-C221A4C75962}</c15:txfldGUID>
                      <c15:f>Tenancies!$Q$88</c15:f>
                      <c15:dlblFieldTableCache>
                        <c:ptCount val="1"/>
                        <c:pt idx="0">
                          <c:v>Cellnex</c:v>
                        </c:pt>
                      </c15:dlblFieldTableCache>
                    </c15:dlblFTEntry>
                  </c15:dlblFieldTable>
                  <c15:showDataLabelsRange val="0"/>
                </c:ext>
                <c:ext xmlns:c16="http://schemas.microsoft.com/office/drawing/2014/chart" uri="{C3380CC4-5D6E-409C-BE32-E72D297353CC}">
                  <c16:uniqueId val="{0000000D-37C9-4F71-AA34-1B017CE457FB}"/>
                </c:ext>
              </c:extLst>
            </c:dLbl>
            <c:dLbl>
              <c:idx val="11"/>
              <c:tx>
                <c:strRef>
                  <c:f>Tenancies!$Q$89</c:f>
                  <c:strCache>
                    <c:ptCount val="1"/>
                    <c:pt idx="0">
                      <c:v>Italy</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{4F0624B4-5BB2-47E2-AF81-39D7157C5ED2}</c15:txfldGUID>
                      <c15:f>Tenancies!$Q$89</c15:f>
                      <c15:dlblFieldTableCache>
                        <c:ptCount val="1"/>
                        <c:pt idx="0">
                          <c:v>Italy</c:v>
                        </c:pt>
                      </c15:dlblFieldTableCache>
                    </c15:dlblFTEntry>
                  </c15:dlblFieldTable>
                  <c15:showDataLabelsRange val="0"/>
                </c:ext>
                <c:ext xmlns:c16="http://schemas.microsoft.com/office/drawing/2014/chart" uri="{C3380CC4-5D6E-409C-BE32-E72D297353CC}">
                  <c16:uniqueId val="{0000000E-37C9-4F71-AA34-1B017CE457FB}"/>
                </c:ext>
              </c:extLst>
            </c:dLbl>
            <c:dLbl>
              <c:idx val="12"/>
              <c:tx>
                <c:strRef>
                  <c:f>Tenancies!$Q$90</c:f>
                  <c:strCache>
                    <c:ptCount val="1"/>
                    <c:pt idx="0">
                      <c:v>France</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{9FA46B81-F9C0-4CF3-866A-ECE554D83C4B}</c15:txfldGUID>
                      <c15:f>Tenancies!$Q$90</c15:f>
                      <c15:dlblFieldTableCache>
                        <c:ptCount val="1"/>
                        <c:pt idx="0">
                          <c:v>France</c:v>
                        </c:pt>
                      </c15:dlblFieldTableCache>
                    </c15:dlblFTEntry>
                  </c15:dlblFieldTable>
                  <c15:showDataLabelsRange val="0"/>
                </c:ext>
                <c:ext xmlns:c16="http://schemas.microsoft.com/office/drawing/2014/chart" uri="{C3380CC4-5D6E-409C-BE32-E72D297353CC}">
                  <c16:uniqueId val="{0000000F-37C9-4F71-AA34-1B017CE457FB}"/>
                </c:ext>
              </c:extLst>
            </c:dLbl>
            <c:dLbl>
              <c:idx val="13"/>
              <c:tx>
                <c:strRef>
                  <c:f>Tenancies!$Q$91</c:f>
                  <c:strCache>
                    <c:ptCount val="1"/>
                    <c:pt idx="0">
                      <c:v>Switzerland</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{DFE8EEF9-CE2D-425B-8595-03A8DB1D3136}</c15:txfldGUID>
                      <c15:f>Tenancies!$Q$91</c15:f>
                      <c15:dlblFieldTableCache>
                        <c:ptCount val="1"/>
                        <c:pt idx="0">
                          <c:v>Switzerland</c:v>
                        </c:pt>
                      </c15:dlblFieldTableCache>
                    </c15:dlblFTEntry>
                  </c15:dlblFieldTable>
                  <c15:showDataLabelsRange val="0"/>
                </c:ext>
                <c:ext xmlns:c16="http://schemas.microsoft.com/office/drawing/2014/chart" uri="{C3380CC4-5D6E-409C-BE32-E72D297353CC}">
                  <c16:uniqueId val="{00000010-37C9-4F71-AA34-1B017CE457FB}"/>
                </c:ext>
              </c:extLst>
            </c:dLbl>
            <c:dLbl>
              <c:idx val="14"/>
              <c:tx>
                <c:strRef>
                  <c:f>Tenancies!$Q$92</c:f>
                  <c:strCache>
                    <c:ptCount val="1"/>
                    <c:pt idx="0">
                      <c:v>Netherlands</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{84E4851F-8F0A-4C66-9B90-9410D09330F7}</c15:txfldGUID>
                      <c15:f>Tenancies!$Q$92</c15:f>
                      <c15:dlblFieldTableCache>
                        <c:ptCount val="1"/>
                        <c:pt idx="0">
                          <c:v>Netherlands</c:v>
                        </c:pt>
                      </c15:dlblFieldTableCache>
                    </c15:dlblFTEntry>
                  </c15:dlblFieldTable>
                  <c15:showDataLabelsRange val="0"/>
                </c:ext>
                <c:ext xmlns:c16="http://schemas.microsoft.com/office/drawing/2014/chart" uri="{C3380CC4-5D6E-409C-BE32-E72D297353CC}">
                  <c16:uniqueId val="{00000011-37C9-4F71-AA34-1B017CE457FB}"/>
                </c:ext>
              </c:extLst>
            </c:dLbl>
            <c:dLbl>
              <c:idx val="15"/>
              <c:tx>
                <c:strRef>
                  <c:f>Tenancies!$Q$93</c:f>
                  <c:strCache>
                    <c:ptCount val="1"/>
                    <c:pt idx="0">
                      <c:v>DRC</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{AEA6A346-7072-4973-89C9-C275862AD0DD}</c15:txfldGUID>
                      <c15:f>Tenancies!$Q$93</c15:f>
                      <c15:dlblFieldTableCache>
                        <c:ptCount val="1"/>
                        <c:pt idx="0">
                          <c:v>DRC</c:v>
                        </c:pt>
                      </c15:dlblFieldTableCache>
                    </c15:dlblFTEntry>
                  </c15:dlblFieldTable>
                  <c15:showDataLabelsRange val="0"/>
                </c:ext>
                <c:ext xmlns:c16="http://schemas.microsoft.com/office/drawing/2014/chart" uri="{C3380CC4-5D6E-409C-BE32-E72D297353CC}">
                  <c16:uniqueId val="{00000012-37C9-4F71-AA34-1B017CE457FB}"/>
                </c:ext>
              </c:extLst>
            </c:dLbl>
            <c:dLbl>
              <c:idx val="16"/>
              <c:tx>
                <c:strRef>
                  <c:f>Tenancies!$Q$94</c:f>
                  <c:strCache>
                    <c:ptCount val="1"/>
                    <c:pt idx="0">
                      <c:v>Congo B</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{93041969-62F4-49EC-A653-B0935883E174}</c15:txfldGUID>
                      <c15:f>Tenancies!$Q$94</c15:f>
                      <c15:dlblFieldTableCache>
                        <c:ptCount val="1"/>
                        <c:pt idx="0">
                          <c:v>Congo B</c:v>
                        </c:pt>
                      </c15:dlblFieldTableCache>
                    </c15:dlblFTEntry>
                  </c15:dlblFieldTable>
                  <c15:showDataLabelsRange val="0"/>
                </c:ext>
                <c:ext xmlns:c16="http://schemas.microsoft.com/office/drawing/2014/chart" uri="{C3380CC4-5D6E-409C-BE32-E72D297353CC}">
                  <c16:uniqueId val="{00000013-37C9-4F71-AA34-1B017CE457FB}"/>
                </c:ext>
              </c:extLst>
            </c:dLbl>
            <c:dLbl>
              <c:idx val="17"/>
              <c:tx>
                <c:strRef>
                  <c:f>Tenancies!$Q$95</c:f>
                  <c:strCache>
                    <c:ptCount val="1"/>
                    <c:pt idx="0">
                      <c:v>AMT - USA</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{D2A6D8AE-F921-4573-A1D7-5F0D2A720FA4}</c15:txfldGUID>
                      <c15:f>Tenancies!$Q$95</c15:f>
                      <c15:dlblFieldTableCache>
                        <c:ptCount val="1"/>
                        <c:pt idx="0">
                          <c:v>AMT - USA</c:v>
                        </c:pt>
                      </c15:dlblFieldTableCache>
                    </c15:dlblFTEntry>
                  </c15:dlblFieldTable>
                  <c15:showDataLabelsRange val="0"/>
                </c:ext>
                <c:ext xmlns:c16="http://schemas.microsoft.com/office/drawing/2014/chart" uri="{C3380CC4-5D6E-409C-BE32-E72D297353CC}">
                  <c16:uniqueId val="{00000014-37C9-4F71-AA34-1B017CE457F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trendline>
            <c:trendlineType val="linear"/>
            <c:dispRSqr val="0"/>
            <c:dispEq val="0"/>
          </c:trendline>
          <c:xVal>
            <c:numRef>
              <c:f>Tenancies!$S$78:$S$95</c:f>
              <c:numCache>
                <c:formatCode>General</c:formatCode>
                <c:ptCount val="18"/>
                <c:pt idx="0">
                  <c:v>9470</c:v>
                </c:pt>
                <c:pt idx="1">
                  <c:v>2020</c:v>
                </c:pt>
                <c:pt idx="2">
                  <c:v>41340</c:v>
                </c:pt>
                <c:pt idx="3">
                  <c:v>3840</c:v>
                </c:pt>
                <c:pt idx="4">
                  <c:v>29450</c:v>
                </c:pt>
                <c:pt idx="5">
                  <c:v>9180</c:v>
                </c:pt>
                <c:pt idx="6">
                  <c:v>3840</c:v>
                </c:pt>
                <c:pt idx="7">
                  <c:v>1020</c:v>
                </c:pt>
                <c:pt idx="8">
                  <c:v>33540</c:v>
                </c:pt>
                <c:pt idx="9">
                  <c:v>2130</c:v>
                </c:pt>
                <c:pt idx="10">
                  <c:v>29450</c:v>
                </c:pt>
                <c:pt idx="11">
                  <c:v>33540</c:v>
                </c:pt>
                <c:pt idx="12">
                  <c:v>41080</c:v>
                </c:pt>
                <c:pt idx="13">
                  <c:v>83580</c:v>
                </c:pt>
                <c:pt idx="14">
                  <c:v>51260</c:v>
                </c:pt>
                <c:pt idx="15">
                  <c:v>490</c:v>
                </c:pt>
                <c:pt idx="16">
                  <c:v>1640</c:v>
                </c:pt>
                <c:pt idx="17">
                  <c:v>62850</c:v>
                </c:pt>
              </c:numCache>
            </c:numRef>
          </c:xVal>
          <c:yVal>
            <c:numRef>
              <c:f>Tenancies!$R$78:$R$95</c:f>
              <c:numCache>
                <c:formatCode>_-* #,##0_-;\-* #,##0_-;_-* "-"??_-;_-@_-</c:formatCode>
                <c:ptCount val="18"/>
                <c:pt idx="0">
                  <c:v>293.59389171732511</c:v>
                </c:pt>
                <c:pt idx="1">
                  <c:v>627.60601195350841</c:v>
                </c:pt>
                <c:pt idx="2">
                  <c:v>899.19774037920138</c:v>
                </c:pt>
                <c:pt idx="3">
                  <c:v>1021.6465960131541</c:v>
                </c:pt>
                <c:pt idx="4">
                  <c:v>1048.31782457181</c:v>
                </c:pt>
                <c:pt idx="5">
                  <c:v>1089.8785568970266</c:v>
                </c:pt>
                <c:pt idx="6">
                  <c:v>1192.5598457799269</c:v>
                </c:pt>
                <c:pt idx="7">
                  <c:v>1311.4610673665793</c:v>
                </c:pt>
                <c:pt idx="8">
                  <c:v>1379.3333333333333</c:v>
                </c:pt>
                <c:pt idx="9">
                  <c:v>1586.3453815261046</c:v>
                </c:pt>
                <c:pt idx="10">
                  <c:v>1890</c:v>
                </c:pt>
                <c:pt idx="11">
                  <c:v>1948.5111429212982</c:v>
                </c:pt>
                <c:pt idx="12">
                  <c:v>1995.3837703917561</c:v>
                </c:pt>
                <c:pt idx="13">
                  <c:v>2002.8531401900584</c:v>
                </c:pt>
                <c:pt idx="14">
                  <c:v>2003.3747407324713</c:v>
                </c:pt>
                <c:pt idx="15">
                  <c:v>2472.2912706536044</c:v>
                </c:pt>
                <c:pt idx="16">
                  <c:v>3381.4041745730556</c:v>
                </c:pt>
                <c:pt idx="17">
                  <c:v>3495</c:v>
                </c:pt>
              </c:numCache>
            </c:numRef>
          </c:yVal>
          <c:smooth val="1"/>
          <c:extLst>
            <c:ext xmlns:c16="http://schemas.microsoft.com/office/drawing/2014/chart" uri="{C3380CC4-5D6E-409C-BE32-E72D297353CC}">
              <c16:uniqueId val="{00000002-37C9-4F71-AA34-1B017CE457FB}"/>
            </c:ext>
          </c:extLst>
        </c:ser>
        <c:dLbls>
          <c:showLegendKey val="0"/>
          <c:showVal val="0"/>
          <c:showCatName val="0"/>
          <c:showSerName val="0"/>
          <c:showPercent val="0"/>
          <c:showBubbleSize val="0"/>
        </c:dLbls>
        <c:axId val="817169552"/>
        <c:axId val="817169880"/>
      </c:scatterChart>
      <c:valAx>
        <c:axId val="817169552"/>
        <c:scaling>
          <c:orientation val="minMax"/>
        </c:scaling>
        <c:delete val="0"/>
        <c:axPos val="b"/>
        <c:numFmt formatCode="General" sourceLinked="1"/>
        <c:majorTickMark val="out"/>
        <c:minorTickMark val="none"/>
        <c:tickLblPos val="nextTo"/>
        <c:crossAx val="817169880"/>
        <c:crosses val="autoZero"/>
        <c:crossBetween val="midCat"/>
      </c:valAx>
      <c:valAx>
        <c:axId val="817169880"/>
        <c:scaling>
          <c:orientation val="minMax"/>
        </c:scaling>
        <c:delete val="0"/>
        <c:axPos val="l"/>
        <c:majorGridlines/>
        <c:numFmt formatCode="_-* #,##0_-;\-* #,##0_-;_-* &quot;-&quot;??_-;_-@_-" sourceLinked="1"/>
        <c:majorTickMark val="out"/>
        <c:minorTickMark val="none"/>
        <c:tickLblPos val="nextTo"/>
        <c:crossAx val="817169552"/>
        <c:crosses val="autoZero"/>
        <c:crossBetween val="midCat"/>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spPr>
            <a:ln w="19050">
              <a:noFill/>
            </a:ln>
          </c:spPr>
          <c:dLbls>
            <c:dLbl>
              <c:idx val="0"/>
              <c:tx>
                <c:strRef>
                  <c:f>Tenancies!$Q$99</c:f>
                  <c:strCache>
                    <c:ptCount val="1"/>
                    <c:pt idx="0">
                      <c:v>China Tower</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{8DA0D4DA-9A5F-44F8-A1F8-EA2030E1516B}</c15:txfldGUID>
                      <c15:f>Tenancies!$Q$99</c15:f>
                      <c15:dlblFieldTableCache>
                        <c:ptCount val="1"/>
                        <c:pt idx="0">
                          <c:v>China Tower</c:v>
                        </c:pt>
                      </c15:dlblFieldTableCache>
                    </c15:dlblFTEntry>
                  </c15:dlblFieldTable>
                  <c15:showDataLabelsRange val="0"/>
                </c:ext>
                <c:ext xmlns:c16="http://schemas.microsoft.com/office/drawing/2014/chart" uri="{C3380CC4-5D6E-409C-BE32-E72D297353CC}">
                  <c16:uniqueId val="{00000002-7E52-4AC2-8362-3751B7D47D40}"/>
                </c:ext>
              </c:extLst>
            </c:dLbl>
            <c:dLbl>
              <c:idx val="1"/>
              <c:tx>
                <c:strRef>
                  <c:f>Tenancies!$Q$100</c:f>
                  <c:strCache>
                    <c:ptCount val="1"/>
                    <c:pt idx="0">
                      <c:v>India (Infratel)</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{DBAF505A-653D-4675-9DBB-E8D0FA079926}</c15:txfldGUID>
                      <c15:f>Tenancies!$Q$100</c15:f>
                      <c15:dlblFieldTableCache>
                        <c:ptCount val="1"/>
                        <c:pt idx="0">
                          <c:v>India (Infratel)</c:v>
                        </c:pt>
                      </c15:dlblFieldTableCache>
                    </c15:dlblFTEntry>
                  </c15:dlblFieldTable>
                  <c15:showDataLabelsRange val="0"/>
                </c:ext>
                <c:ext xmlns:c16="http://schemas.microsoft.com/office/drawing/2014/chart" uri="{C3380CC4-5D6E-409C-BE32-E72D297353CC}">
                  <c16:uniqueId val="{00000003-7E52-4AC2-8362-3751B7D47D40}"/>
                </c:ext>
              </c:extLst>
            </c:dLbl>
            <c:dLbl>
              <c:idx val="2"/>
              <c:tx>
                <c:strRef>
                  <c:f>Tenancies!$Q$101</c:f>
                  <c:strCache>
                    <c:ptCount val="1"/>
                    <c:pt idx="0">
                      <c:v>Uk</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{A53AE04E-5887-46A2-9D78-DA55E46C49EB}</c15:txfldGUID>
                      <c15:f>Tenancies!$Q$101</c15:f>
                      <c15:dlblFieldTableCache>
                        <c:ptCount val="1"/>
                        <c:pt idx="0">
                          <c:v>Uk</c:v>
                        </c:pt>
                      </c15:dlblFieldTableCache>
                    </c15:dlblFTEntry>
                  </c15:dlblFieldTable>
                  <c15:showDataLabelsRange val="0"/>
                </c:ext>
                <c:ext xmlns:c16="http://schemas.microsoft.com/office/drawing/2014/chart" uri="{C3380CC4-5D6E-409C-BE32-E72D297353CC}">
                  <c16:uniqueId val="{00000004-7E52-4AC2-8362-3751B7D47D40}"/>
                </c:ext>
              </c:extLst>
            </c:dLbl>
            <c:dLbl>
              <c:idx val="3"/>
              <c:tx>
                <c:strRef>
                  <c:f>Tenancies!$Q$102</c:f>
                  <c:strCache>
                    <c:ptCount val="1"/>
                    <c:pt idx="0">
                      <c:v>Tower Bersama</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{CA69AEA2-7C4D-46F9-962C-47F76041F376}</c15:txfldGUID>
                      <c15:f>Tenancies!$Q$102</c15:f>
                      <c15:dlblFieldTableCache>
                        <c:ptCount val="1"/>
                        <c:pt idx="0">
                          <c:v>Tower Bersama</c:v>
                        </c:pt>
                      </c15:dlblFieldTableCache>
                    </c15:dlblFTEntry>
                  </c15:dlblFieldTable>
                  <c15:showDataLabelsRange val="0"/>
                </c:ext>
                <c:ext xmlns:c16="http://schemas.microsoft.com/office/drawing/2014/chart" uri="{C3380CC4-5D6E-409C-BE32-E72D297353CC}">
                  <c16:uniqueId val="{00000005-7E52-4AC2-8362-3751B7D47D40}"/>
                </c:ext>
              </c:extLst>
            </c:dLbl>
            <c:dLbl>
              <c:idx val="4"/>
              <c:tx>
                <c:strRef>
                  <c:f>Tenancies!$Q$103</c:f>
                  <c:strCache>
                    <c:ptCount val="1"/>
                    <c:pt idx="0">
                      <c:v>Spain</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{2DD31094-AE74-4145-909C-6D87637BA9C8}</c15:txfldGUID>
                      <c15:f>Tenancies!$Q$103</c15:f>
                      <c15:dlblFieldTableCache>
                        <c:ptCount val="1"/>
                        <c:pt idx="0">
                          <c:v>Spain</c:v>
                        </c:pt>
                      </c15:dlblFieldTableCache>
                    </c15:dlblFTEntry>
                  </c15:dlblFieldTable>
                  <c15:showDataLabelsRange val="0"/>
                </c:ext>
                <c:ext xmlns:c16="http://schemas.microsoft.com/office/drawing/2014/chart" uri="{C3380CC4-5D6E-409C-BE32-E72D297353CC}">
                  <c16:uniqueId val="{00000006-7E52-4AC2-8362-3751B7D47D40}"/>
                </c:ext>
              </c:extLst>
            </c:dLbl>
            <c:dLbl>
              <c:idx val="5"/>
              <c:tx>
                <c:strRef>
                  <c:f>Tenancies!$Q$104</c:f>
                  <c:strCache>
                    <c:ptCount val="1"/>
                    <c:pt idx="0">
                      <c:v>Telesites</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{86CC0BD2-5EC1-4F50-AFCE-DDC42FBBF66E}</c15:txfldGUID>
                      <c15:f>Tenancies!$Q$104</c15:f>
                      <c15:dlblFieldTableCache>
                        <c:ptCount val="1"/>
                        <c:pt idx="0">
                          <c:v>Telesites</c:v>
                        </c:pt>
                      </c15:dlblFieldTableCache>
                    </c15:dlblFTEntry>
                  </c15:dlblFieldTable>
                  <c15:showDataLabelsRange val="0"/>
                </c:ext>
                <c:ext xmlns:c16="http://schemas.microsoft.com/office/drawing/2014/chart" uri="{C3380CC4-5D6E-409C-BE32-E72D297353CC}">
                  <c16:uniqueId val="{00000007-7E52-4AC2-8362-3751B7D47D40}"/>
                </c:ext>
              </c:extLst>
            </c:dLbl>
            <c:dLbl>
              <c:idx val="6"/>
              <c:tx>
                <c:strRef>
                  <c:f>Tenancies!$Q$105</c:f>
                  <c:strCache>
                    <c:ptCount val="1"/>
                    <c:pt idx="0">
                      <c:v>Protelindo</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{7377AE40-BE09-4443-9737-237A66AAD572}</c15:txfldGUID>
                      <c15:f>Tenancies!$Q$105</c15:f>
                      <c15:dlblFieldTableCache>
                        <c:ptCount val="1"/>
                        <c:pt idx="0">
                          <c:v>Protelindo</c:v>
                        </c:pt>
                      </c15:dlblFieldTableCache>
                    </c15:dlblFTEntry>
                  </c15:dlblFieldTable>
                  <c15:showDataLabelsRange val="0"/>
                </c:ext>
                <c:ext xmlns:c16="http://schemas.microsoft.com/office/drawing/2014/chart" uri="{C3380CC4-5D6E-409C-BE32-E72D297353CC}">
                  <c16:uniqueId val="{00000008-7E52-4AC2-8362-3751B7D47D40}"/>
                </c:ext>
              </c:extLst>
            </c:dLbl>
            <c:dLbl>
              <c:idx val="7"/>
              <c:tx>
                <c:strRef>
                  <c:f>Tenancies!$Q$106</c:f>
                  <c:strCache>
                    <c:ptCount val="1"/>
                    <c:pt idx="0">
                      <c:v>Inwit</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{C084B634-A005-4397-B88E-F63BDF411CF4}</c15:txfldGUID>
                      <c15:f>Tenancies!$Q$106</c15:f>
                      <c15:dlblFieldTableCache>
                        <c:ptCount val="1"/>
                        <c:pt idx="0">
                          <c:v>Inwit</c:v>
                        </c:pt>
                      </c15:dlblFieldTableCache>
                    </c15:dlblFTEntry>
                  </c15:dlblFieldTable>
                  <c15:showDataLabelsRange val="0"/>
                </c:ext>
                <c:ext xmlns:c16="http://schemas.microsoft.com/office/drawing/2014/chart" uri="{C3380CC4-5D6E-409C-BE32-E72D297353CC}">
                  <c16:uniqueId val="{00000009-7E52-4AC2-8362-3751B7D47D40}"/>
                </c:ext>
              </c:extLst>
            </c:dLbl>
            <c:dLbl>
              <c:idx val="8"/>
              <c:tx>
                <c:strRef>
                  <c:f>Tenancies!$Q$107</c:f>
                  <c:strCache>
                    <c:ptCount val="1"/>
                    <c:pt idx="0">
                      <c:v>Cellnex</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{FFF36B33-B12E-44F1-BD8B-F39535B17D51}</c15:txfldGUID>
                      <c15:f>Tenancies!$Q$107</c15:f>
                      <c15:dlblFieldTableCache>
                        <c:ptCount val="1"/>
                        <c:pt idx="0">
                          <c:v>Cellnex</c:v>
                        </c:pt>
                      </c15:dlblFieldTableCache>
                    </c15:dlblFTEntry>
                  </c15:dlblFieldTable>
                  <c15:showDataLabelsRange val="0"/>
                </c:ext>
                <c:ext xmlns:c16="http://schemas.microsoft.com/office/drawing/2014/chart" uri="{C3380CC4-5D6E-409C-BE32-E72D297353CC}">
                  <c16:uniqueId val="{0000000A-7E52-4AC2-8362-3751B7D47D40}"/>
                </c:ext>
              </c:extLst>
            </c:dLbl>
            <c:dLbl>
              <c:idx val="9"/>
              <c:tx>
                <c:strRef>
                  <c:f>Tenancies!$Q$108</c:f>
                  <c:strCache>
                    <c:ptCount val="1"/>
                    <c:pt idx="0">
                      <c:v>Italy</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{5D50FAE3-8DEE-41B5-B3DD-3D2C35962324}</c15:txfldGUID>
                      <c15:f>Tenancies!$Q$108</c15:f>
                      <c15:dlblFieldTableCache>
                        <c:ptCount val="1"/>
                        <c:pt idx="0">
                          <c:v>Italy</c:v>
                        </c:pt>
                      </c15:dlblFieldTableCache>
                    </c15:dlblFTEntry>
                  </c15:dlblFieldTable>
                  <c15:showDataLabelsRange val="0"/>
                </c:ext>
                <c:ext xmlns:c16="http://schemas.microsoft.com/office/drawing/2014/chart" uri="{C3380CC4-5D6E-409C-BE32-E72D297353CC}">
                  <c16:uniqueId val="{0000000B-7E52-4AC2-8362-3751B7D47D40}"/>
                </c:ext>
              </c:extLst>
            </c:dLbl>
            <c:dLbl>
              <c:idx val="10"/>
              <c:tx>
                <c:strRef>
                  <c:f>Tenancies!$Q$109</c:f>
                  <c:strCache>
                    <c:ptCount val="1"/>
                    <c:pt idx="0">
                      <c:v>France</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{FA2FC76D-DFFB-4FAF-AEC7-8BA7DEE71774}</c15:txfldGUID>
                      <c15:f>Tenancies!$Q$109</c15:f>
                      <c15:dlblFieldTableCache>
                        <c:ptCount val="1"/>
                        <c:pt idx="0">
                          <c:v>France</c:v>
                        </c:pt>
                      </c15:dlblFieldTableCache>
                    </c15:dlblFTEntry>
                  </c15:dlblFieldTable>
                  <c15:showDataLabelsRange val="0"/>
                </c:ext>
                <c:ext xmlns:c16="http://schemas.microsoft.com/office/drawing/2014/chart" uri="{C3380CC4-5D6E-409C-BE32-E72D297353CC}">
                  <c16:uniqueId val="{0000000C-7E52-4AC2-8362-3751B7D47D40}"/>
                </c:ext>
              </c:extLst>
            </c:dLbl>
            <c:dLbl>
              <c:idx val="11"/>
              <c:tx>
                <c:strRef>
                  <c:f>Tenancies!$Q$110</c:f>
                  <c:strCache>
                    <c:ptCount val="1"/>
                    <c:pt idx="0">
                      <c:v>Switzerland</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{5202739D-75E4-4B0C-AFFF-E32A3BF35158}</c15:txfldGUID>
                      <c15:f>Tenancies!$Q$110</c15:f>
                      <c15:dlblFieldTableCache>
                        <c:ptCount val="1"/>
                        <c:pt idx="0">
                          <c:v>Switzerland</c:v>
                        </c:pt>
                      </c15:dlblFieldTableCache>
                    </c15:dlblFTEntry>
                  </c15:dlblFieldTable>
                  <c15:showDataLabelsRange val="0"/>
                </c:ext>
                <c:ext xmlns:c16="http://schemas.microsoft.com/office/drawing/2014/chart" uri="{C3380CC4-5D6E-409C-BE32-E72D297353CC}">
                  <c16:uniqueId val="{0000000D-7E52-4AC2-8362-3751B7D47D40}"/>
                </c:ext>
              </c:extLst>
            </c:dLbl>
            <c:dLbl>
              <c:idx val="12"/>
              <c:tx>
                <c:strRef>
                  <c:f>Tenancies!$Q$111</c:f>
                  <c:strCache>
                    <c:ptCount val="1"/>
                    <c:pt idx="0">
                      <c:v>Netherlands</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{1574E05C-248E-41A1-B96F-ACF1BEBEA340}</c15:txfldGUID>
                      <c15:f>Tenancies!$Q$111</c15:f>
                      <c15:dlblFieldTableCache>
                        <c:ptCount val="1"/>
                        <c:pt idx="0">
                          <c:v>Netherlands</c:v>
                        </c:pt>
                      </c15:dlblFieldTableCache>
                    </c15:dlblFTEntry>
                  </c15:dlblFieldTable>
                  <c15:showDataLabelsRange val="0"/>
                </c:ext>
                <c:ext xmlns:c16="http://schemas.microsoft.com/office/drawing/2014/chart" uri="{C3380CC4-5D6E-409C-BE32-E72D297353CC}">
                  <c16:uniqueId val="{0000000E-7E52-4AC2-8362-3751B7D47D40}"/>
                </c:ext>
              </c:extLst>
            </c:dLbl>
            <c:dLbl>
              <c:idx val="13"/>
              <c:tx>
                <c:strRef>
                  <c:f>Tenancies!$Q$112</c:f>
                  <c:strCache>
                    <c:ptCount val="1"/>
                    <c:pt idx="0">
                      <c:v>AMT - USA</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{51DD9C5E-3159-44DB-A4B2-795E4156228F}</c15:txfldGUID>
                      <c15:f>Tenancies!$Q$112</c15:f>
                      <c15:dlblFieldTableCache>
                        <c:ptCount val="1"/>
                        <c:pt idx="0">
                          <c:v>AMT - USA</c:v>
                        </c:pt>
                      </c15:dlblFieldTableCache>
                    </c15:dlblFTEntry>
                  </c15:dlblFieldTable>
                  <c15:showDataLabelsRange val="0"/>
                </c:ext>
                <c:ext xmlns:c16="http://schemas.microsoft.com/office/drawing/2014/chart" uri="{C3380CC4-5D6E-409C-BE32-E72D297353CC}">
                  <c16:uniqueId val="{0000000F-7E52-4AC2-8362-3751B7D47D4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trendline>
            <c:trendlineType val="linear"/>
            <c:dispRSqr val="0"/>
            <c:dispEq val="0"/>
          </c:trendline>
          <c:xVal>
            <c:numRef>
              <c:f>Tenancies!$S$99:$S$112</c:f>
              <c:numCache>
                <c:formatCode>General</c:formatCode>
                <c:ptCount val="14"/>
                <c:pt idx="0">
                  <c:v>9470</c:v>
                </c:pt>
                <c:pt idx="1">
                  <c:v>2020</c:v>
                </c:pt>
                <c:pt idx="2">
                  <c:v>41340</c:v>
                </c:pt>
                <c:pt idx="3">
                  <c:v>3840</c:v>
                </c:pt>
                <c:pt idx="4">
                  <c:v>29450</c:v>
                </c:pt>
                <c:pt idx="5">
                  <c:v>9180</c:v>
                </c:pt>
                <c:pt idx="6">
                  <c:v>3840</c:v>
                </c:pt>
                <c:pt idx="7">
                  <c:v>33540</c:v>
                </c:pt>
                <c:pt idx="8">
                  <c:v>29450</c:v>
                </c:pt>
                <c:pt idx="9">
                  <c:v>33540</c:v>
                </c:pt>
                <c:pt idx="10">
                  <c:v>41080</c:v>
                </c:pt>
                <c:pt idx="11">
                  <c:v>83580</c:v>
                </c:pt>
                <c:pt idx="12">
                  <c:v>51260</c:v>
                </c:pt>
                <c:pt idx="13">
                  <c:v>62850</c:v>
                </c:pt>
              </c:numCache>
            </c:numRef>
          </c:xVal>
          <c:yVal>
            <c:numRef>
              <c:f>Tenancies!$R$99:$R$112</c:f>
              <c:numCache>
                <c:formatCode>_-* #,##0_-;\-* #,##0_-;_-* "-"??_-;_-@_-</c:formatCode>
                <c:ptCount val="14"/>
                <c:pt idx="0">
                  <c:v>293.59389171732511</c:v>
                </c:pt>
                <c:pt idx="1">
                  <c:v>627.60601195350841</c:v>
                </c:pt>
                <c:pt idx="2">
                  <c:v>899.19774037920138</c:v>
                </c:pt>
                <c:pt idx="3">
                  <c:v>1021.6465960131541</c:v>
                </c:pt>
                <c:pt idx="4">
                  <c:v>1048.31782457181</c:v>
                </c:pt>
                <c:pt idx="5">
                  <c:v>1089.8785568970266</c:v>
                </c:pt>
                <c:pt idx="6">
                  <c:v>1192.5598457799269</c:v>
                </c:pt>
                <c:pt idx="7">
                  <c:v>1379.3333333333333</c:v>
                </c:pt>
                <c:pt idx="8">
                  <c:v>1890</c:v>
                </c:pt>
                <c:pt idx="9">
                  <c:v>1948.5111429212982</c:v>
                </c:pt>
                <c:pt idx="10">
                  <c:v>1995.3837703917561</c:v>
                </c:pt>
                <c:pt idx="11">
                  <c:v>2002.8531401900584</c:v>
                </c:pt>
                <c:pt idx="12">
                  <c:v>2003.3747407324713</c:v>
                </c:pt>
                <c:pt idx="13">
                  <c:v>3495</c:v>
                </c:pt>
              </c:numCache>
            </c:numRef>
          </c:yVal>
          <c:smooth val="1"/>
          <c:extLst>
            <c:ext xmlns:c16="http://schemas.microsoft.com/office/drawing/2014/chart" uri="{C3380CC4-5D6E-409C-BE32-E72D297353CC}">
              <c16:uniqueId val="{00000001-7E52-4AC2-8362-3751B7D47D40}"/>
            </c:ext>
          </c:extLst>
        </c:ser>
        <c:dLbls>
          <c:showLegendKey val="0"/>
          <c:showVal val="0"/>
          <c:showCatName val="0"/>
          <c:showSerName val="0"/>
          <c:showPercent val="0"/>
          <c:showBubbleSize val="0"/>
        </c:dLbls>
        <c:axId val="817170536"/>
        <c:axId val="817178408"/>
      </c:scatterChart>
      <c:valAx>
        <c:axId val="817170536"/>
        <c:scaling>
          <c:orientation val="minMax"/>
        </c:scaling>
        <c:delete val="0"/>
        <c:axPos val="b"/>
        <c:numFmt formatCode="General" sourceLinked="1"/>
        <c:majorTickMark val="out"/>
        <c:minorTickMark val="none"/>
        <c:tickLblPos val="nextTo"/>
        <c:crossAx val="817178408"/>
        <c:crosses val="autoZero"/>
        <c:crossBetween val="midCat"/>
      </c:valAx>
      <c:valAx>
        <c:axId val="817178408"/>
        <c:scaling>
          <c:orientation val="minMax"/>
        </c:scaling>
        <c:delete val="0"/>
        <c:axPos val="l"/>
        <c:majorGridlines/>
        <c:numFmt formatCode="_-* #,##0_-;\-* #,##0_-;_-* &quot;-&quot;??_-;_-@_-" sourceLinked="1"/>
        <c:majorTickMark val="out"/>
        <c:minorTickMark val="none"/>
        <c:tickLblPos val="nextTo"/>
        <c:crossAx val="817170536"/>
        <c:crosses val="autoZero"/>
        <c:crossBetween val="midCat"/>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'Key debates'!$B$2</c:f>
              <c:strCache>
                <c:ptCount val="1"/>
                <c:pt idx="0">
                  <c:v>IHS</c:v>
                </c:pt>
              </c:strCache>
            </c:strRef>
          </c:tx>
          <c:spPr>
            <a:solidFill>
              <a:srgbClr val="000080"/>
            </a:solidFill>
            <a:ln w="25400">
              <a:noFill/>
            </a:ln>
            <a:effectLst/>
          </c:spPr>
          <c:invertIfNegative val="0"/>
          <c:cat>
            <c:strRef>
              <c:f>'Key debates'!$A$3:$A$7</c:f>
              <c:strCache>
                <c:ptCount val="5"/>
                <c:pt idx="0">
                  <c:v>Rooftop</c:v>
                </c:pt>
                <c:pt idx="1">
                  <c:v>Ground but less than 30m</c:v>
                </c:pt>
                <c:pt idx="2">
                  <c:v>30-60m</c:v>
                </c:pt>
                <c:pt idx="3">
                  <c:v>60-75m</c:v>
                </c:pt>
                <c:pt idx="4">
                  <c:v>75m+</c:v>
                </c:pt>
              </c:strCache>
            </c:strRef>
          </c:cat>
          <c:val>
            <c:numRef>
              <c:f>'Key debates'!$B$3:$B$7</c:f>
              <c:numCache>
                <c:formatCode>0.00%</c:formatCode>
                <c:ptCount val="5"/>
                <c:pt idx="0" formatCode="0%">
                  <c:v>0.09</c:v>
                </c:pt>
                <c:pt idx="1">
                  <c:v>0.16</c:v>
                </c:pt>
                <c:pt idx="2" formatCode="0%">
                  <c:v>0.61</c:v>
                </c:pt>
                <c:pt idx="3" formatCode="0%">
                  <c:v>0.11</c:v>
                </c:pt>
                <c:pt idx="4" formatCode="0%">
                  <c:v>0.03</c:v>
                </c:pt>
              </c:numCache>
            </c:numRef>
          </c:val>
          <c:extLst>
            <c:ext xmlns:c16="http://schemas.microsoft.com/office/drawing/2014/chart" uri="{C3380CC4-5D6E-409C-BE32-E72D297353CC}">
              <c16:uniqueId val="{00000000-4200-4DF1-B09A-0128DD6EB180}"/>
            </c:ext>
          </c:extLst>
        </c:ser>
        <c:ser>
          <c:idx val="1"/>
          <c:order val="1"/>
          <c:tx>
            <c:strRef>
              <c:f>'Key debates'!$C$2</c:f>
              <c:strCache>
                <c:ptCount val="1"/>
                <c:pt idx="0">
                  <c:v>Indus</c:v>
                </c:pt>
              </c:strCache>
            </c:strRef>
          </c:tx>
          <c:spPr>
            <a:solidFill>
              <a:srgbClr val="9999FF"/>
            </a:solidFill>
            <a:ln w="25400">
              <a:noFill/>
            </a:ln>
            <a:effectLst/>
          </c:spPr>
          <c:invertIfNegative val="0"/>
          <c:cat>
            <c:strRef>
              <c:f>'Key debates'!$A$3:$A$7</c:f>
              <c:strCache>
                <c:ptCount val="5"/>
                <c:pt idx="0">
                  <c:v>Rooftop</c:v>
                </c:pt>
                <c:pt idx="1">
                  <c:v>Ground but less than 30m</c:v>
                </c:pt>
                <c:pt idx="2">
                  <c:v>30-60m</c:v>
                </c:pt>
                <c:pt idx="3">
                  <c:v>60-75m</c:v>
                </c:pt>
                <c:pt idx="4">
                  <c:v>75m+</c:v>
                </c:pt>
              </c:strCache>
            </c:strRef>
          </c:cat>
          <c:val>
            <c:numRef>
              <c:f>'Key debates'!$C$3:$C$7</c:f>
              <c:numCache>
                <c:formatCode>General</c:formatCode>
                <c:ptCount val="5"/>
                <c:pt idx="0">
                  <c:v>0.27024131678058305</c:v>
                </c:pt>
              </c:numCache>
            </c:numRef>
          </c:val>
          <c:extLst>
            <c:ext xmlns:c16="http://schemas.microsoft.com/office/drawing/2014/chart" uri="{C3380CC4-5D6E-409C-BE32-E72D297353CC}">
              <c16:uniqueId val="{00000001-4200-4DF1-B09A-0128DD6EB180}"/>
            </c:ext>
          </c:extLst>
        </c:ser>
        <c:ser>
          <c:idx val="2"/>
          <c:order val="2"/>
          <c:tx>
            <c:strRef>
              <c:f>'Key debates'!$D$2</c:f>
              <c:strCache>
                <c:ptCount val="1"/>
                <c:pt idx="0">
                  <c:v>China Tower</c:v>
                </c:pt>
              </c:strCache>
            </c:strRef>
          </c:tx>
          <c:spPr>
            <a:solidFill>
              <a:srgbClr val="3366FF"/>
            </a:solidFill>
            <a:ln w="25400">
              <a:noFill/>
            </a:ln>
            <a:effectLst/>
          </c:spPr>
          <c:invertIfNegative val="0"/>
          <c:cat>
            <c:strRef>
              <c:f>'Key debates'!$A$3:$A$7</c:f>
              <c:strCache>
                <c:ptCount val="5"/>
                <c:pt idx="0">
                  <c:v>Rooftop</c:v>
                </c:pt>
                <c:pt idx="1">
                  <c:v>Ground but less than 30m</c:v>
                </c:pt>
                <c:pt idx="2">
                  <c:v>30-60m</c:v>
                </c:pt>
                <c:pt idx="3">
                  <c:v>60-75m</c:v>
                </c:pt>
                <c:pt idx="4">
                  <c:v>75m+</c:v>
                </c:pt>
              </c:strCache>
            </c:strRef>
          </c:cat>
          <c:val>
            <c:numRef>
              <c:f>'Key debates'!$D$3:$D$7</c:f>
              <c:numCache>
                <c:formatCode>General</c:formatCode>
                <c:ptCount val="5"/>
                <c:pt idx="0" formatCode="0%">
                  <c:v>0.35</c:v>
                </c:pt>
              </c:numCache>
            </c:numRef>
          </c:val>
          <c:extLst>
            <c:ext xmlns:c16="http://schemas.microsoft.com/office/drawing/2014/chart" uri="{C3380CC4-5D6E-409C-BE32-E72D297353CC}">
              <c16:uniqueId val="{00000002-4200-4DF1-B09A-0128DD6EB180}"/>
            </c:ext>
          </c:extLst>
        </c:ser>
        <c:dLbls>
          <c:showLegendKey val="0"/>
          <c:showVal val="0"/>
          <c:showCatName val="0"/>
          <c:showSerName val="0"/>
          <c:showPercent val="0"/>
          <c:showBubbleSize val="0"/>
        </c:dLbls>
        <c:gapWidth val="219"/>
        <c:axId val="1025279016"/>
        <c:axId val="1025282952"/>
      </c:barChart>
      <c:catAx>
        <c:axId val="1025279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25282952"/>
        <c:crosses val="autoZero"/>
        <c:auto val="1"/>
        <c:lblAlgn val="ctr"/>
        <c:lblOffset val="100"/>
        <c:noMultiLvlLbl val="0"/>
      </c:catAx>
      <c:valAx>
        <c:axId val="102528295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2527901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Trebuchet MS"/>
              <a:ea typeface="Trebuchet MS"/>
              <a:cs typeface="Trebuchet MS"/>
            </a:defRPr>
          </a:pPr>
          <a:endParaRPr lang="en-US"/>
        </a:p>
      </c:txPr>
    </c:title>
    <c:autoTitleDeleted val="0"/>
    <c:plotArea>
      <c:layout/>
      <c:barChart>
        <c:barDir val="col"/>
        <c:grouping val="clustered"/>
        <c:varyColors val="0"/>
        <c:ser>
          <c:idx val="0"/>
          <c:order val="0"/>
          <c:tx>
            <c:strRef>
              <c:f>'Key debates'!$B$11</c:f>
              <c:strCache>
                <c:ptCount val="1"/>
                <c:pt idx="0">
                  <c:v>Price/GB (LHS)</c:v>
                </c:pt>
              </c:strCache>
            </c:strRef>
          </c:tx>
          <c:spPr>
            <a:solidFill>
              <a:srgbClr val="000080"/>
            </a:solidFill>
            <a:ln w="25400">
              <a:noFill/>
            </a:ln>
            <a:effectLst/>
          </c:spPr>
          <c:invertIfNegative val="0"/>
          <c:cat>
            <c:strRef>
              <c:f>'Key debates'!$A$12:$A$15</c:f>
              <c:strCache>
                <c:ptCount val="4"/>
                <c:pt idx="0">
                  <c:v>India</c:v>
                </c:pt>
                <c:pt idx="1">
                  <c:v>Indonesia</c:v>
                </c:pt>
                <c:pt idx="2">
                  <c:v>China</c:v>
                </c:pt>
                <c:pt idx="3">
                  <c:v>Nigeria</c:v>
                </c:pt>
              </c:strCache>
            </c:strRef>
          </c:cat>
          <c:val>
            <c:numRef>
              <c:f>'Key debates'!$B$12:$B$15</c:f>
              <c:numCache>
                <c:formatCode>General</c:formatCode>
                <c:ptCount val="4"/>
                <c:pt idx="0">
                  <c:v>0.28999999999999998</c:v>
                </c:pt>
                <c:pt idx="1">
                  <c:v>0.28999999999999998</c:v>
                </c:pt>
                <c:pt idx="2">
                  <c:v>0.51</c:v>
                </c:pt>
                <c:pt idx="3">
                  <c:v>0.8</c:v>
                </c:pt>
              </c:numCache>
            </c:numRef>
          </c:val>
          <c:extLst>
            <c:ext xmlns:c16="http://schemas.microsoft.com/office/drawing/2014/chart" uri="{C3380CC4-5D6E-409C-BE32-E72D297353CC}">
              <c16:uniqueId val="{00000000-A953-4560-8C71-0224DBC840AA}"/>
            </c:ext>
          </c:extLst>
        </c:ser>
        <c:ser>
          <c:idx val="1"/>
          <c:order val="1"/>
          <c:tx>
            <c:strRef>
              <c:f>'Key debates'!$E$11</c:f>
              <c:strCache>
                <c:ptCount val="1"/>
                <c:pt idx="0">
                  <c:v>ARPU</c:v>
                </c:pt>
              </c:strCache>
            </c:strRef>
          </c:tx>
          <c:spPr>
            <a:solidFill>
              <a:srgbClr val="9999FF"/>
            </a:solidFill>
            <a:ln w="25400">
              <a:noFill/>
            </a:ln>
            <a:effectLst/>
          </c:spPr>
          <c:invertIfNegative val="0"/>
          <c:cat>
            <c:strRef>
              <c:f>'Key debates'!$A$12:$A$15</c:f>
              <c:strCache>
                <c:ptCount val="4"/>
                <c:pt idx="0">
                  <c:v>India</c:v>
                </c:pt>
                <c:pt idx="1">
                  <c:v>Indonesia</c:v>
                </c:pt>
                <c:pt idx="2">
                  <c:v>China</c:v>
                </c:pt>
                <c:pt idx="3">
                  <c:v>Nigeria</c:v>
                </c:pt>
              </c:strCache>
            </c:strRef>
          </c:cat>
          <c:val>
            <c:numRef>
              <c:f>'Key debates'!$E$12:$E$15</c:f>
              <c:numCache>
                <c:formatCode>General</c:formatCode>
                <c:ptCount val="4"/>
                <c:pt idx="0">
                  <c:v>2</c:v>
                </c:pt>
                <c:pt idx="1">
                  <c:v>2.5</c:v>
                </c:pt>
                <c:pt idx="2">
                  <c:v>7.8571428571428568</c:v>
                </c:pt>
                <c:pt idx="3">
                  <c:v>3.93</c:v>
                </c:pt>
              </c:numCache>
            </c:numRef>
          </c:val>
          <c:extLst>
            <c:ext xmlns:c16="http://schemas.microsoft.com/office/drawing/2014/chart" uri="{C3380CC4-5D6E-409C-BE32-E72D297353CC}">
              <c16:uniqueId val="{00000001-A953-4560-8C71-0224DBC840AA}"/>
            </c:ext>
          </c:extLst>
        </c:ser>
        <c:dLbls>
          <c:showLegendKey val="0"/>
          <c:showVal val="0"/>
          <c:showCatName val="0"/>
          <c:showSerName val="0"/>
          <c:showPercent val="0"/>
          <c:showBubbleSize val="0"/>
        </c:dLbls>
        <c:gapWidth val="150"/>
        <c:axId val="1002025752"/>
        <c:axId val="1002024112"/>
      </c:barChart>
      <c:barChart>
        <c:barDir val="col"/>
        <c:grouping val="clustered"/>
        <c:varyColors val="0"/>
        <c:ser>
          <c:idx val="2"/>
          <c:order val="2"/>
          <c:tx>
            <c:strRef>
              <c:f>'Key debates'!$F$11</c:f>
              <c:strCache>
                <c:ptCount val="1"/>
                <c:pt idx="0">
                  <c:v>Lease rate ex Power</c:v>
                </c:pt>
              </c:strCache>
            </c:strRef>
          </c:tx>
          <c:spPr>
            <a:solidFill>
              <a:srgbClr val="3366FF"/>
            </a:solidFill>
            <a:ln w="25400">
              <a:noFill/>
            </a:ln>
            <a:effectLst/>
          </c:spPr>
          <c:invertIfNegative val="0"/>
          <c:cat>
            <c:strRef>
              <c:f>'Key debates'!$A$12:$A$15</c:f>
              <c:strCache>
                <c:ptCount val="4"/>
                <c:pt idx="0">
                  <c:v>India</c:v>
                </c:pt>
                <c:pt idx="1">
                  <c:v>Indonesia</c:v>
                </c:pt>
                <c:pt idx="2">
                  <c:v>China</c:v>
                </c:pt>
                <c:pt idx="3">
                  <c:v>Nigeria</c:v>
                </c:pt>
              </c:strCache>
            </c:strRef>
          </c:cat>
          <c:val>
            <c:numRef>
              <c:f>'Key debates'!$F$12:$F$15</c:f>
              <c:numCache>
                <c:formatCode>General</c:formatCode>
                <c:ptCount val="4"/>
                <c:pt idx="0">
                  <c:v>550</c:v>
                </c:pt>
                <c:pt idx="1">
                  <c:v>1100</c:v>
                </c:pt>
                <c:pt idx="2">
                  <c:v>400</c:v>
                </c:pt>
                <c:pt idx="3">
                  <c:v>2805</c:v>
                </c:pt>
              </c:numCache>
            </c:numRef>
          </c:val>
          <c:extLst>
            <c:ext xmlns:c16="http://schemas.microsoft.com/office/drawing/2014/chart" uri="{C3380CC4-5D6E-409C-BE32-E72D297353CC}">
              <c16:uniqueId val="{00000002-A953-4560-8C71-0224DBC840AA}"/>
            </c:ext>
          </c:extLst>
        </c:ser>
        <c:dLbls>
          <c:showLegendKey val="0"/>
          <c:showVal val="0"/>
          <c:showCatName val="0"/>
          <c:showSerName val="0"/>
          <c:showPercent val="0"/>
          <c:showBubbleSize val="0"/>
        </c:dLbls>
        <c:gapWidth val="150"/>
        <c:axId val="1009160352"/>
        <c:axId val="1009158384"/>
      </c:barChart>
      <c:catAx>
        <c:axId val="1002025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02024112"/>
        <c:crosses val="autoZero"/>
        <c:auto val="1"/>
        <c:lblAlgn val="ctr"/>
        <c:lblOffset val="100"/>
        <c:noMultiLvlLbl val="0"/>
      </c:catAx>
      <c:valAx>
        <c:axId val="1002024112"/>
        <c:scaling>
          <c:orientation val="minMax"/>
        </c:scaling>
        <c:delete val="0"/>
        <c:axPos val="l"/>
        <c:majorGridlines>
          <c:spPr>
            <a:ln w="3175" cap="flat" cmpd="sng" algn="ctr">
              <a:solidFill>
                <a:srgbClr val="C0C0C0"/>
              </a:solidFill>
              <a:prstDash val="solid"/>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02025752"/>
        <c:crosses val="autoZero"/>
        <c:crossBetween val="between"/>
      </c:valAx>
      <c:valAx>
        <c:axId val="1009158384"/>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09160352"/>
        <c:crosses val="max"/>
        <c:crossBetween val="between"/>
      </c:valAx>
      <c:catAx>
        <c:axId val="1009160352"/>
        <c:scaling>
          <c:orientation val="minMax"/>
        </c:scaling>
        <c:delete val="1"/>
        <c:axPos val="b"/>
        <c:numFmt formatCode="General" sourceLinked="1"/>
        <c:majorTickMark val="out"/>
        <c:minorTickMark val="none"/>
        <c:tickLblPos val="nextTo"/>
        <c:crossAx val="1009158384"/>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'Key debates'!$B$11</c:f>
              <c:strCache>
                <c:ptCount val="1"/>
                <c:pt idx="0">
                  <c:v>Price/GB (LHS)</c:v>
                </c:pt>
              </c:strCache>
            </c:strRef>
          </c:tx>
          <c:spPr>
            <a:solidFill>
              <a:srgbClr val="000080"/>
            </a:solidFill>
            <a:ln w="25400">
              <a:noFill/>
            </a:ln>
            <a:effectLst/>
          </c:spPr>
          <c:invertIfNegative val="0"/>
          <c:cat>
            <c:strRef>
              <c:f>'Key debates'!$A$12:$A$15</c:f>
              <c:strCache>
                <c:ptCount val="4"/>
                <c:pt idx="0">
                  <c:v>India</c:v>
                </c:pt>
                <c:pt idx="1">
                  <c:v>Indonesia</c:v>
                </c:pt>
                <c:pt idx="2">
                  <c:v>China</c:v>
                </c:pt>
                <c:pt idx="3">
                  <c:v>Nigeria</c:v>
                </c:pt>
              </c:strCache>
            </c:strRef>
          </c:cat>
          <c:val>
            <c:numRef>
              <c:f>'Key debates'!$B$12:$B$15</c:f>
              <c:numCache>
                <c:formatCode>General</c:formatCode>
                <c:ptCount val="4"/>
                <c:pt idx="0">
                  <c:v>0.28999999999999998</c:v>
                </c:pt>
                <c:pt idx="1">
                  <c:v>0.28999999999999998</c:v>
                </c:pt>
                <c:pt idx="2">
                  <c:v>0.51</c:v>
                </c:pt>
                <c:pt idx="3">
                  <c:v>0.8</c:v>
                </c:pt>
              </c:numCache>
            </c:numRef>
          </c:val>
          <c:extLst>
            <c:ext xmlns:c16="http://schemas.microsoft.com/office/drawing/2014/chart" uri="{C3380CC4-5D6E-409C-BE32-E72D297353CC}">
              <c16:uniqueId val="{00000000-E281-44E8-86DF-DBAE7E2B34B7}"/>
            </c:ext>
          </c:extLst>
        </c:ser>
        <c:dLbls>
          <c:showLegendKey val="0"/>
          <c:showVal val="0"/>
          <c:showCatName val="0"/>
          <c:showSerName val="0"/>
          <c:showPercent val="0"/>
          <c:showBubbleSize val="0"/>
        </c:dLbls>
        <c:gapWidth val="219"/>
        <c:overlap val="-27"/>
        <c:axId val="1009535144"/>
        <c:axId val="1009531208"/>
      </c:barChart>
      <c:lineChart>
        <c:grouping val="standard"/>
        <c:varyColors val="0"/>
        <c:ser>
          <c:idx val="1"/>
          <c:order val="1"/>
          <c:tx>
            <c:strRef>
              <c:f>'Key debates'!$C$11</c:f>
              <c:strCache>
                <c:ptCount val="1"/>
                <c:pt idx="0">
                  <c:v>Lease rate ex Power (RHS)</c:v>
                </c:pt>
              </c:strCache>
            </c:strRef>
          </c:tx>
          <c:spPr>
            <a:ln w="25400" cap="rnd">
              <a:solidFill>
                <a:srgbClr val="000080"/>
              </a:solidFill>
              <a:prstDash val="solid"/>
              <a:round/>
            </a:ln>
            <a:effectLst/>
          </c:spPr>
          <c:marker>
            <c:symbol val="none"/>
          </c:marker>
          <c:cat>
            <c:strRef>
              <c:f>'Key debates'!$A$12:$A$15</c:f>
              <c:strCache>
                <c:ptCount val="4"/>
                <c:pt idx="0">
                  <c:v>India</c:v>
                </c:pt>
                <c:pt idx="1">
                  <c:v>Indonesia</c:v>
                </c:pt>
                <c:pt idx="2">
                  <c:v>China</c:v>
                </c:pt>
                <c:pt idx="3">
                  <c:v>Nigeria</c:v>
                </c:pt>
              </c:strCache>
            </c:strRef>
          </c:cat>
          <c:val>
            <c:numRef>
              <c:f>'Key debates'!$C$12:$C$15</c:f>
              <c:numCache>
                <c:formatCode>General</c:formatCode>
                <c:ptCount val="4"/>
                <c:pt idx="0">
                  <c:v>550</c:v>
                </c:pt>
                <c:pt idx="1">
                  <c:v>1100</c:v>
                </c:pt>
                <c:pt idx="2">
                  <c:v>400</c:v>
                </c:pt>
                <c:pt idx="3">
                  <c:v>2805</c:v>
                </c:pt>
              </c:numCache>
            </c:numRef>
          </c:val>
          <c:smooth val="0"/>
          <c:extLst>
            <c:ext xmlns:c16="http://schemas.microsoft.com/office/drawing/2014/chart" uri="{C3380CC4-5D6E-409C-BE32-E72D297353CC}">
              <c16:uniqueId val="{00000001-E281-44E8-86DF-DBAE7E2B34B7}"/>
            </c:ext>
          </c:extLst>
        </c:ser>
        <c:dLbls>
          <c:showLegendKey val="0"/>
          <c:showVal val="0"/>
          <c:showCatName val="0"/>
          <c:showSerName val="0"/>
          <c:showPercent val="0"/>
          <c:showBubbleSize val="0"/>
        </c:dLbls>
        <c:marker val="1"/>
        <c:smooth val="0"/>
        <c:axId val="913090520"/>
        <c:axId val="913089536"/>
      </c:lineChart>
      <c:catAx>
        <c:axId val="1009535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09531208"/>
        <c:crosses val="autoZero"/>
        <c:auto val="1"/>
        <c:lblAlgn val="ctr"/>
        <c:lblOffset val="100"/>
        <c:noMultiLvlLbl val="0"/>
      </c:catAx>
      <c:valAx>
        <c:axId val="1009531208"/>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US$/GB</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09535144"/>
        <c:crosses val="autoZero"/>
        <c:crossBetween val="between"/>
      </c:valAx>
      <c:valAx>
        <c:axId val="91308953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US$/month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13090520"/>
        <c:crosses val="max"/>
        <c:crossBetween val="between"/>
      </c:valAx>
      <c:catAx>
        <c:axId val="913090520"/>
        <c:scaling>
          <c:orientation val="minMax"/>
        </c:scaling>
        <c:delete val="1"/>
        <c:axPos val="b"/>
        <c:numFmt formatCode="General" sourceLinked="1"/>
        <c:majorTickMark val="out"/>
        <c:minorTickMark val="none"/>
        <c:tickLblPos val="nextTo"/>
        <c:crossAx val="913089536"/>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'Key debates'!$B$18</c:f>
              <c:strCache>
                <c:ptCount val="1"/>
                <c:pt idx="0">
                  <c:v>Tower rents as % of sales</c:v>
                </c:pt>
              </c:strCache>
            </c:strRef>
          </c:tx>
          <c:spPr>
            <a:solidFill>
              <a:srgbClr val="000080"/>
            </a:solidFill>
            <a:ln w="25400">
              <a:noFill/>
            </a:ln>
            <a:effectLst/>
          </c:spPr>
          <c:invertIfNegative val="0"/>
          <c:cat>
            <c:strRef>
              <c:f>'Key debates'!$A$19:$A$23</c:f>
              <c:strCache>
                <c:ptCount val="5"/>
                <c:pt idx="0">
                  <c:v>China Mobile</c:v>
                </c:pt>
                <c:pt idx="1">
                  <c:v>XL Axiata</c:v>
                </c:pt>
                <c:pt idx="2">
                  <c:v>Indosat</c:v>
                </c:pt>
                <c:pt idx="3">
                  <c:v>Bharti Airtel</c:v>
                </c:pt>
                <c:pt idx="4">
                  <c:v>MTN Nigeria</c:v>
                </c:pt>
              </c:strCache>
            </c:strRef>
          </c:cat>
          <c:val>
            <c:numRef>
              <c:f>'Key debates'!$B$19:$B$23</c:f>
              <c:numCache>
                <c:formatCode>0.0%</c:formatCode>
                <c:ptCount val="5"/>
                <c:pt idx="0">
                  <c:v>-5.8205294507452831E-8</c:v>
                </c:pt>
                <c:pt idx="1">
                  <c:v>0.23665361500580995</c:v>
                </c:pt>
                <c:pt idx="2">
                  <c:v>0.2428154612930922</c:v>
                </c:pt>
                <c:pt idx="3">
                  <c:v>5397818.3999999994</c:v>
                </c:pt>
                <c:pt idx="4" formatCode="0.00%">
                  <c:v>0.20691679428279736</c:v>
                </c:pt>
              </c:numCache>
            </c:numRef>
          </c:val>
          <c:extLst>
            <c:ext xmlns:c16="http://schemas.microsoft.com/office/drawing/2014/chart" uri="{C3380CC4-5D6E-409C-BE32-E72D297353CC}">
              <c16:uniqueId val="{00000000-5C47-42C8-AE1A-65E1B2B84661}"/>
            </c:ext>
          </c:extLst>
        </c:ser>
        <c:dLbls>
          <c:showLegendKey val="0"/>
          <c:showVal val="0"/>
          <c:showCatName val="0"/>
          <c:showSerName val="0"/>
          <c:showPercent val="0"/>
          <c:showBubbleSize val="0"/>
        </c:dLbls>
        <c:gapWidth val="219"/>
        <c:overlap val="-27"/>
        <c:axId val="1212235320"/>
        <c:axId val="1212234008"/>
      </c:barChart>
      <c:catAx>
        <c:axId val="1212235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12234008"/>
        <c:crosses val="autoZero"/>
        <c:auto val="1"/>
        <c:lblAlgn val="ctr"/>
        <c:lblOffset val="100"/>
        <c:noMultiLvlLbl val="0"/>
      </c:catAx>
      <c:valAx>
        <c:axId val="1212234008"/>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12235320"/>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'Key debates'!$B$18</c:f>
              <c:strCache>
                <c:ptCount val="1"/>
                <c:pt idx="0">
                  <c:v>Tower rents as % of sales</c:v>
                </c:pt>
              </c:strCache>
            </c:strRef>
          </c:tx>
          <c:spPr>
            <a:solidFill>
              <a:srgbClr val="000080"/>
            </a:solidFill>
            <a:ln w="25400">
              <a:noFill/>
            </a:ln>
            <a:effectLst/>
          </c:spPr>
          <c:invertIfNegative val="0"/>
          <c:cat>
            <c:strRef>
              <c:f>'Key debates'!$A$19:$A$23</c:f>
              <c:strCache>
                <c:ptCount val="5"/>
                <c:pt idx="0">
                  <c:v>China Mobile</c:v>
                </c:pt>
                <c:pt idx="1">
                  <c:v>XL Axiata</c:v>
                </c:pt>
                <c:pt idx="2">
                  <c:v>Indosat</c:v>
                </c:pt>
                <c:pt idx="3">
                  <c:v>Bharti Airtel</c:v>
                </c:pt>
                <c:pt idx="4">
                  <c:v>MTN Nigeria</c:v>
                </c:pt>
              </c:strCache>
            </c:strRef>
          </c:cat>
          <c:val>
            <c:numRef>
              <c:f>'Key debates'!$B$19:$B$23</c:f>
              <c:numCache>
                <c:formatCode>0.0%</c:formatCode>
                <c:ptCount val="5"/>
                <c:pt idx="0">
                  <c:v>-5.8205294507452831E-8</c:v>
                </c:pt>
                <c:pt idx="1">
                  <c:v>0.23665361500580995</c:v>
                </c:pt>
                <c:pt idx="2">
                  <c:v>0.2428154612930922</c:v>
                </c:pt>
                <c:pt idx="3">
                  <c:v>5397818.3999999994</c:v>
                </c:pt>
                <c:pt idx="4" formatCode="0.00%">
                  <c:v>0.20691679428279736</c:v>
                </c:pt>
              </c:numCache>
            </c:numRef>
          </c:val>
          <c:extLst>
            <c:ext xmlns:c16="http://schemas.microsoft.com/office/drawing/2014/chart" uri="{C3380CC4-5D6E-409C-BE32-E72D297353CC}">
              <c16:uniqueId val="{00000000-3986-46D0-AB5C-D51B6040D9C4}"/>
            </c:ext>
          </c:extLst>
        </c:ser>
        <c:dLbls>
          <c:showLegendKey val="0"/>
          <c:showVal val="0"/>
          <c:showCatName val="0"/>
          <c:showSerName val="0"/>
          <c:showPercent val="0"/>
          <c:showBubbleSize val="0"/>
        </c:dLbls>
        <c:gapWidth val="219"/>
        <c:overlap val="-27"/>
        <c:axId val="1638982120"/>
        <c:axId val="1638984088"/>
      </c:barChart>
      <c:catAx>
        <c:axId val="1638982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638984088"/>
        <c:crosses val="autoZero"/>
        <c:auto val="1"/>
        <c:lblAlgn val="ctr"/>
        <c:lblOffset val="100"/>
        <c:noMultiLvlLbl val="0"/>
      </c:catAx>
      <c:valAx>
        <c:axId val="1638984088"/>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638982120"/>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Pt>
            <c:idx val="2"/>
            <c:invertIfNegative val="0"/>
            <c:bubble3D val="0"/>
            <c:spPr>
              <a:solidFill>
                <a:srgbClr val="FF0000"/>
              </a:solidFill>
              <a:ln w="25400">
                <a:noFill/>
              </a:ln>
              <a:effectLst/>
            </c:spPr>
            <c:extLst>
              <c:ext xmlns:c16="http://schemas.microsoft.com/office/drawing/2014/chart" uri="{C3380CC4-5D6E-409C-BE32-E72D297353CC}">
                <c16:uniqueId val="{00000002-159C-4F1B-97C6-C115C230E4E4}"/>
              </c:ext>
            </c:extLst>
          </c:dPt>
          <c:dPt>
            <c:idx val="3"/>
            <c:invertIfNegative val="0"/>
            <c:bubble3D val="0"/>
            <c:spPr>
              <a:solidFill>
                <a:srgbClr val="FF0000"/>
              </a:solidFill>
              <a:ln w="25400">
                <a:noFill/>
              </a:ln>
              <a:effectLst/>
            </c:spPr>
            <c:extLst>
              <c:ext xmlns:c16="http://schemas.microsoft.com/office/drawing/2014/chart" uri="{C3380CC4-5D6E-409C-BE32-E72D297353CC}">
                <c16:uniqueId val="{00000003-159C-4F1B-97C6-C115C230E4E4}"/>
              </c:ext>
            </c:extLst>
          </c:dPt>
          <c:cat>
            <c:strRef>
              <c:f>Sheet2!$A$57:$A$71</c:f>
              <c:strCache>
                <c:ptCount val="15"/>
                <c:pt idx="0">
                  <c:v>China Tower</c:v>
                </c:pt>
                <c:pt idx="1">
                  <c:v>Indus Tower</c:v>
                </c:pt>
                <c:pt idx="2">
                  <c:v>IHS (bottom)</c:v>
                </c:pt>
                <c:pt idx="3">
                  <c:v>HIS (top of range</c:v>
                </c:pt>
                <c:pt idx="4">
                  <c:v>Telesites</c:v>
                </c:pt>
                <c:pt idx="5">
                  <c:v>Sarana Menara</c:v>
                </c:pt>
                <c:pt idx="6">
                  <c:v>Helios</c:v>
                </c:pt>
                <c:pt idx="7">
                  <c:v>Eaton (2019)</c:v>
                </c:pt>
                <c:pt idx="8">
                  <c:v>Tower Bersama</c:v>
                </c:pt>
                <c:pt idx="9">
                  <c:v>Crown Castle</c:v>
                </c:pt>
                <c:pt idx="10">
                  <c:v>Vantage Towers</c:v>
                </c:pt>
                <c:pt idx="11">
                  <c:v>Inwit</c:v>
                </c:pt>
                <c:pt idx="12">
                  <c:v>American Tower</c:v>
                </c:pt>
                <c:pt idx="13">
                  <c:v>SBA </c:v>
                </c:pt>
                <c:pt idx="14">
                  <c:v>Cellnex</c:v>
                </c:pt>
              </c:strCache>
            </c:strRef>
          </c:cat>
          <c:val>
            <c:numRef>
              <c:f>Sheet2!$B$57:$B$71</c:f>
              <c:numCache>
                <c:formatCode>_-* #,##0_-;\-* #,##0_-;_-* "-"??_-;_-@_-</c:formatCode>
                <c:ptCount val="15"/>
                <c:pt idx="0">
                  <c:v>3.4939685461859535</c:v>
                </c:pt>
                <c:pt idx="1">
                  <c:v>6.992197289281143</c:v>
                </c:pt>
                <c:pt idx="2" formatCode="General">
                  <c:v>9.5</c:v>
                </c:pt>
                <c:pt idx="3" formatCode="General">
                  <c:v>10.7</c:v>
                </c:pt>
                <c:pt idx="4">
                  <c:v>10.896275464543365</c:v>
                </c:pt>
                <c:pt idx="5">
                  <c:v>11.262119595180938</c:v>
                </c:pt>
                <c:pt idx="6" formatCode="General">
                  <c:v>11.9</c:v>
                </c:pt>
                <c:pt idx="7" formatCode="General">
                  <c:v>12.3</c:v>
                </c:pt>
                <c:pt idx="8">
                  <c:v>16.297610627235702</c:v>
                </c:pt>
                <c:pt idx="9">
                  <c:v>21.881344230525915</c:v>
                </c:pt>
                <c:pt idx="10">
                  <c:v>22.006635527299796</c:v>
                </c:pt>
                <c:pt idx="11">
                  <c:v>22.351469902137406</c:v>
                </c:pt>
                <c:pt idx="12">
                  <c:v>25.357956260506615</c:v>
                </c:pt>
                <c:pt idx="13">
                  <c:v>31.707129464907037</c:v>
                </c:pt>
                <c:pt idx="14">
                  <c:v>40.468395234804547</c:v>
                </c:pt>
              </c:numCache>
            </c:numRef>
          </c:val>
          <c:extLst>
            <c:ext xmlns:c16="http://schemas.microsoft.com/office/drawing/2014/chart" uri="{C3380CC4-5D6E-409C-BE32-E72D297353CC}">
              <c16:uniqueId val="{00000000-159C-4F1B-97C6-C115C230E4E4}"/>
            </c:ext>
          </c:extLst>
        </c:ser>
        <c:dLbls>
          <c:showLegendKey val="0"/>
          <c:showVal val="0"/>
          <c:showCatName val="0"/>
          <c:showSerName val="0"/>
          <c:showPercent val="0"/>
          <c:showBubbleSize val="0"/>
        </c:dLbls>
        <c:gapWidth val="150"/>
        <c:axId val="1422816367"/>
        <c:axId val="1422807215"/>
      </c:barChart>
      <c:catAx>
        <c:axId val="1422816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422807215"/>
        <c:crosses val="autoZero"/>
        <c:auto val="1"/>
        <c:lblAlgn val="ctr"/>
        <c:lblOffset val="100"/>
        <c:noMultiLvlLbl val="0"/>
      </c:catAx>
      <c:valAx>
        <c:axId val="1422807215"/>
        <c:scaling>
          <c:orientation val="minMax"/>
        </c:scaling>
        <c:delete val="0"/>
        <c:axPos val="l"/>
        <c:majorGridlines>
          <c:spPr>
            <a:ln w="3175" cap="flat" cmpd="sng" algn="ctr">
              <a:solidFill>
                <a:srgbClr val="C0C0C0"/>
              </a:solidFill>
              <a:prstDash val="solid"/>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422816367"/>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'Tower contract differences'!$A$13</c:f>
              <c:strCache>
                <c:ptCount val="1"/>
                <c:pt idx="0">
                  <c:v>Capex</c:v>
                </c:pt>
              </c:strCache>
            </c:strRef>
          </c:tx>
          <c:spPr>
            <a:solidFill>
              <a:srgbClr val="000080"/>
            </a:solidFill>
            <a:ln w="25400">
              <a:noFill/>
            </a:ln>
            <a:effectLst/>
          </c:spPr>
          <c:invertIfNegative val="0"/>
          <c:cat>
            <c:strRef>
              <c:f>'Tower contract differences'!$C$12:$H$12</c:f>
              <c:strCache>
                <c:ptCount val="6"/>
                <c:pt idx="0">
                  <c:v>IHS Africa</c:v>
                </c:pt>
                <c:pt idx="1">
                  <c:v>Indonesia</c:v>
                </c:pt>
                <c:pt idx="2">
                  <c:v>USA</c:v>
                </c:pt>
                <c:pt idx="3">
                  <c:v>W Eur</c:v>
                </c:pt>
                <c:pt idx="4">
                  <c:v>India</c:v>
                </c:pt>
                <c:pt idx="5">
                  <c:v>China</c:v>
                </c:pt>
              </c:strCache>
            </c:strRef>
          </c:cat>
          <c:val>
            <c:numRef>
              <c:f>'Tower contract differences'!$C$13:$H$13</c:f>
              <c:numCache>
                <c:formatCode>General</c:formatCode>
                <c:ptCount val="6"/>
                <c:pt idx="0">
                  <c:v>100000</c:v>
                </c:pt>
                <c:pt idx="1">
                  <c:v>50000</c:v>
                </c:pt>
                <c:pt idx="2">
                  <c:v>250000</c:v>
                </c:pt>
                <c:pt idx="3">
                  <c:v>80000</c:v>
                </c:pt>
                <c:pt idx="4">
                  <c:v>35000</c:v>
                </c:pt>
                <c:pt idx="5">
                  <c:v>35000</c:v>
                </c:pt>
              </c:numCache>
            </c:numRef>
          </c:val>
          <c:extLst>
            <c:ext xmlns:c16="http://schemas.microsoft.com/office/drawing/2014/chart" uri="{C3380CC4-5D6E-409C-BE32-E72D297353CC}">
              <c16:uniqueId val="{00000000-34A5-4E27-92A2-504622527BE8}"/>
            </c:ext>
          </c:extLst>
        </c:ser>
        <c:dLbls>
          <c:showLegendKey val="0"/>
          <c:showVal val="0"/>
          <c:showCatName val="0"/>
          <c:showSerName val="0"/>
          <c:showPercent val="0"/>
          <c:showBubbleSize val="0"/>
        </c:dLbls>
        <c:gapWidth val="219"/>
        <c:overlap val="-27"/>
        <c:axId val="2136382992"/>
        <c:axId val="2136377416"/>
      </c:barChart>
      <c:catAx>
        <c:axId val="213638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136377416"/>
        <c:crosses val="autoZero"/>
        <c:auto val="1"/>
        <c:lblAlgn val="ctr"/>
        <c:lblOffset val="100"/>
        <c:noMultiLvlLbl val="0"/>
      </c:catAx>
      <c:valAx>
        <c:axId val="2136377416"/>
        <c:scaling>
          <c:orientation val="minMax"/>
        </c:scaling>
        <c:delete val="0"/>
        <c:axPos val="l"/>
        <c:majorGridlines>
          <c:spPr>
            <a:ln w="3175" cap="flat" cmpd="sng" algn="ctr">
              <a:solidFill>
                <a:srgbClr val="C0C0C0"/>
              </a:solidFill>
              <a:prstDash val="solid"/>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136382992"/>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PG!$A$54</c:f>
              <c:strCache>
                <c:ptCount val="1"/>
                <c:pt idx="0">
                  <c:v>Capex </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PG!$B$53:$O$53</c:f>
              <c:numCache>
                <c:formatCode>General</c:formatCode>
                <c:ptCount val="1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numCache>
            </c:numRef>
          </c:cat>
          <c:val>
            <c:numRef>
              <c:f>PG!$B$54:$O$54</c:f>
              <c:numCache>
                <c:formatCode>General</c:formatCode>
                <c:ptCount val="14"/>
                <c:pt idx="0">
                  <c:v>-110</c:v>
                </c:pt>
                <c:pt idx="1">
                  <c:v>-82</c:v>
                </c:pt>
                <c:pt idx="2">
                  <c:v>-23</c:v>
                </c:pt>
              </c:numCache>
            </c:numRef>
          </c:val>
          <c:extLst>
            <c:ext xmlns:c16="http://schemas.microsoft.com/office/drawing/2014/chart" uri="{C3380CC4-5D6E-409C-BE32-E72D297353CC}">
              <c16:uniqueId val="{00000000-5963-442D-B411-2A1DD92D3716}"/>
            </c:ext>
          </c:extLst>
        </c:ser>
        <c:ser>
          <c:idx val="1"/>
          <c:order val="1"/>
          <c:tx>
            <c:strRef>
              <c:f>PG!$A$55</c:f>
              <c:strCache>
                <c:ptCount val="1"/>
                <c:pt idx="0">
                  <c:v>Annual RLFCF savings</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PG!$B$53:$O$53</c:f>
              <c:numCache>
                <c:formatCode>General</c:formatCode>
                <c:ptCount val="1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numCache>
            </c:numRef>
          </c:cat>
          <c:val>
            <c:numRef>
              <c:f>PG!$B$55:$O$55</c:f>
              <c:numCache>
                <c:formatCode>General</c:formatCode>
                <c:ptCount val="14"/>
                <c:pt idx="1">
                  <c:v>22</c:v>
                </c:pt>
                <c:pt idx="2">
                  <c:v>51</c:v>
                </c:pt>
                <c:pt idx="3">
                  <c:v>77</c:v>
                </c:pt>
                <c:pt idx="4">
                  <c:v>77</c:v>
                </c:pt>
                <c:pt idx="5">
                  <c:v>77</c:v>
                </c:pt>
                <c:pt idx="6">
                  <c:v>77</c:v>
                </c:pt>
                <c:pt idx="7">
                  <c:v>77</c:v>
                </c:pt>
                <c:pt idx="8">
                  <c:v>77</c:v>
                </c:pt>
                <c:pt idx="9">
                  <c:v>77</c:v>
                </c:pt>
                <c:pt idx="10">
                  <c:v>77</c:v>
                </c:pt>
                <c:pt idx="11">
                  <c:v>77</c:v>
                </c:pt>
                <c:pt idx="12">
                  <c:v>77</c:v>
                </c:pt>
                <c:pt idx="13">
                  <c:v>77</c:v>
                </c:pt>
              </c:numCache>
            </c:numRef>
          </c:val>
          <c:extLst>
            <c:ext xmlns:c16="http://schemas.microsoft.com/office/drawing/2014/chart" uri="{C3380CC4-5D6E-409C-BE32-E72D297353CC}">
              <c16:uniqueId val="{00000001-5963-442D-B411-2A1DD92D3716}"/>
            </c:ext>
          </c:extLst>
        </c:ser>
        <c:dLbls>
          <c:dLblPos val="inEnd"/>
          <c:showLegendKey val="0"/>
          <c:showVal val="1"/>
          <c:showCatName val="0"/>
          <c:showSerName val="0"/>
          <c:showPercent val="0"/>
          <c:showBubbleSize val="0"/>
        </c:dLbls>
        <c:gapWidth val="30"/>
        <c:overlap val="100"/>
        <c:axId val="1495160607"/>
        <c:axId val="1495161855"/>
        <c:extLst/>
      </c:bar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spPr>
            <a:solidFill>
              <a:srgbClr val="263238"/>
            </a:solidFill>
            <a:ln>
              <a:noFill/>
            </a:ln>
            <a:effectLst/>
          </c:spPr>
          <c:invertIfNegative val="0"/>
          <c:dPt>
            <c:idx val="5"/>
            <c:invertIfNegative val="0"/>
            <c:bubble3D val="0"/>
            <c:spPr>
              <a:solidFill>
                <a:sysClr val="window" lastClr="FFFFFF">
                  <a:lumMod val="65000"/>
                </a:sysClr>
              </a:solidFill>
              <a:ln>
                <a:noFill/>
              </a:ln>
              <a:effectLst/>
            </c:spPr>
            <c:extLst>
              <c:ext xmlns:c16="http://schemas.microsoft.com/office/drawing/2014/chart" uri="{C3380CC4-5D6E-409C-BE32-E72D297353CC}">
                <c16:uniqueId val="{0000000C-70FD-4E2E-809E-4FBA7F070CFB}"/>
              </c:ext>
            </c:extLst>
          </c:dPt>
          <c:dPt>
            <c:idx val="6"/>
            <c:invertIfNegative val="0"/>
            <c:bubble3D val="0"/>
            <c:spPr>
              <a:solidFill>
                <a:sysClr val="window" lastClr="FFFFFF">
                  <a:lumMod val="65000"/>
                </a:sysClr>
              </a:solidFill>
              <a:ln>
                <a:noFill/>
              </a:ln>
              <a:effectLst/>
            </c:spPr>
            <c:extLst>
              <c:ext xmlns:c16="http://schemas.microsoft.com/office/drawing/2014/chart" uri="{C3380CC4-5D6E-409C-BE32-E72D297353CC}">
                <c16:uniqueId val="{0000000E-70FD-4E2E-809E-4FBA7F070CFB}"/>
              </c:ext>
            </c:extLst>
          </c:dPt>
          <c:dPt>
            <c:idx val="7"/>
            <c:invertIfNegative val="0"/>
            <c:bubble3D val="0"/>
            <c:spPr>
              <a:solidFill>
                <a:sysClr val="window" lastClr="FFFFFF">
                  <a:lumMod val="65000"/>
                </a:sysClr>
              </a:solidFill>
              <a:ln>
                <a:noFill/>
              </a:ln>
              <a:effectLst/>
            </c:spPr>
            <c:extLst>
              <c:ext xmlns:c16="http://schemas.microsoft.com/office/drawing/2014/chart" uri="{C3380CC4-5D6E-409C-BE32-E72D297353CC}">
                <c16:uniqueId val="{0000000D-70FD-4E2E-809E-4FBA7F070CFB}"/>
              </c:ext>
            </c:extLst>
          </c:dPt>
          <c:dPt>
            <c:idx val="8"/>
            <c:invertIfNegative val="0"/>
            <c:bubble3D val="0"/>
            <c:spPr>
              <a:solidFill>
                <a:sysClr val="window" lastClr="FFFFFF">
                  <a:lumMod val="65000"/>
                </a:sysClr>
              </a:solidFill>
              <a:ln>
                <a:noFill/>
              </a:ln>
              <a:effectLst/>
            </c:spPr>
            <c:extLst>
              <c:ext xmlns:c16="http://schemas.microsoft.com/office/drawing/2014/chart" uri="{C3380CC4-5D6E-409C-BE32-E72D297353CC}">
                <c16:uniqueId val="{0000000F-70FD-4E2E-809E-4FBA7F070CFB}"/>
              </c:ext>
            </c:extLst>
          </c:dPt>
          <c:dPt>
            <c:idx val="9"/>
            <c:invertIfNegative val="0"/>
            <c:bubble3D val="0"/>
            <c:spPr>
              <a:solidFill>
                <a:sysClr val="window" lastClr="FFFFFF">
                  <a:lumMod val="65000"/>
                </a:sysClr>
              </a:solidFill>
              <a:ln>
                <a:noFill/>
              </a:ln>
              <a:effectLst/>
            </c:spPr>
            <c:extLst>
              <c:ext xmlns:c16="http://schemas.microsoft.com/office/drawing/2014/chart" uri="{C3380CC4-5D6E-409C-BE32-E72D297353CC}">
                <c16:uniqueId val="{00000010-70FD-4E2E-809E-4FBA7F070CFB}"/>
              </c:ext>
            </c:extLst>
          </c:dPt>
          <c:dPt>
            <c:idx val="10"/>
            <c:invertIfNegative val="0"/>
            <c:bubble3D val="0"/>
            <c:spPr>
              <a:solidFill>
                <a:sysClr val="window" lastClr="FFFFFF">
                  <a:lumMod val="65000"/>
                </a:sysClr>
              </a:solidFill>
              <a:ln>
                <a:noFill/>
              </a:ln>
              <a:effectLst/>
            </c:spPr>
            <c:extLst>
              <c:ext xmlns:c16="http://schemas.microsoft.com/office/drawing/2014/chart" uri="{C3380CC4-5D6E-409C-BE32-E72D297353CC}">
                <c16:uniqueId val="{00000011-70FD-4E2E-809E-4FBA7F070CFB}"/>
              </c:ext>
            </c:extLst>
          </c:dPt>
          <c:dPt>
            <c:idx val="11"/>
            <c:invertIfNegative val="0"/>
            <c:bubble3D val="0"/>
            <c:spPr>
              <a:solidFill>
                <a:sysClr val="window" lastClr="FFFFFF">
                  <a:lumMod val="65000"/>
                </a:sysClr>
              </a:solidFill>
              <a:ln>
                <a:noFill/>
              </a:ln>
              <a:effectLst/>
            </c:spPr>
            <c:extLst>
              <c:ext xmlns:c16="http://schemas.microsoft.com/office/drawing/2014/chart" uri="{C3380CC4-5D6E-409C-BE32-E72D297353CC}">
                <c16:uniqueId val="{0000000D-EFFA-4457-B8BD-E2B8F0280216}"/>
              </c:ext>
            </c:extLst>
          </c:dPt>
          <c:dLbls>
            <c:dLbl>
              <c:idx val="1"/>
              <c:tx>
                <c:rich>
                  <a:bodyPr/>
                  <a:lstStyle/>
                  <a:p>
                    <a:r>
                      <a:rPr lang="en-US"/>
                      <a:t>$</a:t>
                    </a:r>
                    <a:fld id="{2AAEDFB0-4EA2-4CF6-8418-6A780FFA8CF7}" type="VALUE">
                      <a:rPr lang="en-US"/>
                      <a:pPr/>
                      <a:t>[VALUE]</a:t>
                    </a:fld>
                    <a:endParaRPr lang="en-US"/>
                  </a:p>
                </c:rich>
              </c:tx>
              <c:dLblPos val="in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4-70FD-4E2E-809E-4FBA7F070CFB}"/>
                </c:ext>
              </c:extLst>
            </c:dLbl>
            <c:dLbl>
              <c:idx val="2"/>
              <c:tx>
                <c:rich>
                  <a:bodyPr/>
                  <a:lstStyle/>
                  <a:p>
                    <a:r>
                      <a:rPr lang="en-US"/>
                      <a:t>$</a:t>
                    </a:r>
                    <a:fld id="{900F6042-DB65-419A-B010-BD1A904E8034}" type="VALUE">
                      <a:rPr lang="en-US"/>
                      <a:pPr/>
                      <a:t>[VALUE]</a:t>
                    </a:fld>
                    <a:endParaRPr lang="en-US"/>
                  </a:p>
                </c:rich>
              </c:tx>
              <c:dLblPos val="in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70FD-4E2E-809E-4FBA7F070CFB}"/>
                </c:ext>
              </c:extLst>
            </c:dLbl>
            <c:dLbl>
              <c:idx val="3"/>
              <c:tx>
                <c:rich>
                  <a:bodyPr/>
                  <a:lstStyle/>
                  <a:p>
                    <a:r>
                      <a:rPr lang="en-US"/>
                      <a:t>$</a:t>
                    </a:r>
                    <a:fld id="{8F8B9787-91AA-46C6-8EEF-B30B49C95CF3}" type="VALUE">
                      <a:rPr lang="en-US"/>
                      <a:pPr/>
                      <a:t>[VALUE]</a:t>
                    </a:fld>
                    <a:endParaRPr lang="en-US"/>
                  </a:p>
                </c:rich>
              </c:tx>
              <c:dLblPos val="in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6-70FD-4E2E-809E-4FBA7F070CFB}"/>
                </c:ext>
              </c:extLst>
            </c:dLbl>
            <c:dLbl>
              <c:idx val="4"/>
              <c:tx>
                <c:rich>
                  <a:bodyPr/>
                  <a:lstStyle/>
                  <a:p>
                    <a:r>
                      <a:rPr lang="en-US"/>
                      <a:t>$</a:t>
                    </a:r>
                    <a:fld id="{624246F9-0A74-4C37-AC0C-37DBC8A67F59}" type="VALUE">
                      <a:rPr lang="en-US"/>
                      <a:pPr/>
                      <a:t>[VALUE]</a:t>
                    </a:fld>
                    <a:endParaRPr lang="en-US"/>
                  </a:p>
                </c:rich>
              </c:tx>
              <c:dLblPos val="in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7-70FD-4E2E-809E-4FBA7F070CFB}"/>
                </c:ext>
              </c:extLst>
            </c:dLbl>
            <c:dLbl>
              <c:idx val="5"/>
              <c:delete val="1"/>
              <c:extLst>
                <c:ext xmlns:c15="http://schemas.microsoft.com/office/drawing/2012/chart" uri="{CE6537A1-D6FC-4f65-9D91-7224C49458BB}"/>
                <c:ext xmlns:c16="http://schemas.microsoft.com/office/drawing/2014/chart" uri="{C3380CC4-5D6E-409C-BE32-E72D297353CC}">
                  <c16:uniqueId val="{0000000C-70FD-4E2E-809E-4FBA7F070CFB}"/>
                </c:ext>
              </c:extLst>
            </c:dLbl>
            <c:dLbl>
              <c:idx val="6"/>
              <c:delete val="1"/>
              <c:extLst>
                <c:ext xmlns:c15="http://schemas.microsoft.com/office/drawing/2012/chart" uri="{CE6537A1-D6FC-4f65-9D91-7224C49458BB}"/>
                <c:ext xmlns:c16="http://schemas.microsoft.com/office/drawing/2014/chart" uri="{C3380CC4-5D6E-409C-BE32-E72D297353CC}">
                  <c16:uniqueId val="{0000000E-70FD-4E2E-809E-4FBA7F070CFB}"/>
                </c:ext>
              </c:extLst>
            </c:dLbl>
            <c:dLbl>
              <c:idx val="7"/>
              <c:delete val="1"/>
              <c:extLst>
                <c:ext xmlns:c15="http://schemas.microsoft.com/office/drawing/2012/chart" uri="{CE6537A1-D6FC-4f65-9D91-7224C49458BB}"/>
                <c:ext xmlns:c16="http://schemas.microsoft.com/office/drawing/2014/chart" uri="{C3380CC4-5D6E-409C-BE32-E72D297353CC}">
                  <c16:uniqueId val="{0000000D-70FD-4E2E-809E-4FBA7F070CFB}"/>
                </c:ext>
              </c:extLst>
            </c:dLbl>
            <c:dLbl>
              <c:idx val="8"/>
              <c:delete val="1"/>
              <c:extLst>
                <c:ext xmlns:c15="http://schemas.microsoft.com/office/drawing/2012/chart" uri="{CE6537A1-D6FC-4f65-9D91-7224C49458BB}"/>
                <c:ext xmlns:c16="http://schemas.microsoft.com/office/drawing/2014/chart" uri="{C3380CC4-5D6E-409C-BE32-E72D297353CC}">
                  <c16:uniqueId val="{0000000F-70FD-4E2E-809E-4FBA7F070CFB}"/>
                </c:ext>
              </c:extLst>
            </c:dLbl>
            <c:dLbl>
              <c:idx val="9"/>
              <c:delete val="1"/>
              <c:extLst>
                <c:ext xmlns:c15="http://schemas.microsoft.com/office/drawing/2012/chart" uri="{CE6537A1-D6FC-4f65-9D91-7224C49458BB}"/>
                <c:ext xmlns:c16="http://schemas.microsoft.com/office/drawing/2014/chart" uri="{C3380CC4-5D6E-409C-BE32-E72D297353CC}">
                  <c16:uniqueId val="{00000010-70FD-4E2E-809E-4FBA7F070CFB}"/>
                </c:ext>
              </c:extLst>
            </c:dLbl>
            <c:dLbl>
              <c:idx val="10"/>
              <c:delete val="1"/>
              <c:extLst>
                <c:ext xmlns:c15="http://schemas.microsoft.com/office/drawing/2012/chart" uri="{CE6537A1-D6FC-4f65-9D91-7224C49458BB}"/>
                <c:ext xmlns:c16="http://schemas.microsoft.com/office/drawing/2014/chart" uri="{C3380CC4-5D6E-409C-BE32-E72D297353CC}">
                  <c16:uniqueId val="{00000011-70FD-4E2E-809E-4FBA7F070CFB}"/>
                </c:ext>
              </c:extLst>
            </c:dLbl>
            <c:dLbl>
              <c:idx val="11"/>
              <c:delete val="1"/>
              <c:extLst>
                <c:ext xmlns:c15="http://schemas.microsoft.com/office/drawing/2012/chart" uri="{CE6537A1-D6FC-4f65-9D91-7224C49458BB}"/>
                <c:ext xmlns:c16="http://schemas.microsoft.com/office/drawing/2014/chart" uri="{C3380CC4-5D6E-409C-BE32-E72D297353CC}">
                  <c16:uniqueId val="{0000000D-EFFA-4457-B8BD-E2B8F0280216}"/>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PG!$B$152:$M$152</c:f>
              <c:strCache>
                <c:ptCount val="12"/>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strCache>
            </c:strRef>
          </c:cat>
          <c:val>
            <c:numRef>
              <c:f>PG!$B$153:$M$153</c:f>
              <c:numCache>
                <c:formatCode>#,##0</c:formatCode>
                <c:ptCount val="12"/>
                <c:pt idx="0">
                  <c:v>991</c:v>
                </c:pt>
                <c:pt idx="1">
                  <c:v>821</c:v>
                </c:pt>
                <c:pt idx="2">
                  <c:v>812</c:v>
                </c:pt>
                <c:pt idx="3">
                  <c:v>795</c:v>
                </c:pt>
                <c:pt idx="4">
                  <c:v>695</c:v>
                </c:pt>
                <c:pt idx="5">
                  <c:v>695</c:v>
                </c:pt>
                <c:pt idx="6">
                  <c:v>695</c:v>
                </c:pt>
                <c:pt idx="7">
                  <c:v>695</c:v>
                </c:pt>
                <c:pt idx="8">
                  <c:v>695</c:v>
                </c:pt>
                <c:pt idx="9">
                  <c:v>695</c:v>
                </c:pt>
                <c:pt idx="10">
                  <c:v>695</c:v>
                </c:pt>
                <c:pt idx="11">
                  <c:v>695</c:v>
                </c:pt>
              </c:numCache>
            </c:numRef>
          </c:val>
          <c:extLst>
            <c:ext xmlns:c16="http://schemas.microsoft.com/office/drawing/2014/chart" uri="{C3380CC4-5D6E-409C-BE32-E72D297353CC}">
              <c16:uniqueId val="{00000000-3AC6-476A-8876-8B65B738C694}"/>
            </c:ext>
          </c:extLst>
        </c:ser>
        <c:dLbls>
          <c:showLegendKey val="0"/>
          <c:showVal val="0"/>
          <c:showCatName val="0"/>
          <c:showSerName val="0"/>
          <c:showPercent val="0"/>
          <c:showBubbleSize val="0"/>
        </c:dLbls>
        <c:gapWidth val="30"/>
        <c:overlap val="10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Sheet1!$B$2</c:f>
              <c:strCache>
                <c:ptCount val="1"/>
                <c:pt idx="0">
                  <c:v>IHS</c:v>
                </c:pt>
              </c:strCache>
            </c:strRef>
          </c:tx>
          <c:spPr>
            <a:solidFill>
              <a:srgbClr val="000080"/>
            </a:solidFill>
            <a:ln w="25400">
              <a:noFill/>
            </a:ln>
            <a:effectLst/>
          </c:spPr>
          <c:invertIfNegative val="0"/>
          <c:cat>
            <c:strRef>
              <c:f>Sheet1!$A$3:$A$5</c:f>
              <c:strCache>
                <c:ptCount val="3"/>
                <c:pt idx="0">
                  <c:v>Low</c:v>
                </c:pt>
                <c:pt idx="1">
                  <c:v>Mid</c:v>
                </c:pt>
                <c:pt idx="2">
                  <c:v>High</c:v>
                </c:pt>
              </c:strCache>
            </c:strRef>
          </c:cat>
          <c:val>
            <c:numRef>
              <c:f>Sheet1!$B$3:$B$5</c:f>
              <c:numCache>
                <c:formatCode>General</c:formatCode>
                <c:ptCount val="3"/>
                <c:pt idx="0">
                  <c:v>8.3000000000000007</c:v>
                </c:pt>
                <c:pt idx="1">
                  <c:v>8.9</c:v>
                </c:pt>
                <c:pt idx="2">
                  <c:v>9.4</c:v>
                </c:pt>
              </c:numCache>
            </c:numRef>
          </c:val>
          <c:extLst>
            <c:ext xmlns:c16="http://schemas.microsoft.com/office/drawing/2014/chart" uri="{C3380CC4-5D6E-409C-BE32-E72D297353CC}">
              <c16:uniqueId val="{00000000-B9F2-4AE3-9573-5ACAB3707875}"/>
            </c:ext>
          </c:extLst>
        </c:ser>
        <c:ser>
          <c:idx val="1"/>
          <c:order val="1"/>
          <c:tx>
            <c:strRef>
              <c:f>Sheet1!$C$2</c:f>
              <c:strCache>
                <c:ptCount val="1"/>
                <c:pt idx="0">
                  <c:v>Helios</c:v>
                </c:pt>
              </c:strCache>
            </c:strRef>
          </c:tx>
          <c:spPr>
            <a:solidFill>
              <a:srgbClr val="9999FF"/>
            </a:solidFill>
            <a:ln w="25400">
              <a:noFill/>
            </a:ln>
            <a:effectLst/>
          </c:spPr>
          <c:invertIfNegative val="0"/>
          <c:cat>
            <c:strRef>
              <c:f>Sheet1!$A$3:$A$5</c:f>
              <c:strCache>
                <c:ptCount val="3"/>
                <c:pt idx="0">
                  <c:v>Low</c:v>
                </c:pt>
                <c:pt idx="1">
                  <c:v>Mid</c:v>
                </c:pt>
                <c:pt idx="2">
                  <c:v>High</c:v>
                </c:pt>
              </c:strCache>
            </c:strRef>
          </c:cat>
          <c:val>
            <c:numRef>
              <c:f>Sheet1!$C$3:$C$5</c:f>
              <c:numCache>
                <c:formatCode>General</c:formatCode>
                <c:ptCount val="3"/>
                <c:pt idx="0">
                  <c:v>10.6</c:v>
                </c:pt>
                <c:pt idx="1">
                  <c:v>10.6</c:v>
                </c:pt>
                <c:pt idx="2">
                  <c:v>10.6</c:v>
                </c:pt>
              </c:numCache>
            </c:numRef>
          </c:val>
          <c:extLst>
            <c:ext xmlns:c16="http://schemas.microsoft.com/office/drawing/2014/chart" uri="{C3380CC4-5D6E-409C-BE32-E72D297353CC}">
              <c16:uniqueId val="{00000001-B9F2-4AE3-9573-5ACAB3707875}"/>
            </c:ext>
          </c:extLst>
        </c:ser>
        <c:dLbls>
          <c:showLegendKey val="0"/>
          <c:showVal val="0"/>
          <c:showCatName val="0"/>
          <c:showSerName val="0"/>
          <c:showPercent val="0"/>
          <c:showBubbleSize val="0"/>
        </c:dLbls>
        <c:gapWidth val="219"/>
        <c:overlap val="-27"/>
        <c:axId val="1426108799"/>
        <c:axId val="1426103807"/>
      </c:barChart>
      <c:catAx>
        <c:axId val="1426108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426103807"/>
        <c:crosses val="autoZero"/>
        <c:auto val="1"/>
        <c:lblAlgn val="ctr"/>
        <c:lblOffset val="100"/>
        <c:noMultiLvlLbl val="0"/>
      </c:catAx>
      <c:valAx>
        <c:axId val="1426103807"/>
        <c:scaling>
          <c:orientation val="minMax"/>
        </c:scaling>
        <c:delete val="0"/>
        <c:axPos val="l"/>
        <c:majorGridlines>
          <c:spPr>
            <a:ln w="3175" cap="flat" cmpd="sng" algn="ctr">
              <a:solidFill>
                <a:srgbClr val="C0C0C0"/>
              </a:solidFill>
              <a:prstDash val="solid"/>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426108799"/>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Sheet1!$A$91</c:f>
              <c:strCache>
                <c:ptCount val="1"/>
                <c:pt idx="0">
                  <c:v>US $ revenue growth</c:v>
                </c:pt>
              </c:strCache>
            </c:strRef>
          </c:tx>
          <c:spPr>
            <a:ln w="25400" cap="rnd">
              <a:solidFill>
                <a:srgbClr val="333399"/>
              </a:solidFill>
              <a:prstDash val="solid"/>
              <a:round/>
            </a:ln>
            <a:effectLst/>
          </c:spPr>
          <c:marker>
            <c:symbol val="none"/>
          </c:marker>
          <c:cat>
            <c:strRef>
              <c:f>Sheet1!$F$90:$P$90</c:f>
              <c:strCache>
                <c:ptCount val="11"/>
                <c:pt idx="0">
                  <c:v>2020</c:v>
                </c:pt>
                <c:pt idx="1">
                  <c:v>2021</c:v>
                </c:pt>
                <c:pt idx="2">
                  <c:v>2022</c:v>
                </c:pt>
                <c:pt idx="3">
                  <c:v>2023</c:v>
                </c:pt>
                <c:pt idx="4">
                  <c:v>2024</c:v>
                </c:pt>
                <c:pt idx="5">
                  <c:v>2025E</c:v>
                </c:pt>
                <c:pt idx="6">
                  <c:v>2026E</c:v>
                </c:pt>
                <c:pt idx="7">
                  <c:v>2027E</c:v>
                </c:pt>
                <c:pt idx="8">
                  <c:v>2028E</c:v>
                </c:pt>
                <c:pt idx="9">
                  <c:v>2029E</c:v>
                </c:pt>
                <c:pt idx="10">
                  <c:v>2030E</c:v>
                </c:pt>
              </c:strCache>
            </c:strRef>
          </c:cat>
          <c:val>
            <c:numRef>
              <c:f>Sheet1!$F$91:$P$91</c:f>
              <c:numCache>
                <c:formatCode>0.0%</c:formatCode>
                <c:ptCount val="11"/>
                <c:pt idx="0">
                  <c:v>0.13980030152974354</c:v>
                </c:pt>
                <c:pt idx="1">
                  <c:v>0.125839000312153</c:v>
                </c:pt>
                <c:pt idx="2">
                  <c:v>0.24154064302127609</c:v>
                </c:pt>
                <c:pt idx="3">
                  <c:v>8.3740418977422459E-2</c:v>
                </c:pt>
                <c:pt idx="4">
                  <c:v>-0.19492185276299323</c:v>
                </c:pt>
                <c:pt idx="5">
                  <c:v>8.2120939793539627E-3</c:v>
                </c:pt>
                <c:pt idx="6">
                  <c:v>4.0997523620556642E-2</c:v>
                </c:pt>
                <c:pt idx="7">
                  <c:v>6.8295621892227931E-2</c:v>
                </c:pt>
                <c:pt idx="8">
                  <c:v>6.0550987562172809E-2</c:v>
                </c:pt>
                <c:pt idx="9">
                  <c:v>6.0531691216210826E-2</c:v>
                </c:pt>
                <c:pt idx="10">
                  <c:v>5.8887607889704041E-2</c:v>
                </c:pt>
              </c:numCache>
            </c:numRef>
          </c:val>
          <c:smooth val="0"/>
          <c:extLst>
            <c:ext xmlns:c16="http://schemas.microsoft.com/office/drawing/2014/chart" uri="{C3380CC4-5D6E-409C-BE32-E72D297353CC}">
              <c16:uniqueId val="{00000000-482A-45E0-98AF-3D1E09933CA1}"/>
            </c:ext>
          </c:extLst>
        </c:ser>
        <c:dLbls>
          <c:showLegendKey val="0"/>
          <c:showVal val="0"/>
          <c:showCatName val="0"/>
          <c:showSerName val="0"/>
          <c:showPercent val="0"/>
          <c:showBubbleSize val="0"/>
        </c:dLbls>
        <c:smooth val="0"/>
        <c:axId val="795818816"/>
        <c:axId val="795815864"/>
      </c:lineChart>
      <c:catAx>
        <c:axId val="7958188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95815864"/>
        <c:crosses val="autoZero"/>
        <c:auto val="1"/>
        <c:lblAlgn val="ctr"/>
        <c:lblOffset val="100"/>
        <c:noMultiLvlLbl val="0"/>
      </c:catAx>
      <c:valAx>
        <c:axId val="795815864"/>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9581881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63238"/>
            </a:solidFill>
            <a:ln>
              <a:noFill/>
            </a:ln>
            <a:effectLst/>
          </c:spPr>
          <c:invertIfNegative val="0"/>
          <c:dLbls>
            <c:delete val="1"/>
          </c:dLbls>
          <c:cat>
            <c:strRef>
              <c:f>Sheet1!$F$97:$L$97</c:f>
              <c:strCache>
                <c:ptCount val="7"/>
                <c:pt idx="0">
                  <c:v>2020</c:v>
                </c:pt>
                <c:pt idx="1">
                  <c:v>2021</c:v>
                </c:pt>
                <c:pt idx="2">
                  <c:v>2022</c:v>
                </c:pt>
                <c:pt idx="3">
                  <c:v>2023</c:v>
                </c:pt>
                <c:pt idx="4">
                  <c:v>2024</c:v>
                </c:pt>
                <c:pt idx="5">
                  <c:v>2025E</c:v>
                </c:pt>
                <c:pt idx="6">
                  <c:v>2026E</c:v>
                </c:pt>
              </c:strCache>
            </c:strRef>
          </c:cat>
          <c:val>
            <c:numRef>
              <c:f>Sheet1!$F$98:$L$98</c:f>
              <c:numCache>
                <c:formatCode>_-* #,##0.0_-;\-* #,##0.0_-;_-* "-"??_-;_-@_-</c:formatCode>
                <c:ptCount val="7"/>
                <c:pt idx="0">
                  <c:v>2.3595933647043883</c:v>
                </c:pt>
                <c:pt idx="1">
                  <c:v>2.2330655572778819</c:v>
                </c:pt>
                <c:pt idx="2">
                  <c:v>3.3313250325290431</c:v>
                </c:pt>
                <c:pt idx="3">
                  <c:v>3.3720971095816026</c:v>
                </c:pt>
                <c:pt idx="4">
                  <c:v>3.578954795261291</c:v>
                </c:pt>
                <c:pt idx="5">
                  <c:v>3.0742022240562159</c:v>
                </c:pt>
                <c:pt idx="6">
                  <c:v>2.8206612176558945</c:v>
                </c:pt>
              </c:numCache>
            </c:numRef>
          </c:val>
          <c:extLst>
            <c:ext xmlns:c16="http://schemas.microsoft.com/office/drawing/2014/chart" uri="{C3380CC4-5D6E-409C-BE32-E72D297353CC}">
              <c16:uniqueId val="{00000000-CA30-4490-A323-0740DB4493C0}"/>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numFmt formatCode="_-* #,##0.0_-;\-* #,##0.0_-;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Pt>
            <c:idx val="2"/>
            <c:invertIfNegative val="0"/>
            <c:bubble3D val="0"/>
            <c:spPr>
              <a:solidFill>
                <a:srgbClr val="FF0000"/>
              </a:solidFill>
              <a:ln w="25400">
                <a:noFill/>
              </a:ln>
              <a:effectLst/>
            </c:spPr>
            <c:extLst>
              <c:ext xmlns:c16="http://schemas.microsoft.com/office/drawing/2014/chart" uri="{C3380CC4-5D6E-409C-BE32-E72D297353CC}">
                <c16:uniqueId val="{00000002-B872-4C9E-91A7-FAF04AC6E1F6}"/>
              </c:ext>
            </c:extLst>
          </c:dPt>
          <c:dPt>
            <c:idx val="3"/>
            <c:invertIfNegative val="0"/>
            <c:bubble3D val="0"/>
            <c:spPr>
              <a:solidFill>
                <a:srgbClr val="FF0000"/>
              </a:solidFill>
              <a:ln w="25400">
                <a:noFill/>
              </a:ln>
              <a:effectLst/>
            </c:spPr>
            <c:extLst>
              <c:ext xmlns:c16="http://schemas.microsoft.com/office/drawing/2014/chart" uri="{C3380CC4-5D6E-409C-BE32-E72D297353CC}">
                <c16:uniqueId val="{00000003-B872-4C9E-91A7-FAF04AC6E1F6}"/>
              </c:ext>
            </c:extLst>
          </c:dPt>
          <c:dPt>
            <c:idx val="7"/>
            <c:invertIfNegative val="0"/>
            <c:bubble3D val="0"/>
            <c:spPr>
              <a:pattFill prst="pct50">
                <a:fgClr>
                  <a:srgbClr val="FF0000"/>
                </a:fgClr>
                <a:bgClr>
                  <a:schemeClr val="bg1"/>
                </a:bgClr>
              </a:pattFill>
              <a:ln w="25400">
                <a:noFill/>
              </a:ln>
              <a:effectLst/>
            </c:spPr>
            <c:extLst>
              <c:ext xmlns:c16="http://schemas.microsoft.com/office/drawing/2014/chart" uri="{C3380CC4-5D6E-409C-BE32-E72D297353CC}">
                <c16:uniqueId val="{00000005-2391-4D81-A713-C8298771EDD7}"/>
              </c:ext>
            </c:extLst>
          </c:dPt>
          <c:cat>
            <c:strRef>
              <c:f>Sheet2!$A$75:$A$90</c:f>
              <c:strCache>
                <c:ptCount val="16"/>
                <c:pt idx="0">
                  <c:v>China Tower</c:v>
                </c:pt>
                <c:pt idx="1">
                  <c:v>Indus Tower</c:v>
                </c:pt>
                <c:pt idx="2">
                  <c:v>IHS (bottom)</c:v>
                </c:pt>
                <c:pt idx="3">
                  <c:v>HIS (top of range</c:v>
                </c:pt>
                <c:pt idx="4">
                  <c:v>Telesites</c:v>
                </c:pt>
                <c:pt idx="5">
                  <c:v>Sarana Menara</c:v>
                </c:pt>
                <c:pt idx="6">
                  <c:v>Helios</c:v>
                </c:pt>
                <c:pt idx="7">
                  <c:v>NSR valuation</c:v>
                </c:pt>
                <c:pt idx="8">
                  <c:v>Eaton (2019)</c:v>
                </c:pt>
                <c:pt idx="9">
                  <c:v>Tower Bersama</c:v>
                </c:pt>
                <c:pt idx="10">
                  <c:v>Crown Castle</c:v>
                </c:pt>
                <c:pt idx="11">
                  <c:v>Vantage Towers</c:v>
                </c:pt>
                <c:pt idx="12">
                  <c:v>Inwit</c:v>
                </c:pt>
                <c:pt idx="13">
                  <c:v>American Tower</c:v>
                </c:pt>
                <c:pt idx="14">
                  <c:v>SBA </c:v>
                </c:pt>
                <c:pt idx="15">
                  <c:v>Cellnex</c:v>
                </c:pt>
              </c:strCache>
            </c:strRef>
          </c:cat>
          <c:val>
            <c:numRef>
              <c:f>Sheet2!$B$75:$B$90</c:f>
              <c:numCache>
                <c:formatCode>_-* #,##0_-;\-* #,##0_-;_-* "-"??_-;_-@_-</c:formatCode>
                <c:ptCount val="16"/>
                <c:pt idx="0">
                  <c:v>3.4939685461859535</c:v>
                </c:pt>
                <c:pt idx="1">
                  <c:v>6.992197289281143</c:v>
                </c:pt>
                <c:pt idx="2" formatCode="General">
                  <c:v>9.1</c:v>
                </c:pt>
                <c:pt idx="3" formatCode="General">
                  <c:v>10.1</c:v>
                </c:pt>
                <c:pt idx="4">
                  <c:v>10.896275464543365</c:v>
                </c:pt>
                <c:pt idx="5">
                  <c:v>11.262119595180938</c:v>
                </c:pt>
                <c:pt idx="6" formatCode="General">
                  <c:v>11.9</c:v>
                </c:pt>
                <c:pt idx="7" formatCode="General">
                  <c:v>12</c:v>
                </c:pt>
                <c:pt idx="8" formatCode="General">
                  <c:v>12.3</c:v>
                </c:pt>
                <c:pt idx="9">
                  <c:v>16.297610627235702</c:v>
                </c:pt>
                <c:pt idx="10">
                  <c:v>21.881344230525915</c:v>
                </c:pt>
                <c:pt idx="11">
                  <c:v>22.006635527299796</c:v>
                </c:pt>
                <c:pt idx="12">
                  <c:v>22.351469902137406</c:v>
                </c:pt>
                <c:pt idx="13">
                  <c:v>25.357956260506615</c:v>
                </c:pt>
                <c:pt idx="14">
                  <c:v>31.707129464907037</c:v>
                </c:pt>
                <c:pt idx="15">
                  <c:v>40.468395234804547</c:v>
                </c:pt>
              </c:numCache>
            </c:numRef>
          </c:val>
          <c:extLst>
            <c:ext xmlns:c16="http://schemas.microsoft.com/office/drawing/2014/chart" uri="{C3380CC4-5D6E-409C-BE32-E72D297353CC}">
              <c16:uniqueId val="{00000000-B872-4C9E-91A7-FAF04AC6E1F6}"/>
            </c:ext>
          </c:extLst>
        </c:ser>
        <c:dLbls>
          <c:showLegendKey val="0"/>
          <c:showVal val="0"/>
          <c:showCatName val="0"/>
          <c:showSerName val="0"/>
          <c:showPercent val="0"/>
          <c:showBubbleSize val="0"/>
        </c:dLbls>
        <c:gapWidth val="150"/>
        <c:axId val="1613413711"/>
        <c:axId val="1613436591"/>
      </c:barChart>
      <c:catAx>
        <c:axId val="16134137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613436591"/>
        <c:crosses val="autoZero"/>
        <c:auto val="1"/>
        <c:lblAlgn val="ctr"/>
        <c:lblOffset val="100"/>
        <c:noMultiLvlLbl val="0"/>
      </c:catAx>
      <c:valAx>
        <c:axId val="1613436591"/>
        <c:scaling>
          <c:orientation val="minMax"/>
        </c:scaling>
        <c:delete val="0"/>
        <c:axPos val="l"/>
        <c:majorGridlines>
          <c:spPr>
            <a:ln w="3175" cap="flat" cmpd="sng" algn="ctr">
              <a:solidFill>
                <a:srgbClr val="C0C0C0"/>
              </a:solidFill>
              <a:prstDash val="solid"/>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613413711"/>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85714285714281E-2"/>
          <c:y val="4.965753424657534E-2"/>
          <c:w val="0.9177142857142857"/>
          <c:h val="0.9023972602739726"/>
        </c:manualLayout>
      </c:layout>
      <c:barChart>
        <c:barDir val="col"/>
        <c:grouping val="clustered"/>
        <c:varyColors val="0"/>
        <c:ser>
          <c:idx val="0"/>
          <c:order val="0"/>
          <c:spPr>
            <a:solidFill>
              <a:srgbClr val="000080"/>
            </a:solidFill>
            <a:ln w="25400">
              <a:noFill/>
            </a:ln>
          </c:spPr>
          <c:invertIfNegative val="0"/>
          <c:cat>
            <c:numRef>
              <c:f>Sheet2!$B$125:$BE$125</c:f>
              <c:numCache>
                <c:formatCode>mmm\-yy</c:formatCode>
                <c:ptCount val="56"/>
                <c:pt idx="0">
                  <c:v>38018</c:v>
                </c:pt>
                <c:pt idx="1">
                  <c:v>38047</c:v>
                </c:pt>
                <c:pt idx="2">
                  <c:v>38078</c:v>
                </c:pt>
                <c:pt idx="3">
                  <c:v>38108</c:v>
                </c:pt>
                <c:pt idx="4">
                  <c:v>38139</c:v>
                </c:pt>
                <c:pt idx="5">
                  <c:v>38169</c:v>
                </c:pt>
                <c:pt idx="6">
                  <c:v>38200</c:v>
                </c:pt>
                <c:pt idx="7">
                  <c:v>38231</c:v>
                </c:pt>
                <c:pt idx="8">
                  <c:v>38261</c:v>
                </c:pt>
                <c:pt idx="9">
                  <c:v>38292</c:v>
                </c:pt>
                <c:pt idx="10">
                  <c:v>38322</c:v>
                </c:pt>
                <c:pt idx="11">
                  <c:v>38353</c:v>
                </c:pt>
                <c:pt idx="12">
                  <c:v>38384</c:v>
                </c:pt>
                <c:pt idx="13">
                  <c:v>38412</c:v>
                </c:pt>
                <c:pt idx="14">
                  <c:v>38443</c:v>
                </c:pt>
                <c:pt idx="15">
                  <c:v>38473</c:v>
                </c:pt>
                <c:pt idx="16">
                  <c:v>38504</c:v>
                </c:pt>
                <c:pt idx="17">
                  <c:v>38534</c:v>
                </c:pt>
                <c:pt idx="18">
                  <c:v>38565</c:v>
                </c:pt>
                <c:pt idx="19">
                  <c:v>38596</c:v>
                </c:pt>
                <c:pt idx="20">
                  <c:v>38626</c:v>
                </c:pt>
                <c:pt idx="21">
                  <c:v>38657</c:v>
                </c:pt>
                <c:pt idx="22">
                  <c:v>38687</c:v>
                </c:pt>
                <c:pt idx="23">
                  <c:v>38718</c:v>
                </c:pt>
                <c:pt idx="24">
                  <c:v>38749</c:v>
                </c:pt>
                <c:pt idx="25">
                  <c:v>38777</c:v>
                </c:pt>
                <c:pt idx="26">
                  <c:v>38808</c:v>
                </c:pt>
                <c:pt idx="27">
                  <c:v>38838</c:v>
                </c:pt>
                <c:pt idx="28">
                  <c:v>38869</c:v>
                </c:pt>
                <c:pt idx="29">
                  <c:v>38899</c:v>
                </c:pt>
                <c:pt idx="30">
                  <c:v>38930</c:v>
                </c:pt>
                <c:pt idx="31">
                  <c:v>38961</c:v>
                </c:pt>
                <c:pt idx="32">
                  <c:v>38991</c:v>
                </c:pt>
                <c:pt idx="33">
                  <c:v>39022</c:v>
                </c:pt>
                <c:pt idx="34">
                  <c:v>39052</c:v>
                </c:pt>
                <c:pt idx="35">
                  <c:v>39083</c:v>
                </c:pt>
                <c:pt idx="36">
                  <c:v>39114</c:v>
                </c:pt>
                <c:pt idx="37">
                  <c:v>39142</c:v>
                </c:pt>
                <c:pt idx="38">
                  <c:v>39173</c:v>
                </c:pt>
                <c:pt idx="39">
                  <c:v>39203</c:v>
                </c:pt>
                <c:pt idx="40">
                  <c:v>39234</c:v>
                </c:pt>
                <c:pt idx="41">
                  <c:v>39264</c:v>
                </c:pt>
                <c:pt idx="42">
                  <c:v>39295</c:v>
                </c:pt>
                <c:pt idx="43">
                  <c:v>39326</c:v>
                </c:pt>
                <c:pt idx="44">
                  <c:v>39356</c:v>
                </c:pt>
                <c:pt idx="45">
                  <c:v>39387</c:v>
                </c:pt>
                <c:pt idx="46">
                  <c:v>39417</c:v>
                </c:pt>
                <c:pt idx="47">
                  <c:v>39448</c:v>
                </c:pt>
                <c:pt idx="48">
                  <c:v>39479</c:v>
                </c:pt>
                <c:pt idx="49">
                  <c:v>39508</c:v>
                </c:pt>
                <c:pt idx="50">
                  <c:v>39539</c:v>
                </c:pt>
                <c:pt idx="51">
                  <c:v>39569</c:v>
                </c:pt>
                <c:pt idx="52">
                  <c:v>39600</c:v>
                </c:pt>
                <c:pt idx="53">
                  <c:v>39630</c:v>
                </c:pt>
                <c:pt idx="54">
                  <c:v>39661</c:v>
                </c:pt>
                <c:pt idx="55">
                  <c:v>39692</c:v>
                </c:pt>
              </c:numCache>
            </c:numRef>
          </c:cat>
          <c:val>
            <c:numRef>
              <c:f>Sheet2!$B$126:$BE$126</c:f>
              <c:numCache>
                <c:formatCode>0</c:formatCode>
                <c:ptCount val="56"/>
                <c:pt idx="0">
                  <c:v>443.99900000000343</c:v>
                </c:pt>
                <c:pt idx="1">
                  <c:v>534.6929999999993</c:v>
                </c:pt>
                <c:pt idx="2">
                  <c:v>560.31099999999424</c:v>
                </c:pt>
                <c:pt idx="3">
                  <c:v>464.11100000000442</c:v>
                </c:pt>
                <c:pt idx="4">
                  <c:v>212.58299999999872</c:v>
                </c:pt>
                <c:pt idx="5">
                  <c:v>-116.98300000000017</c:v>
                </c:pt>
                <c:pt idx="6">
                  <c:v>-24.748999999996158</c:v>
                </c:pt>
                <c:pt idx="7">
                  <c:v>47.298999999999069</c:v>
                </c:pt>
                <c:pt idx="8">
                  <c:v>106.12099999999919</c:v>
                </c:pt>
                <c:pt idx="9">
                  <c:v>189.41500000000087</c:v>
                </c:pt>
                <c:pt idx="10">
                  <c:v>143.96099999999569</c:v>
                </c:pt>
                <c:pt idx="11">
                  <c:v>118.99400000000605</c:v>
                </c:pt>
                <c:pt idx="12">
                  <c:v>216.8070000000007</c:v>
                </c:pt>
                <c:pt idx="13">
                  <c:v>184.75099999999657</c:v>
                </c:pt>
                <c:pt idx="14">
                  <c:v>127.0089999999982</c:v>
                </c:pt>
                <c:pt idx="15">
                  <c:v>172.06200000000536</c:v>
                </c:pt>
                <c:pt idx="16">
                  <c:v>145.53799999999319</c:v>
                </c:pt>
                <c:pt idx="17">
                  <c:v>132.20400000000518</c:v>
                </c:pt>
                <c:pt idx="18">
                  <c:v>104.23399999999674</c:v>
                </c:pt>
                <c:pt idx="19">
                  <c:v>123.53399999999965</c:v>
                </c:pt>
                <c:pt idx="20">
                  <c:v>148.12700000000768</c:v>
                </c:pt>
                <c:pt idx="21">
                  <c:v>159.11099999999715</c:v>
                </c:pt>
                <c:pt idx="22">
                  <c:v>123.89999999999418</c:v>
                </c:pt>
                <c:pt idx="23">
                  <c:v>173.21800000000076</c:v>
                </c:pt>
                <c:pt idx="24">
                  <c:v>217.58400000000256</c:v>
                </c:pt>
                <c:pt idx="25">
                  <c:v>183.66799999999785</c:v>
                </c:pt>
                <c:pt idx="26">
                  <c:v>79.39100000000326</c:v>
                </c:pt>
                <c:pt idx="27">
                  <c:v>134.00799999999435</c:v>
                </c:pt>
                <c:pt idx="28">
                  <c:v>252.29700000000594</c:v>
                </c:pt>
                <c:pt idx="29">
                  <c:v>128.22200000000157</c:v>
                </c:pt>
                <c:pt idx="30">
                  <c:v>45.060999999994237</c:v>
                </c:pt>
                <c:pt idx="31">
                  <c:v>147.43800000000192</c:v>
                </c:pt>
                <c:pt idx="32">
                  <c:v>162.6449999999968</c:v>
                </c:pt>
                <c:pt idx="33">
                  <c:v>170.23200000000361</c:v>
                </c:pt>
                <c:pt idx="34">
                  <c:v>161.0280000000057</c:v>
                </c:pt>
                <c:pt idx="35">
                  <c:v>221.13499999998749</c:v>
                </c:pt>
                <c:pt idx="36">
                  <c:v>353.79800000000978</c:v>
                </c:pt>
                <c:pt idx="37">
                  <c:v>329.11899999999878</c:v>
                </c:pt>
                <c:pt idx="38">
                  <c:v>307.93600000000151</c:v>
                </c:pt>
                <c:pt idx="39">
                  <c:v>374.06100000000151</c:v>
                </c:pt>
                <c:pt idx="40">
                  <c:v>536.65799999999581</c:v>
                </c:pt>
                <c:pt idx="41">
                  <c:v>59.101000000002387</c:v>
                </c:pt>
                <c:pt idx="42">
                  <c:v>131.05399999999645</c:v>
                </c:pt>
                <c:pt idx="43">
                  <c:v>291.18300000000454</c:v>
                </c:pt>
                <c:pt idx="44">
                  <c:v>196.39799999999377</c:v>
                </c:pt>
                <c:pt idx="45">
                  <c:v>199.05500000000001</c:v>
                </c:pt>
                <c:pt idx="46">
                  <c:v>300.92799999999988</c:v>
                </c:pt>
                <c:pt idx="47">
                  <c:v>247.90000000000146</c:v>
                </c:pt>
                <c:pt idx="48">
                  <c:v>260.64899999999761</c:v>
                </c:pt>
                <c:pt idx="49">
                  <c:v>259.95600000000559</c:v>
                </c:pt>
                <c:pt idx="50">
                  <c:v>235.72799999999552</c:v>
                </c:pt>
                <c:pt idx="51">
                  <c:v>235.95300000000134</c:v>
                </c:pt>
                <c:pt idx="52">
                  <c:v>245.09600000000501</c:v>
                </c:pt>
                <c:pt idx="53">
                  <c:v>68.349999999998545</c:v>
                </c:pt>
                <c:pt idx="54">
                  <c:v>94.936999999998079</c:v>
                </c:pt>
                <c:pt idx="55">
                  <c:v>128.40099999999802</c:v>
                </c:pt>
              </c:numCache>
            </c:numRef>
          </c:val>
          <c:extLst>
            <c:ext xmlns:c16="http://schemas.microsoft.com/office/drawing/2014/chart" uri="{C3380CC4-5D6E-409C-BE32-E72D297353CC}">
              <c16:uniqueId val="{00000000-90E6-4CDA-AC1B-759DA8144437}"/>
            </c:ext>
          </c:extLst>
        </c:ser>
        <c:dLbls>
          <c:showLegendKey val="0"/>
          <c:showVal val="0"/>
          <c:showCatName val="0"/>
          <c:showSerName val="0"/>
          <c:showPercent val="0"/>
          <c:showBubbleSize val="0"/>
        </c:dLbls>
        <c:gapWidth val="150"/>
        <c:axId val="99680256"/>
        <c:axId val="99681792"/>
      </c:barChart>
      <c:dateAx>
        <c:axId val="99680256"/>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rebuchet MS"/>
                <a:ea typeface="Trebuchet MS"/>
                <a:cs typeface="Trebuchet MS"/>
              </a:defRPr>
            </a:pPr>
            <a:endParaRPr lang="en-US"/>
          </a:p>
        </c:txPr>
        <c:crossAx val="99681792"/>
        <c:crosses val="autoZero"/>
        <c:auto val="1"/>
        <c:lblOffset val="100"/>
        <c:baseTimeUnit val="months"/>
        <c:majorUnit val="2"/>
        <c:majorTimeUnit val="months"/>
        <c:minorUnit val="1"/>
        <c:minorTimeUnit val="months"/>
      </c:dateAx>
      <c:valAx>
        <c:axId val="99681792"/>
        <c:scaling>
          <c:orientation val="minMax"/>
        </c:scaling>
        <c:delete val="0"/>
        <c:axPos val="l"/>
        <c:majorGridlines>
          <c:spPr>
            <a:ln w="3175">
              <a:solidFill>
                <a:srgbClr val="C0C0C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9968025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rebuchet MS"/>
          <a:ea typeface="Trebuchet MS"/>
          <a:cs typeface="Trebuchet MS"/>
        </a:defRPr>
      </a:pPr>
      <a:endParaRPr lang="en-US"/>
    </a:p>
  </c:tx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68797953964194E-2"/>
          <c:y val="6.0924369747899158E-2"/>
          <c:w val="0.90792838874680304"/>
          <c:h val="0.88025210084033612"/>
        </c:manualLayout>
      </c:layout>
      <c:barChart>
        <c:barDir val="col"/>
        <c:grouping val="clustered"/>
        <c:varyColors val="0"/>
        <c:ser>
          <c:idx val="0"/>
          <c:order val="0"/>
          <c:spPr>
            <a:solidFill>
              <a:srgbClr val="000080"/>
            </a:solidFill>
            <a:ln w="25400">
              <a:noFill/>
            </a:ln>
          </c:spPr>
          <c:invertIfNegative val="0"/>
          <c:cat>
            <c:numRef>
              <c:f>Sheet2!$B$125:$BH$125</c:f>
              <c:numCache>
                <c:formatCode>mmm\-yy</c:formatCode>
                <c:ptCount val="59"/>
                <c:pt idx="0">
                  <c:v>38018</c:v>
                </c:pt>
                <c:pt idx="1">
                  <c:v>38047</c:v>
                </c:pt>
                <c:pt idx="2">
                  <c:v>38078</c:v>
                </c:pt>
                <c:pt idx="3">
                  <c:v>38108</c:v>
                </c:pt>
                <c:pt idx="4">
                  <c:v>38139</c:v>
                </c:pt>
                <c:pt idx="5">
                  <c:v>38169</c:v>
                </c:pt>
                <c:pt idx="6">
                  <c:v>38200</c:v>
                </c:pt>
                <c:pt idx="7">
                  <c:v>38231</c:v>
                </c:pt>
                <c:pt idx="8">
                  <c:v>38261</c:v>
                </c:pt>
                <c:pt idx="9">
                  <c:v>38292</c:v>
                </c:pt>
                <c:pt idx="10">
                  <c:v>38322</c:v>
                </c:pt>
                <c:pt idx="11">
                  <c:v>38353</c:v>
                </c:pt>
                <c:pt idx="12">
                  <c:v>38384</c:v>
                </c:pt>
                <c:pt idx="13">
                  <c:v>38412</c:v>
                </c:pt>
                <c:pt idx="14">
                  <c:v>38443</c:v>
                </c:pt>
                <c:pt idx="15">
                  <c:v>38473</c:v>
                </c:pt>
                <c:pt idx="16">
                  <c:v>38504</c:v>
                </c:pt>
                <c:pt idx="17">
                  <c:v>38534</c:v>
                </c:pt>
                <c:pt idx="18">
                  <c:v>38565</c:v>
                </c:pt>
                <c:pt idx="19">
                  <c:v>38596</c:v>
                </c:pt>
                <c:pt idx="20">
                  <c:v>38626</c:v>
                </c:pt>
                <c:pt idx="21">
                  <c:v>38657</c:v>
                </c:pt>
                <c:pt idx="22">
                  <c:v>38687</c:v>
                </c:pt>
                <c:pt idx="23">
                  <c:v>38718</c:v>
                </c:pt>
                <c:pt idx="24">
                  <c:v>38749</c:v>
                </c:pt>
                <c:pt idx="25">
                  <c:v>38777</c:v>
                </c:pt>
                <c:pt idx="26">
                  <c:v>38808</c:v>
                </c:pt>
                <c:pt idx="27">
                  <c:v>38838</c:v>
                </c:pt>
                <c:pt idx="28">
                  <c:v>38869</c:v>
                </c:pt>
                <c:pt idx="29">
                  <c:v>38899</c:v>
                </c:pt>
                <c:pt idx="30">
                  <c:v>38930</c:v>
                </c:pt>
                <c:pt idx="31">
                  <c:v>38961</c:v>
                </c:pt>
                <c:pt idx="32">
                  <c:v>38991</c:v>
                </c:pt>
                <c:pt idx="33">
                  <c:v>39022</c:v>
                </c:pt>
                <c:pt idx="34">
                  <c:v>39052</c:v>
                </c:pt>
                <c:pt idx="35">
                  <c:v>39083</c:v>
                </c:pt>
                <c:pt idx="36">
                  <c:v>39114</c:v>
                </c:pt>
                <c:pt idx="37">
                  <c:v>39142</c:v>
                </c:pt>
                <c:pt idx="38">
                  <c:v>39173</c:v>
                </c:pt>
                <c:pt idx="39">
                  <c:v>39203</c:v>
                </c:pt>
                <c:pt idx="40">
                  <c:v>39234</c:v>
                </c:pt>
                <c:pt idx="41">
                  <c:v>39264</c:v>
                </c:pt>
                <c:pt idx="42">
                  <c:v>39295</c:v>
                </c:pt>
                <c:pt idx="43">
                  <c:v>39326</c:v>
                </c:pt>
                <c:pt idx="44">
                  <c:v>39356</c:v>
                </c:pt>
                <c:pt idx="45">
                  <c:v>39387</c:v>
                </c:pt>
                <c:pt idx="46">
                  <c:v>39417</c:v>
                </c:pt>
                <c:pt idx="47">
                  <c:v>39448</c:v>
                </c:pt>
                <c:pt idx="48">
                  <c:v>39479</c:v>
                </c:pt>
                <c:pt idx="49">
                  <c:v>39508</c:v>
                </c:pt>
                <c:pt idx="50">
                  <c:v>39539</c:v>
                </c:pt>
                <c:pt idx="51">
                  <c:v>39569</c:v>
                </c:pt>
                <c:pt idx="52">
                  <c:v>39600</c:v>
                </c:pt>
                <c:pt idx="53">
                  <c:v>39630</c:v>
                </c:pt>
                <c:pt idx="54">
                  <c:v>39661</c:v>
                </c:pt>
                <c:pt idx="55">
                  <c:v>39692</c:v>
                </c:pt>
                <c:pt idx="56">
                  <c:v>39722</c:v>
                </c:pt>
                <c:pt idx="57">
                  <c:v>39753</c:v>
                </c:pt>
                <c:pt idx="58">
                  <c:v>39783</c:v>
                </c:pt>
              </c:numCache>
            </c:numRef>
          </c:cat>
          <c:val>
            <c:numRef>
              <c:f>Sheet2!$B$126:$BH$126</c:f>
              <c:numCache>
                <c:formatCode>0</c:formatCode>
                <c:ptCount val="59"/>
                <c:pt idx="0">
                  <c:v>443.99900000000343</c:v>
                </c:pt>
                <c:pt idx="1">
                  <c:v>534.6929999999993</c:v>
                </c:pt>
                <c:pt idx="2">
                  <c:v>560.31099999999424</c:v>
                </c:pt>
                <c:pt idx="3">
                  <c:v>464.11100000000442</c:v>
                </c:pt>
                <c:pt idx="4">
                  <c:v>212.58299999999872</c:v>
                </c:pt>
                <c:pt idx="5">
                  <c:v>-116.98300000000017</c:v>
                </c:pt>
                <c:pt idx="6">
                  <c:v>-24.748999999996158</c:v>
                </c:pt>
                <c:pt idx="7">
                  <c:v>47.298999999999069</c:v>
                </c:pt>
                <c:pt idx="8">
                  <c:v>106.12099999999919</c:v>
                </c:pt>
                <c:pt idx="9">
                  <c:v>189.41500000000087</c:v>
                </c:pt>
                <c:pt idx="10">
                  <c:v>143.96099999999569</c:v>
                </c:pt>
                <c:pt idx="11">
                  <c:v>118.99400000000605</c:v>
                </c:pt>
                <c:pt idx="12">
                  <c:v>216.8070000000007</c:v>
                </c:pt>
                <c:pt idx="13">
                  <c:v>184.75099999999657</c:v>
                </c:pt>
                <c:pt idx="14">
                  <c:v>127.0089999999982</c:v>
                </c:pt>
                <c:pt idx="15">
                  <c:v>172.06200000000536</c:v>
                </c:pt>
                <c:pt idx="16">
                  <c:v>145.53799999999319</c:v>
                </c:pt>
                <c:pt idx="17">
                  <c:v>132.20400000000518</c:v>
                </c:pt>
                <c:pt idx="18">
                  <c:v>104.23399999999674</c:v>
                </c:pt>
                <c:pt idx="19">
                  <c:v>123.53399999999965</c:v>
                </c:pt>
                <c:pt idx="20">
                  <c:v>148.12700000000768</c:v>
                </c:pt>
                <c:pt idx="21">
                  <c:v>159.11099999999715</c:v>
                </c:pt>
                <c:pt idx="22">
                  <c:v>123.89999999999418</c:v>
                </c:pt>
                <c:pt idx="23">
                  <c:v>173.21800000000076</c:v>
                </c:pt>
                <c:pt idx="24">
                  <c:v>217.58400000000256</c:v>
                </c:pt>
                <c:pt idx="25">
                  <c:v>183.66799999999785</c:v>
                </c:pt>
                <c:pt idx="26">
                  <c:v>79.39100000000326</c:v>
                </c:pt>
                <c:pt idx="27">
                  <c:v>134.00799999999435</c:v>
                </c:pt>
                <c:pt idx="28">
                  <c:v>252.29700000000594</c:v>
                </c:pt>
                <c:pt idx="29">
                  <c:v>128.22200000000157</c:v>
                </c:pt>
                <c:pt idx="30">
                  <c:v>45.060999999994237</c:v>
                </c:pt>
                <c:pt idx="31">
                  <c:v>147.43800000000192</c:v>
                </c:pt>
                <c:pt idx="32">
                  <c:v>162.6449999999968</c:v>
                </c:pt>
                <c:pt idx="33">
                  <c:v>170.23200000000361</c:v>
                </c:pt>
                <c:pt idx="34">
                  <c:v>161.0280000000057</c:v>
                </c:pt>
                <c:pt idx="35">
                  <c:v>221.13499999998749</c:v>
                </c:pt>
                <c:pt idx="36">
                  <c:v>353.79800000000978</c:v>
                </c:pt>
                <c:pt idx="37">
                  <c:v>329.11899999999878</c:v>
                </c:pt>
                <c:pt idx="38">
                  <c:v>307.93600000000151</c:v>
                </c:pt>
                <c:pt idx="39">
                  <c:v>374.06100000000151</c:v>
                </c:pt>
                <c:pt idx="40">
                  <c:v>536.65799999999581</c:v>
                </c:pt>
                <c:pt idx="41">
                  <c:v>59.101000000002387</c:v>
                </c:pt>
                <c:pt idx="42">
                  <c:v>131.05399999999645</c:v>
                </c:pt>
                <c:pt idx="43">
                  <c:v>291.18300000000454</c:v>
                </c:pt>
                <c:pt idx="44">
                  <c:v>196.39799999999377</c:v>
                </c:pt>
                <c:pt idx="45">
                  <c:v>199.05500000000001</c:v>
                </c:pt>
                <c:pt idx="46">
                  <c:v>300.92799999999988</c:v>
                </c:pt>
                <c:pt idx="47">
                  <c:v>247.90000000000146</c:v>
                </c:pt>
                <c:pt idx="48">
                  <c:v>260.64899999999761</c:v>
                </c:pt>
                <c:pt idx="49">
                  <c:v>259.95600000000559</c:v>
                </c:pt>
                <c:pt idx="50">
                  <c:v>235.72799999999552</c:v>
                </c:pt>
                <c:pt idx="51">
                  <c:v>235.95300000000134</c:v>
                </c:pt>
                <c:pt idx="52">
                  <c:v>245.09600000000501</c:v>
                </c:pt>
                <c:pt idx="53">
                  <c:v>68.349999999998545</c:v>
                </c:pt>
                <c:pt idx="54">
                  <c:v>94.936999999998079</c:v>
                </c:pt>
                <c:pt idx="55">
                  <c:v>128.40099999999802</c:v>
                </c:pt>
                <c:pt idx="56">
                  <c:v>110</c:v>
                </c:pt>
                <c:pt idx="57">
                  <c:v>111</c:v>
                </c:pt>
                <c:pt idx="58">
                  <c:v>110</c:v>
                </c:pt>
              </c:numCache>
            </c:numRef>
          </c:val>
          <c:extLst>
            <c:ext xmlns:c16="http://schemas.microsoft.com/office/drawing/2014/chart" uri="{C3380CC4-5D6E-409C-BE32-E72D297353CC}">
              <c16:uniqueId val="{00000000-CBD5-4B2F-A2E3-09B1C6F30BCB}"/>
            </c:ext>
          </c:extLst>
        </c:ser>
        <c:dLbls>
          <c:showLegendKey val="0"/>
          <c:showVal val="0"/>
          <c:showCatName val="0"/>
          <c:showSerName val="0"/>
          <c:showPercent val="0"/>
          <c:showBubbleSize val="0"/>
        </c:dLbls>
        <c:gapWidth val="150"/>
        <c:axId val="99718272"/>
        <c:axId val="99719808"/>
      </c:barChart>
      <c:dateAx>
        <c:axId val="99718272"/>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rebuchet MS"/>
                <a:ea typeface="Trebuchet MS"/>
                <a:cs typeface="Trebuchet MS"/>
              </a:defRPr>
            </a:pPr>
            <a:endParaRPr lang="en-US"/>
          </a:p>
        </c:txPr>
        <c:crossAx val="99719808"/>
        <c:crosses val="autoZero"/>
        <c:auto val="1"/>
        <c:lblOffset val="100"/>
        <c:baseTimeUnit val="months"/>
        <c:majorUnit val="3"/>
        <c:majorTimeUnit val="months"/>
        <c:minorUnit val="1"/>
        <c:minorTimeUnit val="months"/>
      </c:dateAx>
      <c:valAx>
        <c:axId val="99719808"/>
        <c:scaling>
          <c:orientation val="minMax"/>
        </c:scaling>
        <c:delete val="0"/>
        <c:axPos val="l"/>
        <c:majorGridlines>
          <c:spPr>
            <a:ln w="3175">
              <a:solidFill>
                <a:srgbClr val="C0C0C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rebuchet MS"/>
                <a:ea typeface="Trebuchet MS"/>
                <a:cs typeface="Trebuchet MS"/>
              </a:defRPr>
            </a:pPr>
            <a:endParaRPr lang="en-US"/>
          </a:p>
        </c:txPr>
        <c:crossAx val="9971827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rebuchet MS"/>
          <a:ea typeface="Trebuchet MS"/>
          <a:cs typeface="Trebuchet MS"/>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63238"/>
            </a:solidFill>
            <a:ln>
              <a:noFill/>
            </a:ln>
            <a:effectLst/>
          </c:spPr>
          <c:invertIfNegative val="0"/>
          <c:dLbls>
            <c:delete val="1"/>
          </c:dLbls>
          <c:cat>
            <c:strRef>
              <c:f>'Value Crystallisation'!$A$33:$A$34</c:f>
              <c:strCache>
                <c:ptCount val="2"/>
                <c:pt idx="0">
                  <c:v>NSR Value @ 1.5x</c:v>
                </c:pt>
                <c:pt idx="1">
                  <c:v>Cost to ATC to build</c:v>
                </c:pt>
              </c:strCache>
            </c:strRef>
          </c:cat>
          <c:val>
            <c:numRef>
              <c:f>'Value Crystallisation'!$B$33:$B$34</c:f>
              <c:numCache>
                <c:formatCode>_-* #,##0_-;\-* #,##0_-;_-* "-"??_-;_-@_-</c:formatCode>
                <c:ptCount val="2"/>
                <c:pt idx="0" formatCode="_-* #,##0.0_-;\-* #,##0.0_-;_-* &quot;-&quot;??_-;_-@_-">
                  <c:v>144.78499542543457</c:v>
                </c:pt>
                <c:pt idx="1">
                  <c:v>187.5</c:v>
                </c:pt>
              </c:numCache>
            </c:numRef>
          </c:val>
          <c:extLst>
            <c:ext xmlns:c16="http://schemas.microsoft.com/office/drawing/2014/chart" uri="{C3380CC4-5D6E-409C-BE32-E72D297353CC}">
              <c16:uniqueId val="{00000001-C502-46B8-9090-17BF580CF93A}"/>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min val="100"/>
        </c:scaling>
        <c:delete val="0"/>
        <c:axPos val="l"/>
        <c:numFmt formatCode="_-* #,##0.0_-;\-* #,##0.0_-;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spPr>
            <a:noFill/>
            <a:ln>
              <a:noFill/>
            </a:ln>
            <a:effectLst/>
          </c:spPr>
          <c:invertIfNegative val="0"/>
          <c:cat>
            <c:strRef>
              <c:f>'Value Crystallisation'!$E$58:$E$65</c:f>
              <c:strCache>
                <c:ptCount val="8"/>
                <c:pt idx="0">
                  <c:v>Cote D'Ivoire</c:v>
                </c:pt>
                <c:pt idx="1">
                  <c:v>Cameroon</c:v>
                </c:pt>
                <c:pt idx="2">
                  <c:v>South Africa</c:v>
                </c:pt>
                <c:pt idx="3">
                  <c:v>Kuwait</c:v>
                </c:pt>
                <c:pt idx="4">
                  <c:v>Colombia</c:v>
                </c:pt>
                <c:pt idx="5">
                  <c:v>Assume sell 50%</c:v>
                </c:pt>
                <c:pt idx="6">
                  <c:v>Nigeria</c:v>
                </c:pt>
                <c:pt idx="7">
                  <c:v>Total </c:v>
                </c:pt>
              </c:strCache>
            </c:strRef>
          </c:cat>
          <c:val>
            <c:numRef>
              <c:f>'Value Crystallisation'!$F$58:$F$65</c:f>
              <c:numCache>
                <c:formatCode>_-* #,##0.0_-;\-* #,##0.0_-;_-* "-"??_-;_-@_-</c:formatCode>
                <c:ptCount val="8"/>
                <c:pt idx="0" formatCode="General">
                  <c:v>0</c:v>
                </c:pt>
                <c:pt idx="1">
                  <c:v>436.6564529966908</c:v>
                </c:pt>
                <c:pt idx="2">
                  <c:v>743.91224414756721</c:v>
                </c:pt>
                <c:pt idx="3">
                  <c:v>1193.9122441475672</c:v>
                </c:pt>
                <c:pt idx="4">
                  <c:v>1443.9122441475672</c:v>
                </c:pt>
                <c:pt idx="5" formatCode="_(* #,##0.00_);_(* \(#,##0.00\);_(* &quot;-&quot;??_);_(@_)">
                  <c:v>734.3567759973248</c:v>
                </c:pt>
                <c:pt idx="6" formatCode="_(* #,##0.00_);_(* \(#,##0.00\);_(* &quot;-&quot;??_);_(@_)">
                  <c:v>734.3567759973248</c:v>
                </c:pt>
              </c:numCache>
            </c:numRef>
          </c:val>
          <c:extLst>
            <c:ext xmlns:c16="http://schemas.microsoft.com/office/drawing/2014/chart" uri="{C3380CC4-5D6E-409C-BE32-E72D297353CC}">
              <c16:uniqueId val="{00000000-623B-44B9-B5FC-D304E8532E52}"/>
            </c:ext>
          </c:extLst>
        </c:ser>
        <c:ser>
          <c:idx val="1"/>
          <c:order val="1"/>
          <c:spPr>
            <a:solidFill>
              <a:srgbClr val="799098"/>
            </a:solidFill>
            <a:ln>
              <a:noFill/>
            </a:ln>
            <a:effectLst/>
          </c:spPr>
          <c:invertIfNegative val="0"/>
          <c:cat>
            <c:strRef>
              <c:f>'Value Crystallisation'!$E$58:$E$65</c:f>
              <c:strCache>
                <c:ptCount val="8"/>
                <c:pt idx="0">
                  <c:v>Cote D'Ivoire</c:v>
                </c:pt>
                <c:pt idx="1">
                  <c:v>Cameroon</c:v>
                </c:pt>
                <c:pt idx="2">
                  <c:v>South Africa</c:v>
                </c:pt>
                <c:pt idx="3">
                  <c:v>Kuwait</c:v>
                </c:pt>
                <c:pt idx="4">
                  <c:v>Colombia</c:v>
                </c:pt>
                <c:pt idx="5">
                  <c:v>Assume sell 50%</c:v>
                </c:pt>
                <c:pt idx="6">
                  <c:v>Nigeria</c:v>
                </c:pt>
                <c:pt idx="7">
                  <c:v>Total </c:v>
                </c:pt>
              </c:strCache>
            </c:strRef>
          </c:cat>
          <c:val>
            <c:numRef>
              <c:f>'Value Crystallisation'!$G$58:$G$65</c:f>
              <c:numCache>
                <c:formatCode>_-* #,##0.0_-;\-* #,##0.0_-;_-* "-"??_-;_-@_-</c:formatCode>
                <c:ptCount val="8"/>
                <c:pt idx="0">
                  <c:v>436.6564529966908</c:v>
                </c:pt>
                <c:pt idx="1">
                  <c:v>307.25579115087635</c:v>
                </c:pt>
                <c:pt idx="2">
                  <c:v>450</c:v>
                </c:pt>
                <c:pt idx="3">
                  <c:v>250</c:v>
                </c:pt>
                <c:pt idx="4">
                  <c:v>24.801307847082494</c:v>
                </c:pt>
                <c:pt idx="5" formatCode="_(* #,##0.00_);_(* \(#,##0.00\);_(* &quot;-&quot;??_);_(@_)">
                  <c:v>734.3567759973248</c:v>
                </c:pt>
                <c:pt idx="6">
                  <c:v>144.78499542543457</c:v>
                </c:pt>
                <c:pt idx="7" formatCode="_(* #,##0.00_);_(* \(#,##0.00\);_(* &quot;-&quot;??_);_(@_)">
                  <c:v>879.14177142275935</c:v>
                </c:pt>
              </c:numCache>
            </c:numRef>
          </c:val>
          <c:extLst>
            <c:ext xmlns:c16="http://schemas.microsoft.com/office/drawing/2014/chart" uri="{C3380CC4-5D6E-409C-BE32-E72D297353CC}">
              <c16:uniqueId val="{00000001-623B-44B9-B5FC-D304E8532E52}"/>
            </c:ext>
          </c:extLst>
        </c:ser>
        <c:dLbls>
          <c:showLegendKey val="0"/>
          <c:showVal val="0"/>
          <c:showCatName val="0"/>
          <c:showSerName val="0"/>
          <c:showPercent val="0"/>
          <c:showBubbleSize val="0"/>
        </c:dLbls>
        <c:gapWidth val="150"/>
        <c:overlap val="100"/>
        <c:axId val="970808152"/>
        <c:axId val="970806712"/>
      </c:barChart>
      <c:catAx>
        <c:axId val="970808152"/>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70806712"/>
        <c:crosses val="autoZero"/>
        <c:auto val="1"/>
        <c:lblAlgn val="ctr"/>
        <c:lblOffset val="100"/>
        <c:noMultiLvlLbl val="0"/>
      </c:catAx>
      <c:valAx>
        <c:axId val="970806712"/>
        <c:scaling>
          <c:orientation val="minMax"/>
        </c:scaling>
        <c:delete val="0"/>
        <c:axPos val="l"/>
        <c:majorGridlines>
          <c:spPr>
            <a:ln w="0" cap="flat" cmpd="sng" algn="ctr">
              <a:solidFill>
                <a:sysClr val="windowText" lastClr="000000"/>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708081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spPr>
            <a:noFill/>
            <a:ln>
              <a:noFill/>
            </a:ln>
            <a:effectLst/>
          </c:spPr>
          <c:invertIfNegative val="0"/>
          <c:cat>
            <c:strRef>
              <c:f>'Value Crystallisation'!$A$58:$A$65</c:f>
              <c:strCache>
                <c:ptCount val="8"/>
                <c:pt idx="0">
                  <c:v>Cote D'Ivoire</c:v>
                </c:pt>
                <c:pt idx="1">
                  <c:v>Cameroon</c:v>
                </c:pt>
                <c:pt idx="2">
                  <c:v>South Africa</c:v>
                </c:pt>
                <c:pt idx="3">
                  <c:v>Kuwait</c:v>
                </c:pt>
                <c:pt idx="4">
                  <c:v>Colombia</c:v>
                </c:pt>
                <c:pt idx="5">
                  <c:v>Assume sell 50%</c:v>
                </c:pt>
                <c:pt idx="6">
                  <c:v>Nigeria</c:v>
                </c:pt>
                <c:pt idx="7">
                  <c:v>Total </c:v>
                </c:pt>
              </c:strCache>
            </c:strRef>
          </c:cat>
          <c:val>
            <c:numRef>
              <c:f>'Value Crystallisation'!$B$58:$B$65</c:f>
              <c:numCache>
                <c:formatCode>_-* #,##0.0_-;\-* #,##0.0_-;_-* "-"??_-;_-@_-</c:formatCode>
                <c:ptCount val="8"/>
                <c:pt idx="0" formatCode="General">
                  <c:v>0</c:v>
                </c:pt>
                <c:pt idx="1">
                  <c:v>61.85966417453119</c:v>
                </c:pt>
                <c:pt idx="2">
                  <c:v>114.09314867018017</c:v>
                </c:pt>
                <c:pt idx="3">
                  <c:v>184.09314867018017</c:v>
                </c:pt>
                <c:pt idx="4">
                  <c:v>206.09314867018017</c:v>
                </c:pt>
                <c:pt idx="5" formatCode="_(* #,##0.00_);_(* \(#,##0.00\);_(* &quot;-&quot;??_);_(@_)">
                  <c:v>105.13963268519069</c:v>
                </c:pt>
                <c:pt idx="6" formatCode="_(* #,##0.00_);_(* \(#,##0.00\);_(* &quot;-&quot;??_);_(@_)">
                  <c:v>105.13963268519069</c:v>
                </c:pt>
              </c:numCache>
            </c:numRef>
          </c:val>
          <c:extLst>
            <c:ext xmlns:c16="http://schemas.microsoft.com/office/drawing/2014/chart" uri="{C3380CC4-5D6E-409C-BE32-E72D297353CC}">
              <c16:uniqueId val="{00000000-2E33-4215-B956-6DE579500E5E}"/>
            </c:ext>
          </c:extLst>
        </c:ser>
        <c:ser>
          <c:idx val="1"/>
          <c:order val="1"/>
          <c:spPr>
            <a:solidFill>
              <a:srgbClr val="799098"/>
            </a:solidFill>
            <a:ln>
              <a:noFill/>
            </a:ln>
            <a:effectLst/>
          </c:spPr>
          <c:invertIfNegative val="0"/>
          <c:cat>
            <c:strRef>
              <c:f>'Value Crystallisation'!$A$58:$A$65</c:f>
              <c:strCache>
                <c:ptCount val="8"/>
                <c:pt idx="0">
                  <c:v>Cote D'Ivoire</c:v>
                </c:pt>
                <c:pt idx="1">
                  <c:v>Cameroon</c:v>
                </c:pt>
                <c:pt idx="2">
                  <c:v>South Africa</c:v>
                </c:pt>
                <c:pt idx="3">
                  <c:v>Kuwait</c:v>
                </c:pt>
                <c:pt idx="4">
                  <c:v>Colombia</c:v>
                </c:pt>
                <c:pt idx="5">
                  <c:v>Assume sell 50%</c:v>
                </c:pt>
                <c:pt idx="6">
                  <c:v>Nigeria</c:v>
                </c:pt>
                <c:pt idx="7">
                  <c:v>Total </c:v>
                </c:pt>
              </c:strCache>
            </c:strRef>
          </c:cat>
          <c:val>
            <c:numRef>
              <c:f>'Value Crystallisation'!$C$58:$C$65</c:f>
              <c:numCache>
                <c:formatCode>_-* #,##0.0_-;\-* #,##0.0_-;_-* "-"??_-;_-@_-</c:formatCode>
                <c:ptCount val="8"/>
                <c:pt idx="0">
                  <c:v>61.85966417453119</c:v>
                </c:pt>
                <c:pt idx="1">
                  <c:v>52.233484495648973</c:v>
                </c:pt>
                <c:pt idx="2">
                  <c:v>70</c:v>
                </c:pt>
                <c:pt idx="3">
                  <c:v>22</c:v>
                </c:pt>
                <c:pt idx="4">
                  <c:v>4.1861167002012074</c:v>
                </c:pt>
                <c:pt idx="5" formatCode="_(* #,##0.00_);_(* \(#,##0.00\);_(* &quot;-&quot;??_);_(@_)">
                  <c:v>105.13963268519069</c:v>
                </c:pt>
                <c:pt idx="6">
                  <c:v>0</c:v>
                </c:pt>
                <c:pt idx="7" formatCode="_(* #,##0.00_);_(* \(#,##0.00\);_(* &quot;-&quot;??_);_(@_)">
                  <c:v>105.13963268519069</c:v>
                </c:pt>
              </c:numCache>
            </c:numRef>
          </c:val>
          <c:extLst>
            <c:ext xmlns:c16="http://schemas.microsoft.com/office/drawing/2014/chart" uri="{C3380CC4-5D6E-409C-BE32-E72D297353CC}">
              <c16:uniqueId val="{00000001-2E33-4215-B956-6DE579500E5E}"/>
            </c:ext>
          </c:extLst>
        </c:ser>
        <c:dLbls>
          <c:showLegendKey val="0"/>
          <c:showVal val="0"/>
          <c:showCatName val="0"/>
          <c:showSerName val="0"/>
          <c:showPercent val="0"/>
          <c:showBubbleSize val="0"/>
        </c:dLbls>
        <c:gapWidth val="150"/>
        <c:overlap val="100"/>
        <c:axId val="1260887016"/>
        <c:axId val="1260889536"/>
      </c:barChart>
      <c:catAx>
        <c:axId val="1260887016"/>
        <c:scaling>
          <c:orientation val="minMax"/>
        </c:scaling>
        <c:delete val="0"/>
        <c:axPos val="b"/>
        <c:numFmt formatCode="General" sourceLinked="1"/>
        <c:majorTickMark val="none"/>
        <c:minorTickMark val="none"/>
        <c:tickLblPos val="nextTo"/>
        <c:spPr>
          <a:noFill/>
          <a:ln w="0"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260889536"/>
        <c:crosses val="autoZero"/>
        <c:auto val="1"/>
        <c:lblAlgn val="ctr"/>
        <c:lblOffset val="100"/>
        <c:noMultiLvlLbl val="0"/>
      </c:catAx>
      <c:valAx>
        <c:axId val="1260889536"/>
        <c:scaling>
          <c:orientation val="minMax"/>
        </c:scaling>
        <c:delete val="0"/>
        <c:axPos val="l"/>
        <c:majorGridlines>
          <c:spPr>
            <a:ln w="0" cap="flat" cmpd="sng" algn="ctr">
              <a:solidFill>
                <a:sysClr val="windowText" lastClr="000000"/>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2608870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 Id="rId5" Type="http://schemas.openxmlformats.org/officeDocument/2006/relationships/chart" Target="../charts/chart29.xml"/><Relationship Id="rId4" Type="http://schemas.openxmlformats.org/officeDocument/2006/relationships/chart" Target="../charts/chart2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7" Type="http://schemas.openxmlformats.org/officeDocument/2006/relationships/chart" Target="../charts/chart13.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chart" Target="../charts/chart18.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chart" Target="../charts/chart24.xml"/><Relationship Id="rId5" Type="http://schemas.openxmlformats.org/officeDocument/2006/relationships/chart" Target="../charts/chart23.xml"/><Relationship Id="rId4" Type="http://schemas.openxmlformats.org/officeDocument/2006/relationships/chart" Target="../charts/chart22.xml"/></Relationships>
</file>

<file path=xl/drawings/drawing1.xml><?xml version="1.0" encoding="utf-8"?>
<xdr:wsDr xmlns:xdr="http://schemas.openxmlformats.org/drawingml/2006/spreadsheetDrawing" xmlns:a="http://schemas.openxmlformats.org/drawingml/2006/main">
  <xdr:twoCellAnchor editAs="oneCell">
    <xdr:from>
      <xdr:col>0</xdr:col>
      <xdr:colOff>182562</xdr:colOff>
      <xdr:row>0</xdr:row>
      <xdr:rowOff>110066</xdr:rowOff>
    </xdr:from>
    <xdr:to>
      <xdr:col>2</xdr:col>
      <xdr:colOff>536574</xdr:colOff>
      <xdr:row>2</xdr:row>
      <xdr:rowOff>65417</xdr:rowOff>
    </xdr:to>
    <xdr:pic>
      <xdr:nvPicPr>
        <xdr:cNvPr id="3" name="Picture 2">
          <a:extLst>
            <a:ext uri="{FF2B5EF4-FFF2-40B4-BE49-F238E27FC236}">
              <a16:creationId xmlns:a16="http://schemas.microsoft.com/office/drawing/2014/main" id="{00F0FEF4-746E-4979-BA45-79A18BFEDD11}"/>
            </a:ext>
          </a:extLst>
        </xdr:cNvPr>
        <xdr:cNvPicPr>
          <a:picLocks noChangeAspect="1"/>
        </xdr:cNvPicPr>
      </xdr:nvPicPr>
      <xdr:blipFill>
        <a:blip xmlns:r="http://schemas.openxmlformats.org/officeDocument/2006/relationships" r:embed="rId1"/>
        <a:stretch>
          <a:fillRect/>
        </a:stretch>
      </xdr:blipFill>
      <xdr:spPr>
        <a:xfrm>
          <a:off x="182562" y="110066"/>
          <a:ext cx="1803929" cy="101368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51594</xdr:colOff>
      <xdr:row>4</xdr:row>
      <xdr:rowOff>78580</xdr:rowOff>
    </xdr:from>
    <xdr:to>
      <xdr:col>16</xdr:col>
      <xdr:colOff>365125</xdr:colOff>
      <xdr:row>17</xdr:row>
      <xdr:rowOff>158750</xdr:rowOff>
    </xdr:to>
    <xdr:graphicFrame macro="">
      <xdr:nvGraphicFramePr>
        <xdr:cNvPr id="3" name="Chart 2">
          <a:extLst>
            <a:ext uri="{FF2B5EF4-FFF2-40B4-BE49-F238E27FC236}">
              <a16:creationId xmlns:a16="http://schemas.microsoft.com/office/drawing/2014/main" id="{E1A83A08-F6F1-4AA3-A5D7-311DDFC7D6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396081</xdr:colOff>
      <xdr:row>3</xdr:row>
      <xdr:rowOff>135730</xdr:rowOff>
    </xdr:from>
    <xdr:to>
      <xdr:col>31</xdr:col>
      <xdr:colOff>508000</xdr:colOff>
      <xdr:row>19</xdr:row>
      <xdr:rowOff>47625</xdr:rowOff>
    </xdr:to>
    <xdr:graphicFrame macro="">
      <xdr:nvGraphicFramePr>
        <xdr:cNvPr id="4" name="Chart 3">
          <a:extLst>
            <a:ext uri="{FF2B5EF4-FFF2-40B4-BE49-F238E27FC236}">
              <a16:creationId xmlns:a16="http://schemas.microsoft.com/office/drawing/2014/main" id="{159DDF88-E44A-47FD-B671-ED3CC8D81C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281781</xdr:colOff>
      <xdr:row>3</xdr:row>
      <xdr:rowOff>180180</xdr:rowOff>
    </xdr:from>
    <xdr:to>
      <xdr:col>25</xdr:col>
      <xdr:colOff>254000</xdr:colOff>
      <xdr:row>19</xdr:row>
      <xdr:rowOff>31750</xdr:rowOff>
    </xdr:to>
    <xdr:graphicFrame macro="">
      <xdr:nvGraphicFramePr>
        <xdr:cNvPr id="5" name="Chart 4">
          <a:extLst>
            <a:ext uri="{FF2B5EF4-FFF2-40B4-BE49-F238E27FC236}">
              <a16:creationId xmlns:a16="http://schemas.microsoft.com/office/drawing/2014/main" id="{53D08104-9E97-40BD-B606-56E02F945D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180180</xdr:colOff>
      <xdr:row>19</xdr:row>
      <xdr:rowOff>183357</xdr:rowOff>
    </xdr:from>
    <xdr:to>
      <xdr:col>25</xdr:col>
      <xdr:colOff>79375</xdr:colOff>
      <xdr:row>33</xdr:row>
      <xdr:rowOff>95251</xdr:rowOff>
    </xdr:to>
    <xdr:graphicFrame macro="">
      <xdr:nvGraphicFramePr>
        <xdr:cNvPr id="2" name="Chart 1">
          <a:extLst>
            <a:ext uri="{FF2B5EF4-FFF2-40B4-BE49-F238E27FC236}">
              <a16:creationId xmlns:a16="http://schemas.microsoft.com/office/drawing/2014/main" id="{629CF6B3-F9E2-4FB1-9057-6FAC296973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29368</xdr:colOff>
      <xdr:row>19</xdr:row>
      <xdr:rowOff>130969</xdr:rowOff>
    </xdr:from>
    <xdr:to>
      <xdr:col>15</xdr:col>
      <xdr:colOff>571500</xdr:colOff>
      <xdr:row>33</xdr:row>
      <xdr:rowOff>111125</xdr:rowOff>
    </xdr:to>
    <xdr:graphicFrame macro="">
      <xdr:nvGraphicFramePr>
        <xdr:cNvPr id="6" name="Chart 5">
          <a:extLst>
            <a:ext uri="{FF2B5EF4-FFF2-40B4-BE49-F238E27FC236}">
              <a16:creationId xmlns:a16="http://schemas.microsoft.com/office/drawing/2014/main" id="{14665284-4DFB-45FB-B485-80884293E6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915193</xdr:colOff>
      <xdr:row>14</xdr:row>
      <xdr:rowOff>45243</xdr:rowOff>
    </xdr:from>
    <xdr:to>
      <xdr:col>7</xdr:col>
      <xdr:colOff>608805</xdr:colOff>
      <xdr:row>29</xdr:row>
      <xdr:rowOff>76993</xdr:rowOff>
    </xdr:to>
    <xdr:graphicFrame macro="">
      <xdr:nvGraphicFramePr>
        <xdr:cNvPr id="2" name="Chart 1">
          <a:extLst>
            <a:ext uri="{FF2B5EF4-FFF2-40B4-BE49-F238E27FC236}">
              <a16:creationId xmlns:a16="http://schemas.microsoft.com/office/drawing/2014/main" id="{45F60F00-C0D8-414A-BC91-FB5B0C16D2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oneCellAnchor>
    <xdr:from>
      <xdr:col>12</xdr:col>
      <xdr:colOff>1436011</xdr:colOff>
      <xdr:row>39</xdr:row>
      <xdr:rowOff>96370</xdr:rowOff>
    </xdr:from>
    <xdr:ext cx="7692476" cy="7106839"/>
    <xdr:pic>
      <xdr:nvPicPr>
        <xdr:cNvPr id="2" name="Picture 1">
          <a:extLst>
            <a:ext uri="{FF2B5EF4-FFF2-40B4-BE49-F238E27FC236}">
              <a16:creationId xmlns:a16="http://schemas.microsoft.com/office/drawing/2014/main" id="{74959C88-F189-4590-B288-3111AACC1572}"/>
            </a:ext>
          </a:extLst>
        </xdr:cNvPr>
        <xdr:cNvPicPr>
          <a:picLocks noChangeAspect="1"/>
        </xdr:cNvPicPr>
      </xdr:nvPicPr>
      <xdr:blipFill>
        <a:blip xmlns:r="http://schemas.openxmlformats.org/officeDocument/2006/relationships" r:embed="rId1"/>
        <a:stretch>
          <a:fillRect/>
        </a:stretch>
      </xdr:blipFill>
      <xdr:spPr>
        <a:xfrm>
          <a:off x="9589411" y="3906370"/>
          <a:ext cx="7692476" cy="710683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17</xdr:col>
      <xdr:colOff>561974</xdr:colOff>
      <xdr:row>48</xdr:row>
      <xdr:rowOff>119061</xdr:rowOff>
    </xdr:from>
    <xdr:to>
      <xdr:col>26</xdr:col>
      <xdr:colOff>400049</xdr:colOff>
      <xdr:row>70</xdr:row>
      <xdr:rowOff>142875</xdr:rowOff>
    </xdr:to>
    <xdr:graphicFrame macro="">
      <xdr:nvGraphicFramePr>
        <xdr:cNvPr id="2" name="Chart 1">
          <a:extLst>
            <a:ext uri="{FF2B5EF4-FFF2-40B4-BE49-F238E27FC236}">
              <a16:creationId xmlns:a16="http://schemas.microsoft.com/office/drawing/2014/main" id="{3303C3DA-4FE8-D728-A38D-1722713219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142875</xdr:colOff>
      <xdr:row>153</xdr:row>
      <xdr:rowOff>57150</xdr:rowOff>
    </xdr:from>
    <xdr:to>
      <xdr:col>10</xdr:col>
      <xdr:colOff>257175</xdr:colOff>
      <xdr:row>170</xdr:row>
      <xdr:rowOff>19050</xdr:rowOff>
    </xdr:to>
    <xdr:graphicFrame macro="">
      <xdr:nvGraphicFramePr>
        <xdr:cNvPr id="3" name="Chart 2">
          <a:extLst>
            <a:ext uri="{FF2B5EF4-FFF2-40B4-BE49-F238E27FC236}">
              <a16:creationId xmlns:a16="http://schemas.microsoft.com/office/drawing/2014/main" id="{E7556349-039D-6AD0-A54C-BFE0E46749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66675</xdr:colOff>
      <xdr:row>4</xdr:row>
      <xdr:rowOff>152400</xdr:rowOff>
    </xdr:from>
    <xdr:to>
      <xdr:col>14</xdr:col>
      <xdr:colOff>371475</xdr:colOff>
      <xdr:row>19</xdr:row>
      <xdr:rowOff>38100</xdr:rowOff>
    </xdr:to>
    <xdr:graphicFrame macro="">
      <xdr:nvGraphicFramePr>
        <xdr:cNvPr id="3" name="Chart 2">
          <a:extLst>
            <a:ext uri="{FF2B5EF4-FFF2-40B4-BE49-F238E27FC236}">
              <a16:creationId xmlns:a16="http://schemas.microsoft.com/office/drawing/2014/main" id="{FB81204D-2D9A-41C3-906B-BABC578F4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511172</xdr:colOff>
      <xdr:row>99</xdr:row>
      <xdr:rowOff>85194</xdr:rowOff>
    </xdr:from>
    <xdr:to>
      <xdr:col>15</xdr:col>
      <xdr:colOff>687916</xdr:colOff>
      <xdr:row>113</xdr:row>
      <xdr:rowOff>158748</xdr:rowOff>
    </xdr:to>
    <xdr:graphicFrame macro="">
      <xdr:nvGraphicFramePr>
        <xdr:cNvPr id="2" name="Chart 1">
          <a:extLst>
            <a:ext uri="{FF2B5EF4-FFF2-40B4-BE49-F238E27FC236}">
              <a16:creationId xmlns:a16="http://schemas.microsoft.com/office/drawing/2014/main" id="{40DFF959-6BD1-44A0-BA8A-2F3DB720CF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389599</xdr:colOff>
      <xdr:row>100</xdr:row>
      <xdr:rowOff>100144</xdr:rowOff>
    </xdr:from>
    <xdr:to>
      <xdr:col>10</xdr:col>
      <xdr:colOff>0</xdr:colOff>
      <xdr:row>113</xdr:row>
      <xdr:rowOff>79375</xdr:rowOff>
    </xdr:to>
    <xdr:graphicFrame macro="">
      <xdr:nvGraphicFramePr>
        <xdr:cNvPr id="4" name="Chart 3">
          <a:extLst>
            <a:ext uri="{FF2B5EF4-FFF2-40B4-BE49-F238E27FC236}">
              <a16:creationId xmlns:a16="http://schemas.microsoft.com/office/drawing/2014/main" id="{36CF7DBE-BD46-4DF8-832D-A44BD0D432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95250</xdr:rowOff>
    </xdr:from>
    <xdr:to>
      <xdr:col>1</xdr:col>
      <xdr:colOff>1847850</xdr:colOff>
      <xdr:row>5</xdr:row>
      <xdr:rowOff>155376</xdr:rowOff>
    </xdr:to>
    <xdr:pic>
      <xdr:nvPicPr>
        <xdr:cNvPr id="3" name="Picture 2">
          <a:extLst>
            <a:ext uri="{FF2B5EF4-FFF2-40B4-BE49-F238E27FC236}">
              <a16:creationId xmlns:a16="http://schemas.microsoft.com/office/drawing/2014/main" id="{58FD6CC1-7346-483C-B071-0080E42C19F9}"/>
            </a:ext>
          </a:extLst>
        </xdr:cNvPr>
        <xdr:cNvPicPr>
          <a:picLocks noChangeAspect="1"/>
        </xdr:cNvPicPr>
      </xdr:nvPicPr>
      <xdr:blipFill>
        <a:blip xmlns:r="http://schemas.openxmlformats.org/officeDocument/2006/relationships" r:embed="rId1"/>
        <a:stretch>
          <a:fillRect/>
        </a:stretch>
      </xdr:blipFill>
      <xdr:spPr>
        <a:xfrm>
          <a:off x="219075" y="95250"/>
          <a:ext cx="1800225" cy="10126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98955</xdr:colOff>
      <xdr:row>122</xdr:row>
      <xdr:rowOff>105834</xdr:rowOff>
    </xdr:from>
    <xdr:to>
      <xdr:col>8</xdr:col>
      <xdr:colOff>216437</xdr:colOff>
      <xdr:row>200</xdr:row>
      <xdr:rowOff>43999</xdr:rowOff>
    </xdr:to>
    <xdr:pic>
      <xdr:nvPicPr>
        <xdr:cNvPr id="2" name="Picture 1">
          <a:extLst>
            <a:ext uri="{FF2B5EF4-FFF2-40B4-BE49-F238E27FC236}">
              <a16:creationId xmlns:a16="http://schemas.microsoft.com/office/drawing/2014/main" id="{A31032F5-2450-4966-B923-D80A5872E015}"/>
            </a:ext>
          </a:extLst>
        </xdr:cNvPr>
        <xdr:cNvPicPr>
          <a:picLocks noChangeAspect="1"/>
        </xdr:cNvPicPr>
      </xdr:nvPicPr>
      <xdr:blipFill>
        <a:blip xmlns:r="http://schemas.openxmlformats.org/officeDocument/2006/relationships" r:embed="rId1"/>
        <a:stretch>
          <a:fillRect/>
        </a:stretch>
      </xdr:blipFill>
      <xdr:spPr>
        <a:xfrm>
          <a:off x="2665413" y="24315209"/>
          <a:ext cx="5673732" cy="3708478"/>
        </a:xfrm>
        <a:prstGeom prst="rect">
          <a:avLst/>
        </a:prstGeom>
      </xdr:spPr>
    </xdr:pic>
    <xdr:clientData/>
  </xdr:twoCellAnchor>
  <xdr:twoCellAnchor editAs="oneCell">
    <xdr:from>
      <xdr:col>8</xdr:col>
      <xdr:colOff>557742</xdr:colOff>
      <xdr:row>129</xdr:row>
      <xdr:rowOff>152930</xdr:rowOff>
    </xdr:from>
    <xdr:to>
      <xdr:col>15</xdr:col>
      <xdr:colOff>482772</xdr:colOff>
      <xdr:row>200</xdr:row>
      <xdr:rowOff>28121</xdr:rowOff>
    </xdr:to>
    <xdr:pic>
      <xdr:nvPicPr>
        <xdr:cNvPr id="3" name="Picture 2">
          <a:extLst>
            <a:ext uri="{FF2B5EF4-FFF2-40B4-BE49-F238E27FC236}">
              <a16:creationId xmlns:a16="http://schemas.microsoft.com/office/drawing/2014/main" id="{4EDDB717-A3CD-1B2D-2C95-12137BE328C9}"/>
            </a:ext>
          </a:extLst>
        </xdr:cNvPr>
        <xdr:cNvPicPr>
          <a:picLocks noChangeAspect="1"/>
        </xdr:cNvPicPr>
      </xdr:nvPicPr>
      <xdr:blipFill>
        <a:blip xmlns:r="http://schemas.openxmlformats.org/officeDocument/2006/relationships" r:embed="rId2"/>
        <a:stretch>
          <a:fillRect/>
        </a:stretch>
      </xdr:blipFill>
      <xdr:spPr>
        <a:xfrm>
          <a:off x="8680450" y="25751368"/>
          <a:ext cx="5481280" cy="35999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131709</xdr:colOff>
      <xdr:row>77</xdr:row>
      <xdr:rowOff>5081</xdr:rowOff>
    </xdr:from>
    <xdr:to>
      <xdr:col>7</xdr:col>
      <xdr:colOff>767292</xdr:colOff>
      <xdr:row>92</xdr:row>
      <xdr:rowOff>132323</xdr:rowOff>
    </xdr:to>
    <xdr:pic>
      <xdr:nvPicPr>
        <xdr:cNvPr id="3" name="Picture 2">
          <a:extLst>
            <a:ext uri="{FF2B5EF4-FFF2-40B4-BE49-F238E27FC236}">
              <a16:creationId xmlns:a16="http://schemas.microsoft.com/office/drawing/2014/main" id="{58F456A4-B552-40FF-BA80-7F2667CC4E01}"/>
            </a:ext>
          </a:extLst>
        </xdr:cNvPr>
        <xdr:cNvPicPr>
          <a:picLocks noChangeAspect="1"/>
        </xdr:cNvPicPr>
      </xdr:nvPicPr>
      <xdr:blipFill>
        <a:blip xmlns:r="http://schemas.openxmlformats.org/officeDocument/2006/relationships" r:embed="rId1"/>
        <a:stretch>
          <a:fillRect/>
        </a:stretch>
      </xdr:blipFill>
      <xdr:spPr>
        <a:xfrm>
          <a:off x="2698167" y="15258310"/>
          <a:ext cx="4604333" cy="31038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38100</xdr:colOff>
      <xdr:row>10</xdr:row>
      <xdr:rowOff>166687</xdr:rowOff>
    </xdr:from>
    <xdr:to>
      <xdr:col>14</xdr:col>
      <xdr:colOff>200025</xdr:colOff>
      <xdr:row>23</xdr:row>
      <xdr:rowOff>185737</xdr:rowOff>
    </xdr:to>
    <xdr:graphicFrame macro="">
      <xdr:nvGraphicFramePr>
        <xdr:cNvPr id="2" name="Chart 1">
          <a:extLst>
            <a:ext uri="{FF2B5EF4-FFF2-40B4-BE49-F238E27FC236}">
              <a16:creationId xmlns:a16="http://schemas.microsoft.com/office/drawing/2014/main" id="{9C3CD754-4B42-49A8-83DE-CCD87D7759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47625</xdr:colOff>
      <xdr:row>24</xdr:row>
      <xdr:rowOff>90487</xdr:rowOff>
    </xdr:from>
    <xdr:to>
      <xdr:col>12</xdr:col>
      <xdr:colOff>209550</xdr:colOff>
      <xdr:row>37</xdr:row>
      <xdr:rowOff>109537</xdr:rowOff>
    </xdr:to>
    <xdr:graphicFrame macro="">
      <xdr:nvGraphicFramePr>
        <xdr:cNvPr id="3" name="Chart 2">
          <a:extLst>
            <a:ext uri="{FF2B5EF4-FFF2-40B4-BE49-F238E27FC236}">
              <a16:creationId xmlns:a16="http://schemas.microsoft.com/office/drawing/2014/main" id="{07839E00-3829-40C8-B85E-0A5C66FBC9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1081087</xdr:colOff>
      <xdr:row>58</xdr:row>
      <xdr:rowOff>76200</xdr:rowOff>
    </xdr:from>
    <xdr:to>
      <xdr:col>8</xdr:col>
      <xdr:colOff>547687</xdr:colOff>
      <xdr:row>71</xdr:row>
      <xdr:rowOff>95250</xdr:rowOff>
    </xdr:to>
    <xdr:graphicFrame macro="">
      <xdr:nvGraphicFramePr>
        <xdr:cNvPr id="4" name="Chart 3">
          <a:extLst>
            <a:ext uri="{FF2B5EF4-FFF2-40B4-BE49-F238E27FC236}">
              <a16:creationId xmlns:a16="http://schemas.microsoft.com/office/drawing/2014/main" id="{10E65859-1F5D-436A-B9B1-8618909EF0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64633</xdr:colOff>
      <xdr:row>76</xdr:row>
      <xdr:rowOff>65994</xdr:rowOff>
    </xdr:from>
    <xdr:to>
      <xdr:col>8</xdr:col>
      <xdr:colOff>308201</xdr:colOff>
      <xdr:row>89</xdr:row>
      <xdr:rowOff>85044</xdr:rowOff>
    </xdr:to>
    <xdr:graphicFrame macro="">
      <xdr:nvGraphicFramePr>
        <xdr:cNvPr id="5" name="Chart 4">
          <a:extLst>
            <a:ext uri="{FF2B5EF4-FFF2-40B4-BE49-F238E27FC236}">
              <a16:creationId xmlns:a16="http://schemas.microsoft.com/office/drawing/2014/main" id="{A901276F-5D9B-4A91-AC5F-440719DFE8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100012</xdr:colOff>
      <xdr:row>134</xdr:row>
      <xdr:rowOff>15346</xdr:rowOff>
    </xdr:from>
    <xdr:to>
      <xdr:col>20</xdr:col>
      <xdr:colOff>325437</xdr:colOff>
      <xdr:row>157</xdr:row>
      <xdr:rowOff>13229</xdr:rowOff>
    </xdr:to>
    <xdr:graphicFrame macro="">
      <xdr:nvGraphicFramePr>
        <xdr:cNvPr id="6" name="Chart 1098">
          <a:extLst>
            <a:ext uri="{FF2B5EF4-FFF2-40B4-BE49-F238E27FC236}">
              <a16:creationId xmlns:a16="http://schemas.microsoft.com/office/drawing/2014/main" id="{635584DB-D22C-4548-8EBF-D489D6F82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123825</xdr:colOff>
      <xdr:row>103</xdr:row>
      <xdr:rowOff>66675</xdr:rowOff>
    </xdr:from>
    <xdr:to>
      <xdr:col>20</xdr:col>
      <xdr:colOff>76200</xdr:colOff>
      <xdr:row>122</xdr:row>
      <xdr:rowOff>28575</xdr:rowOff>
    </xdr:to>
    <xdr:graphicFrame macro="">
      <xdr:nvGraphicFramePr>
        <xdr:cNvPr id="7" name="Chart 1103">
          <a:extLst>
            <a:ext uri="{FF2B5EF4-FFF2-40B4-BE49-F238E27FC236}">
              <a16:creationId xmlns:a16="http://schemas.microsoft.com/office/drawing/2014/main" id="{9CDFB462-3DE3-42EF-B369-D18B39065D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369093</xdr:colOff>
      <xdr:row>23</xdr:row>
      <xdr:rowOff>11905</xdr:rowOff>
    </xdr:from>
    <xdr:to>
      <xdr:col>18</xdr:col>
      <xdr:colOff>407193</xdr:colOff>
      <xdr:row>39</xdr:row>
      <xdr:rowOff>64292</xdr:rowOff>
    </xdr:to>
    <xdr:graphicFrame macro="">
      <xdr:nvGraphicFramePr>
        <xdr:cNvPr id="3" name="Chart 2">
          <a:extLst>
            <a:ext uri="{FF2B5EF4-FFF2-40B4-BE49-F238E27FC236}">
              <a16:creationId xmlns:a16="http://schemas.microsoft.com/office/drawing/2014/main" id="{5A6192D1-C7BD-3E76-7A25-40A0BF17B3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183355</xdr:colOff>
      <xdr:row>40</xdr:row>
      <xdr:rowOff>178593</xdr:rowOff>
    </xdr:from>
    <xdr:to>
      <xdr:col>15</xdr:col>
      <xdr:colOff>221455</xdr:colOff>
      <xdr:row>56</xdr:row>
      <xdr:rowOff>26193</xdr:rowOff>
    </xdr:to>
    <xdr:graphicFrame macro="">
      <xdr:nvGraphicFramePr>
        <xdr:cNvPr id="4" name="Chart 3">
          <a:extLst>
            <a:ext uri="{FF2B5EF4-FFF2-40B4-BE49-F238E27FC236}">
              <a16:creationId xmlns:a16="http://schemas.microsoft.com/office/drawing/2014/main" id="{904F552A-C7BC-7C3F-8DB3-80C42176E8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1273968</xdr:colOff>
      <xdr:row>38</xdr:row>
      <xdr:rowOff>126205</xdr:rowOff>
    </xdr:from>
    <xdr:to>
      <xdr:col>7</xdr:col>
      <xdr:colOff>59530</xdr:colOff>
      <xdr:row>53</xdr:row>
      <xdr:rowOff>154780</xdr:rowOff>
    </xdr:to>
    <xdr:graphicFrame macro="">
      <xdr:nvGraphicFramePr>
        <xdr:cNvPr id="5" name="Chart 4">
          <a:extLst>
            <a:ext uri="{FF2B5EF4-FFF2-40B4-BE49-F238E27FC236}">
              <a16:creationId xmlns:a16="http://schemas.microsoft.com/office/drawing/2014/main" id="{7D2080B0-2F72-6259-C715-2FB2751DE4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550069</xdr:colOff>
      <xdr:row>62</xdr:row>
      <xdr:rowOff>35718</xdr:rowOff>
    </xdr:from>
    <xdr:to>
      <xdr:col>15</xdr:col>
      <xdr:colOff>588169</xdr:colOff>
      <xdr:row>77</xdr:row>
      <xdr:rowOff>64293</xdr:rowOff>
    </xdr:to>
    <xdr:graphicFrame macro="">
      <xdr:nvGraphicFramePr>
        <xdr:cNvPr id="6" name="Chart 5">
          <a:extLst>
            <a:ext uri="{FF2B5EF4-FFF2-40B4-BE49-F238E27FC236}">
              <a16:creationId xmlns:a16="http://schemas.microsoft.com/office/drawing/2014/main" id="{E725BCE6-AC86-AE54-5061-6CC4C64906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602456</xdr:colOff>
      <xdr:row>81</xdr:row>
      <xdr:rowOff>11906</xdr:rowOff>
    </xdr:from>
    <xdr:to>
      <xdr:col>14</xdr:col>
      <xdr:colOff>531019</xdr:colOff>
      <xdr:row>96</xdr:row>
      <xdr:rowOff>50006</xdr:rowOff>
    </xdr:to>
    <xdr:graphicFrame macro="">
      <xdr:nvGraphicFramePr>
        <xdr:cNvPr id="7" name="Chart 6">
          <a:extLst>
            <a:ext uri="{FF2B5EF4-FFF2-40B4-BE49-F238E27FC236}">
              <a16:creationId xmlns:a16="http://schemas.microsoft.com/office/drawing/2014/main" id="{C30B538D-D9BE-423A-964D-8574B26306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1721643</xdr:colOff>
      <xdr:row>86</xdr:row>
      <xdr:rowOff>11905</xdr:rowOff>
    </xdr:from>
    <xdr:to>
      <xdr:col>7</xdr:col>
      <xdr:colOff>188118</xdr:colOff>
      <xdr:row>101</xdr:row>
      <xdr:rowOff>40480</xdr:rowOff>
    </xdr:to>
    <xdr:graphicFrame macro="">
      <xdr:nvGraphicFramePr>
        <xdr:cNvPr id="11" name="Chart 10">
          <a:extLst>
            <a:ext uri="{FF2B5EF4-FFF2-40B4-BE49-F238E27FC236}">
              <a16:creationId xmlns:a16="http://schemas.microsoft.com/office/drawing/2014/main" id="{5DFCDBF1-9DBE-BD9C-E885-E3678D8DC2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235743</xdr:colOff>
      <xdr:row>26</xdr:row>
      <xdr:rowOff>107155</xdr:rowOff>
    </xdr:from>
    <xdr:to>
      <xdr:col>12</xdr:col>
      <xdr:colOff>438150</xdr:colOff>
      <xdr:row>40</xdr:row>
      <xdr:rowOff>0</xdr:rowOff>
    </xdr:to>
    <xdr:graphicFrame macro="">
      <xdr:nvGraphicFramePr>
        <xdr:cNvPr id="12" name="Chart 11">
          <a:extLst>
            <a:ext uri="{FF2B5EF4-FFF2-40B4-BE49-F238E27FC236}">
              <a16:creationId xmlns:a16="http://schemas.microsoft.com/office/drawing/2014/main" id="{00FB661F-5B24-1465-6FE8-07E546B101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14</xdr:col>
      <xdr:colOff>234155</xdr:colOff>
      <xdr:row>20</xdr:row>
      <xdr:rowOff>162982</xdr:rowOff>
    </xdr:from>
    <xdr:to>
      <xdr:col>21</xdr:col>
      <xdr:colOff>185208</xdr:colOff>
      <xdr:row>33</xdr:row>
      <xdr:rowOff>52915</xdr:rowOff>
    </xdr:to>
    <xdr:graphicFrame macro="">
      <xdr:nvGraphicFramePr>
        <xdr:cNvPr id="2" name="Chart 1">
          <a:extLst>
            <a:ext uri="{FF2B5EF4-FFF2-40B4-BE49-F238E27FC236}">
              <a16:creationId xmlns:a16="http://schemas.microsoft.com/office/drawing/2014/main" id="{78294375-9D0B-B688-C7B2-9DE67AAA33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66146</xdr:colOff>
      <xdr:row>20</xdr:row>
      <xdr:rowOff>171979</xdr:rowOff>
    </xdr:from>
    <xdr:to>
      <xdr:col>14</xdr:col>
      <xdr:colOff>66146</xdr:colOff>
      <xdr:row>33</xdr:row>
      <xdr:rowOff>13229</xdr:rowOff>
    </xdr:to>
    <xdr:graphicFrame macro="">
      <xdr:nvGraphicFramePr>
        <xdr:cNvPr id="4" name="Chart 3">
          <a:extLst>
            <a:ext uri="{FF2B5EF4-FFF2-40B4-BE49-F238E27FC236}">
              <a16:creationId xmlns:a16="http://schemas.microsoft.com/office/drawing/2014/main" id="{DAA1DFBC-84C9-47E4-B76A-3550EB4BE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238124</xdr:colOff>
      <xdr:row>6</xdr:row>
      <xdr:rowOff>114301</xdr:rowOff>
    </xdr:from>
    <xdr:to>
      <xdr:col>24</xdr:col>
      <xdr:colOff>398573</xdr:colOff>
      <xdr:row>26</xdr:row>
      <xdr:rowOff>129110</xdr:rowOff>
    </xdr:to>
    <xdr:pic>
      <xdr:nvPicPr>
        <xdr:cNvPr id="2" name="Picture 1">
          <a:extLst>
            <a:ext uri="{FF2B5EF4-FFF2-40B4-BE49-F238E27FC236}">
              <a16:creationId xmlns:a16="http://schemas.microsoft.com/office/drawing/2014/main" id="{6D5D9599-AE1D-4274-8037-924DE83941DB}"/>
            </a:ext>
          </a:extLst>
        </xdr:cNvPr>
        <xdr:cNvPicPr>
          <a:picLocks noChangeAspect="1"/>
        </xdr:cNvPicPr>
      </xdr:nvPicPr>
      <xdr:blipFill>
        <a:blip xmlns:r="http://schemas.openxmlformats.org/officeDocument/2006/relationships" r:embed="rId1"/>
        <a:stretch>
          <a:fillRect/>
        </a:stretch>
      </xdr:blipFill>
      <xdr:spPr>
        <a:xfrm>
          <a:off x="6334124" y="1257301"/>
          <a:ext cx="9304449" cy="3834334"/>
        </a:xfrm>
        <a:prstGeom prst="rect">
          <a:avLst/>
        </a:prstGeom>
      </xdr:spPr>
    </xdr:pic>
    <xdr:clientData/>
  </xdr:twoCellAnchor>
  <xdr:twoCellAnchor editAs="oneCell">
    <xdr:from>
      <xdr:col>11</xdr:col>
      <xdr:colOff>0</xdr:colOff>
      <xdr:row>28</xdr:row>
      <xdr:rowOff>0</xdr:rowOff>
    </xdr:from>
    <xdr:to>
      <xdr:col>21</xdr:col>
      <xdr:colOff>65905</xdr:colOff>
      <xdr:row>62</xdr:row>
      <xdr:rowOff>103950</xdr:rowOff>
    </xdr:to>
    <xdr:pic>
      <xdr:nvPicPr>
        <xdr:cNvPr id="3" name="Picture 2">
          <a:extLst>
            <a:ext uri="{FF2B5EF4-FFF2-40B4-BE49-F238E27FC236}">
              <a16:creationId xmlns:a16="http://schemas.microsoft.com/office/drawing/2014/main" id="{8B383F91-E60F-4BD7-B8D0-096BEFBFD3AA}"/>
            </a:ext>
          </a:extLst>
        </xdr:cNvPr>
        <xdr:cNvPicPr>
          <a:picLocks noChangeAspect="1"/>
        </xdr:cNvPicPr>
      </xdr:nvPicPr>
      <xdr:blipFill>
        <a:blip xmlns:r="http://schemas.openxmlformats.org/officeDocument/2006/relationships" r:embed="rId2"/>
        <a:stretch>
          <a:fillRect/>
        </a:stretch>
      </xdr:blipFill>
      <xdr:spPr>
        <a:xfrm>
          <a:off x="7781925" y="5334000"/>
          <a:ext cx="6161905" cy="6600000"/>
        </a:xfrm>
        <a:prstGeom prst="rect">
          <a:avLst/>
        </a:prstGeom>
      </xdr:spPr>
    </xdr:pic>
    <xdr:clientData/>
  </xdr:twoCellAnchor>
  <xdr:twoCellAnchor>
    <xdr:from>
      <xdr:col>4</xdr:col>
      <xdr:colOff>652462</xdr:colOff>
      <xdr:row>44</xdr:row>
      <xdr:rowOff>147637</xdr:rowOff>
    </xdr:from>
    <xdr:to>
      <xdr:col>8</xdr:col>
      <xdr:colOff>300037</xdr:colOff>
      <xdr:row>59</xdr:row>
      <xdr:rowOff>33337</xdr:rowOff>
    </xdr:to>
    <xdr:graphicFrame macro="">
      <xdr:nvGraphicFramePr>
        <xdr:cNvPr id="4" name="Chart 3">
          <a:extLst>
            <a:ext uri="{FF2B5EF4-FFF2-40B4-BE49-F238E27FC236}">
              <a16:creationId xmlns:a16="http://schemas.microsoft.com/office/drawing/2014/main" id="{6AEA261B-0942-4C5B-A405-7416206F11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1624012</xdr:colOff>
      <xdr:row>64</xdr:row>
      <xdr:rowOff>166687</xdr:rowOff>
    </xdr:from>
    <xdr:to>
      <xdr:col>10</xdr:col>
      <xdr:colOff>52387</xdr:colOff>
      <xdr:row>79</xdr:row>
      <xdr:rowOff>52387</xdr:rowOff>
    </xdr:to>
    <xdr:graphicFrame macro="">
      <xdr:nvGraphicFramePr>
        <xdr:cNvPr id="5" name="Chart 4">
          <a:extLst>
            <a:ext uri="{FF2B5EF4-FFF2-40B4-BE49-F238E27FC236}">
              <a16:creationId xmlns:a16="http://schemas.microsoft.com/office/drawing/2014/main" id="{85E89D6B-1E26-4C68-ABB3-93F0EA6B56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4762</xdr:colOff>
      <xdr:row>87</xdr:row>
      <xdr:rowOff>14287</xdr:rowOff>
    </xdr:from>
    <xdr:to>
      <xdr:col>15</xdr:col>
      <xdr:colOff>309562</xdr:colOff>
      <xdr:row>101</xdr:row>
      <xdr:rowOff>90487</xdr:rowOff>
    </xdr:to>
    <xdr:graphicFrame macro="">
      <xdr:nvGraphicFramePr>
        <xdr:cNvPr id="6" name="Chart 5">
          <a:extLst>
            <a:ext uri="{FF2B5EF4-FFF2-40B4-BE49-F238E27FC236}">
              <a16:creationId xmlns:a16="http://schemas.microsoft.com/office/drawing/2014/main" id="{82180EBC-4DA2-4F03-9F9F-B8749CE5F9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167640</xdr:colOff>
      <xdr:row>25</xdr:row>
      <xdr:rowOff>187642</xdr:rowOff>
    </xdr:from>
    <xdr:to>
      <xdr:col>16</xdr:col>
      <xdr:colOff>115728</xdr:colOff>
      <xdr:row>40</xdr:row>
      <xdr:rowOff>187642</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171450</xdr:colOff>
      <xdr:row>76</xdr:row>
      <xdr:rowOff>180975</xdr:rowOff>
    </xdr:from>
    <xdr:to>
      <xdr:col>14</xdr:col>
      <xdr:colOff>180975</xdr:colOff>
      <xdr:row>91</xdr:row>
      <xdr:rowOff>66675</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209550</xdr:colOff>
      <xdr:row>116</xdr:row>
      <xdr:rowOff>90486</xdr:rowOff>
    </xdr:from>
    <xdr:to>
      <xdr:col>9</xdr:col>
      <xdr:colOff>1066800</xdr:colOff>
      <xdr:row>132</xdr:row>
      <xdr:rowOff>152399</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338137</xdr:colOff>
      <xdr:row>140</xdr:row>
      <xdr:rowOff>109537</xdr:rowOff>
    </xdr:from>
    <xdr:to>
      <xdr:col>9</xdr:col>
      <xdr:colOff>185737</xdr:colOff>
      <xdr:row>153</xdr:row>
      <xdr:rowOff>52387</xdr:rowOff>
    </xdr:to>
    <xdr:graphicFrame macro="">
      <xdr:nvGraphicFramePr>
        <xdr:cNvPr id="5" name="Chart 4">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533399</xdr:colOff>
      <xdr:row>79</xdr:row>
      <xdr:rowOff>38100</xdr:rowOff>
    </xdr:from>
    <xdr:to>
      <xdr:col>26</xdr:col>
      <xdr:colOff>66674</xdr:colOff>
      <xdr:row>94</xdr:row>
      <xdr:rowOff>76200</xdr:rowOff>
    </xdr:to>
    <xdr:graphicFrame macro="">
      <xdr:nvGraphicFramePr>
        <xdr:cNvPr id="6" name="Chart 5">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561975</xdr:colOff>
      <xdr:row>101</xdr:row>
      <xdr:rowOff>104774</xdr:rowOff>
    </xdr:from>
    <xdr:to>
      <xdr:col>25</xdr:col>
      <xdr:colOff>295275</xdr:colOff>
      <xdr:row>116</xdr:row>
      <xdr:rowOff>190499</xdr:rowOff>
    </xdr:to>
    <xdr:graphicFrame macro="">
      <xdr:nvGraphicFramePr>
        <xdr:cNvPr id="7" name="Chart 6">
          <a:extLst>
            <a:ext uri="{FF2B5EF4-FFF2-40B4-BE49-F238E27FC236}">
              <a16:creationId xmlns:a16="http://schemas.microsoft.com/office/drawing/2014/main" id="{00000000-0008-0000-0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2013 - 2022 Theme">
  <a:themeElements>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New AVCo">
    <a:dk1>
      <a:srgbClr val="0D355B"/>
    </a:dk1>
    <a:lt1>
      <a:srgbClr val="FFFFFF"/>
    </a:lt1>
    <a:dk2>
      <a:srgbClr val="4D96E5"/>
    </a:dk2>
    <a:lt2>
      <a:srgbClr val="3250BE"/>
    </a:lt2>
    <a:accent1>
      <a:srgbClr val="A4B8F2"/>
    </a:accent1>
    <a:accent2>
      <a:srgbClr val="BAA48B"/>
    </a:accent2>
    <a:accent3>
      <a:srgbClr val="0A5268"/>
    </a:accent3>
    <a:accent4>
      <a:srgbClr val="FFFF99"/>
    </a:accent4>
    <a:accent5>
      <a:srgbClr val="F24E4A"/>
    </a:accent5>
    <a:accent6>
      <a:srgbClr val="3AC943"/>
    </a:accent6>
    <a:hlink>
      <a:srgbClr val="2985E0"/>
    </a:hlink>
    <a:folHlink>
      <a:srgbClr val="7030A0"/>
    </a:folHlink>
  </a:clrScheme>
  <a:fontScheme name="New AVCo">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New AVCo">
    <a:dk1>
      <a:srgbClr val="0D355B"/>
    </a:dk1>
    <a:lt1>
      <a:srgbClr val="FFFFFF"/>
    </a:lt1>
    <a:dk2>
      <a:srgbClr val="4D96E5"/>
    </a:dk2>
    <a:lt2>
      <a:srgbClr val="3250BE"/>
    </a:lt2>
    <a:accent1>
      <a:srgbClr val="A4B8F2"/>
    </a:accent1>
    <a:accent2>
      <a:srgbClr val="BAA48B"/>
    </a:accent2>
    <a:accent3>
      <a:srgbClr val="0A5268"/>
    </a:accent3>
    <a:accent4>
      <a:srgbClr val="FFFF99"/>
    </a:accent4>
    <a:accent5>
      <a:srgbClr val="F24E4A"/>
    </a:accent5>
    <a:accent6>
      <a:srgbClr val="3AC943"/>
    </a:accent6>
    <a:hlink>
      <a:srgbClr val="2985E0"/>
    </a:hlink>
    <a:folHlink>
      <a:srgbClr val="7030A0"/>
    </a:folHlink>
  </a:clrScheme>
  <a:fontScheme name="New AVCo">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david@newstreetresearch.com" TargetMode="External"/><Relationship Id="rId1" Type="http://schemas.openxmlformats.org/officeDocument/2006/relationships/hyperlink" Target="mailto:chris@newstreetresearch.com"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99901-5FBD-4FFC-A3E9-24EA205FF622}">
  <sheetPr codeName="Sheet1">
    <tabColor theme="0"/>
  </sheetPr>
  <dimension ref="A1:GH263"/>
  <sheetViews>
    <sheetView tabSelected="1" zoomScale="72" zoomScaleNormal="72" workbookViewId="0"/>
  </sheetViews>
  <sheetFormatPr defaultRowHeight="15"/>
  <cols>
    <col min="1" max="1" width="2" customWidth="1"/>
    <col min="2" max="2" width="19.140625" customWidth="1"/>
  </cols>
  <sheetData>
    <row r="1" spans="1:190">
      <c r="A1" s="473" t="s">
        <v>1096</v>
      </c>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row>
    <row r="2" spans="1:190" ht="68.25" customHeight="1">
      <c r="A2" s="474"/>
      <c r="B2" s="474"/>
      <c r="C2" s="474"/>
      <c r="D2" s="474"/>
      <c r="E2" s="474"/>
      <c r="F2" s="474"/>
      <c r="G2" s="474"/>
      <c r="H2" s="474"/>
      <c r="I2" s="474"/>
      <c r="J2" s="474"/>
      <c r="K2" s="474"/>
      <c r="L2" s="474"/>
      <c r="M2" s="474"/>
      <c r="N2" s="474"/>
      <c r="O2" s="474"/>
      <c r="P2" s="474"/>
      <c r="Q2" s="474"/>
      <c r="R2" s="474"/>
      <c r="S2" s="474"/>
      <c r="T2" s="474"/>
      <c r="U2" s="474"/>
      <c r="V2" s="474"/>
      <c r="W2" s="474"/>
      <c r="X2" s="474"/>
      <c r="Y2" s="474"/>
      <c r="Z2" s="47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row>
    <row r="3" spans="1:190">
      <c r="A3" s="473"/>
      <c r="B3" s="474"/>
      <c r="C3" s="474"/>
      <c r="D3" s="474"/>
      <c r="E3" s="474"/>
      <c r="F3" s="474"/>
      <c r="G3" s="474"/>
      <c r="H3" s="474"/>
      <c r="I3" s="474"/>
      <c r="J3" s="474"/>
      <c r="K3" s="474"/>
      <c r="L3" s="474"/>
      <c r="M3" s="474"/>
      <c r="N3" s="474"/>
      <c r="O3" s="474"/>
      <c r="P3" s="474"/>
      <c r="Q3" s="474"/>
      <c r="R3" s="474"/>
      <c r="S3" s="474"/>
      <c r="T3" s="474"/>
      <c r="U3" s="474"/>
      <c r="V3" s="474"/>
      <c r="W3" s="474"/>
      <c r="X3" s="474"/>
      <c r="Y3" s="474"/>
      <c r="Z3" s="47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row>
    <row r="4" spans="1:190">
      <c r="A4" s="475"/>
      <c r="B4" s="475"/>
      <c r="C4" s="475"/>
      <c r="D4" s="475"/>
      <c r="E4" s="475"/>
      <c r="F4" s="475"/>
      <c r="G4" s="475"/>
      <c r="H4" s="475"/>
      <c r="I4" s="475"/>
      <c r="J4" s="475"/>
      <c r="K4" s="475"/>
      <c r="L4" s="475"/>
      <c r="M4" s="475"/>
      <c r="N4" s="475"/>
      <c r="O4" s="475"/>
      <c r="P4" s="475"/>
      <c r="Q4" s="475"/>
      <c r="R4" s="475"/>
      <c r="S4" s="475"/>
      <c r="T4" s="475"/>
      <c r="U4" s="475"/>
      <c r="V4" s="475"/>
      <c r="W4" s="475"/>
      <c r="X4" s="475"/>
      <c r="Y4" s="475"/>
      <c r="Z4" s="475"/>
      <c r="AA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325"/>
      <c r="CK4" s="325"/>
      <c r="CL4" s="325"/>
      <c r="CM4" s="325"/>
      <c r="CN4" s="325"/>
      <c r="CO4" s="325"/>
      <c r="CP4" s="325"/>
      <c r="CQ4" s="325"/>
      <c r="CR4" s="325"/>
      <c r="CS4" s="325"/>
      <c r="CT4" s="325"/>
      <c r="CU4" s="325"/>
      <c r="CV4" s="325"/>
      <c r="CW4" s="325"/>
      <c r="CX4" s="325"/>
      <c r="CY4" s="325"/>
      <c r="CZ4" s="325"/>
      <c r="DA4" s="325"/>
      <c r="DB4" s="325"/>
      <c r="DC4" s="325"/>
      <c r="DD4" s="325"/>
      <c r="DE4" s="325"/>
      <c r="DF4" s="325"/>
      <c r="DG4" s="325"/>
      <c r="DH4" s="325"/>
      <c r="DI4" s="325"/>
      <c r="DJ4" s="325"/>
      <c r="DK4" s="325"/>
      <c r="DL4" s="325"/>
      <c r="DM4" s="325"/>
      <c r="DN4" s="325"/>
      <c r="DO4" s="325"/>
      <c r="DP4" s="325"/>
      <c r="DQ4" s="325"/>
      <c r="DR4" s="325"/>
      <c r="DS4" s="325"/>
      <c r="DT4" s="325"/>
      <c r="DU4" s="325"/>
      <c r="DV4" s="325"/>
      <c r="DW4" s="325"/>
      <c r="DX4" s="325"/>
      <c r="DY4" s="325"/>
      <c r="DZ4" s="325"/>
      <c r="EA4" s="325"/>
      <c r="EB4" s="325"/>
      <c r="EC4" s="325"/>
      <c r="ED4" s="325"/>
      <c r="EE4" s="325"/>
      <c r="EF4" s="325"/>
      <c r="EG4" s="325"/>
      <c r="EH4" s="325"/>
      <c r="EI4" s="325"/>
      <c r="EJ4" s="325"/>
      <c r="EK4" s="325"/>
      <c r="EL4" s="325"/>
      <c r="EM4" s="325"/>
      <c r="EN4" s="325"/>
      <c r="EO4" s="325"/>
      <c r="EP4" s="325"/>
      <c r="EQ4" s="325"/>
      <c r="ER4" s="325"/>
      <c r="ES4" s="325"/>
      <c r="ET4" s="325"/>
      <c r="EU4" s="325"/>
      <c r="EV4" s="325"/>
      <c r="EW4" s="325"/>
      <c r="EX4" s="325"/>
      <c r="EY4" s="325"/>
      <c r="EZ4" s="325"/>
      <c r="FA4" s="325"/>
      <c r="FB4" s="325"/>
      <c r="FC4" s="325"/>
      <c r="FD4" s="325"/>
      <c r="FE4" s="325"/>
      <c r="FF4" s="325"/>
      <c r="FG4" s="325"/>
      <c r="FH4" s="325"/>
      <c r="FI4" s="325"/>
      <c r="FJ4" s="325"/>
      <c r="FK4" s="325"/>
      <c r="FL4" s="325"/>
      <c r="FM4" s="325"/>
      <c r="FN4" s="325"/>
      <c r="FO4" s="325"/>
      <c r="FP4" s="325"/>
      <c r="FQ4" s="325"/>
      <c r="FR4" s="325"/>
      <c r="FS4" s="325"/>
      <c r="FT4" s="325"/>
      <c r="FU4" s="325"/>
      <c r="FV4" s="325"/>
      <c r="FW4" s="325"/>
      <c r="FX4" s="325"/>
      <c r="FY4" s="325"/>
      <c r="FZ4" s="325"/>
      <c r="GA4" s="325"/>
      <c r="GB4" s="325"/>
      <c r="GC4" s="325"/>
      <c r="GD4" s="325"/>
      <c r="GE4" s="325"/>
      <c r="GF4" s="325"/>
      <c r="GG4" s="325"/>
      <c r="GH4" s="325"/>
    </row>
    <row r="5" spans="1:190">
      <c r="A5" s="475"/>
      <c r="B5" s="476" t="s">
        <v>688</v>
      </c>
      <c r="C5" s="475"/>
      <c r="D5" s="475"/>
      <c r="E5" s="475"/>
      <c r="F5" s="475"/>
      <c r="G5" s="475"/>
      <c r="H5" s="475"/>
      <c r="I5" s="475"/>
      <c r="J5" s="475"/>
      <c r="K5" s="475"/>
      <c r="L5" s="475"/>
      <c r="M5" s="475"/>
      <c r="N5" s="475"/>
      <c r="O5" s="475"/>
      <c r="P5" s="475"/>
      <c r="Q5" s="475"/>
      <c r="R5" s="475"/>
      <c r="S5" s="475"/>
      <c r="T5" s="475"/>
      <c r="U5" s="475"/>
      <c r="V5" s="475"/>
      <c r="W5" s="475"/>
      <c r="X5" s="475"/>
      <c r="Y5" s="475"/>
      <c r="Z5" s="475"/>
      <c r="AA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c r="DN5" s="325"/>
      <c r="DO5" s="325"/>
      <c r="DP5" s="325"/>
      <c r="DQ5" s="325"/>
      <c r="DR5" s="325"/>
      <c r="DS5" s="325"/>
      <c r="DT5" s="325"/>
      <c r="DU5" s="325"/>
      <c r="DV5" s="325"/>
      <c r="DW5" s="325"/>
      <c r="DX5" s="325"/>
      <c r="DY5" s="325"/>
      <c r="DZ5" s="325"/>
      <c r="EA5" s="325"/>
      <c r="EB5" s="325"/>
      <c r="EC5" s="325"/>
      <c r="ED5" s="325"/>
      <c r="EE5" s="325"/>
      <c r="EF5" s="325"/>
      <c r="EG5" s="325"/>
      <c r="EH5" s="325"/>
      <c r="EI5" s="325"/>
      <c r="EJ5" s="325"/>
      <c r="EK5" s="325"/>
      <c r="EL5" s="325"/>
      <c r="EM5" s="325"/>
      <c r="EN5" s="325"/>
      <c r="EO5" s="325"/>
      <c r="EP5" s="325"/>
      <c r="EQ5" s="325"/>
      <c r="ER5" s="325"/>
      <c r="ES5" s="325"/>
      <c r="ET5" s="325"/>
      <c r="EU5" s="325"/>
      <c r="EV5" s="325"/>
      <c r="EW5" s="325"/>
      <c r="EX5" s="325"/>
      <c r="EY5" s="325"/>
      <c r="EZ5" s="325"/>
      <c r="FA5" s="325"/>
      <c r="FB5" s="325"/>
      <c r="FC5" s="325"/>
      <c r="FD5" s="325"/>
      <c r="FE5" s="325"/>
      <c r="FF5" s="325"/>
      <c r="FG5" s="325"/>
      <c r="FH5" s="325"/>
      <c r="FI5" s="325"/>
      <c r="FJ5" s="325"/>
      <c r="FK5" s="325"/>
      <c r="FL5" s="325"/>
      <c r="FM5" s="325"/>
      <c r="FN5" s="325"/>
      <c r="FO5" s="325"/>
      <c r="FP5" s="325"/>
      <c r="FQ5" s="325"/>
      <c r="FR5" s="325"/>
      <c r="FS5" s="325"/>
      <c r="FT5" s="325"/>
      <c r="FU5" s="325"/>
      <c r="FV5" s="325"/>
      <c r="FW5" s="325"/>
      <c r="FX5" s="325"/>
      <c r="FY5" s="325"/>
      <c r="FZ5" s="325"/>
      <c r="GA5" s="325"/>
      <c r="GB5" s="325"/>
      <c r="GC5" s="325"/>
      <c r="GD5" s="325"/>
      <c r="GE5" s="325"/>
      <c r="GF5" s="325"/>
      <c r="GG5" s="325"/>
      <c r="GH5" s="325"/>
    </row>
    <row r="6" spans="1:190">
      <c r="A6" s="475"/>
      <c r="B6" s="475"/>
      <c r="C6" s="475"/>
      <c r="D6" s="475"/>
      <c r="E6" s="475"/>
      <c r="F6" s="475"/>
      <c r="G6" s="475"/>
      <c r="H6" s="475"/>
      <c r="I6" s="475"/>
      <c r="J6" s="475"/>
      <c r="K6" s="475"/>
      <c r="L6" s="475"/>
      <c r="M6" s="475"/>
      <c r="N6" s="475"/>
      <c r="O6" s="475"/>
      <c r="P6" s="475"/>
      <c r="Q6" s="475"/>
      <c r="R6" s="475"/>
      <c r="S6" s="475"/>
      <c r="T6" s="475"/>
      <c r="U6" s="475"/>
      <c r="V6" s="475"/>
      <c r="W6" s="475"/>
      <c r="X6" s="475"/>
      <c r="Y6" s="475"/>
      <c r="Z6" s="475"/>
      <c r="AA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c r="DN6" s="325"/>
      <c r="DO6" s="325"/>
      <c r="DP6" s="325"/>
      <c r="DQ6" s="325"/>
      <c r="DR6" s="325"/>
      <c r="DS6" s="325"/>
      <c r="DT6" s="325"/>
      <c r="DU6" s="325"/>
      <c r="DV6" s="325"/>
      <c r="DW6" s="325"/>
      <c r="DX6" s="325"/>
      <c r="DY6" s="325"/>
      <c r="DZ6" s="325"/>
      <c r="EA6" s="325"/>
      <c r="EB6" s="325"/>
      <c r="EC6" s="325"/>
      <c r="ED6" s="325"/>
      <c r="EE6" s="325"/>
      <c r="EF6" s="325"/>
      <c r="EG6" s="325"/>
      <c r="EH6" s="325"/>
      <c r="EI6" s="325"/>
      <c r="EJ6" s="325"/>
      <c r="EK6" s="325"/>
      <c r="EL6" s="325"/>
      <c r="EM6" s="325"/>
      <c r="EN6" s="325"/>
      <c r="EO6" s="325"/>
      <c r="EP6" s="325"/>
      <c r="EQ6" s="325"/>
      <c r="ER6" s="325"/>
      <c r="ES6" s="325"/>
      <c r="ET6" s="325"/>
      <c r="EU6" s="325"/>
      <c r="EV6" s="325"/>
      <c r="EW6" s="325"/>
      <c r="EX6" s="325"/>
      <c r="EY6" s="325"/>
      <c r="EZ6" s="325"/>
      <c r="FA6" s="325"/>
      <c r="FB6" s="325"/>
      <c r="FC6" s="325"/>
      <c r="FD6" s="325"/>
      <c r="FE6" s="325"/>
      <c r="FF6" s="325"/>
      <c r="FG6" s="325"/>
      <c r="FH6" s="325"/>
      <c r="FI6" s="325"/>
      <c r="FJ6" s="325"/>
      <c r="FK6" s="325"/>
      <c r="FL6" s="325"/>
      <c r="FM6" s="325"/>
      <c r="FN6" s="325"/>
      <c r="FO6" s="325"/>
      <c r="FP6" s="325"/>
      <c r="FQ6" s="325"/>
      <c r="FR6" s="325"/>
      <c r="FS6" s="325"/>
      <c r="FT6" s="325"/>
      <c r="FU6" s="325"/>
      <c r="FV6" s="325"/>
      <c r="FW6" s="325"/>
      <c r="FX6" s="325"/>
      <c r="FY6" s="325"/>
      <c r="FZ6" s="325"/>
      <c r="GA6" s="325"/>
      <c r="GB6" s="325"/>
      <c r="GC6" s="325"/>
      <c r="GD6" s="325"/>
      <c r="GE6" s="325"/>
      <c r="GF6" s="325"/>
      <c r="GG6" s="325"/>
      <c r="GH6" s="325"/>
    </row>
    <row r="7" spans="1:190">
      <c r="A7" s="146"/>
      <c r="B7" s="475" t="s">
        <v>678</v>
      </c>
      <c r="C7" s="475" t="s">
        <v>689</v>
      </c>
      <c r="D7" s="475"/>
      <c r="E7" s="475"/>
      <c r="F7" s="475"/>
      <c r="G7" s="475"/>
      <c r="H7" s="475"/>
      <c r="I7" s="475"/>
      <c r="J7" s="475"/>
      <c r="K7" s="475"/>
      <c r="L7" s="475"/>
      <c r="M7" s="475"/>
      <c r="N7" s="475"/>
      <c r="O7" s="475"/>
      <c r="P7" s="475"/>
      <c r="Q7" s="475"/>
      <c r="R7" s="475"/>
      <c r="S7" s="475"/>
      <c r="T7" s="475"/>
      <c r="U7" s="475"/>
      <c r="V7" s="475"/>
      <c r="W7" s="475"/>
      <c r="X7" s="475"/>
      <c r="Y7" s="475"/>
      <c r="Z7" s="475"/>
      <c r="AA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c r="DN7" s="325"/>
      <c r="DO7" s="325"/>
      <c r="DP7" s="325"/>
      <c r="DQ7" s="325"/>
      <c r="DR7" s="325"/>
      <c r="DS7" s="325"/>
      <c r="DT7" s="325"/>
      <c r="DU7" s="325"/>
      <c r="DV7" s="325"/>
      <c r="DW7" s="325"/>
      <c r="DX7" s="325"/>
      <c r="DY7" s="325"/>
      <c r="DZ7" s="325"/>
      <c r="EA7" s="325"/>
      <c r="EB7" s="325"/>
      <c r="EC7" s="325"/>
      <c r="ED7" s="325"/>
      <c r="EE7" s="325"/>
      <c r="EF7" s="325"/>
      <c r="EG7" s="325"/>
      <c r="EH7" s="325"/>
      <c r="EI7" s="325"/>
      <c r="EJ7" s="325"/>
      <c r="EK7" s="325"/>
      <c r="EL7" s="325"/>
      <c r="EM7" s="325"/>
      <c r="EN7" s="325"/>
      <c r="EO7" s="325"/>
      <c r="EP7" s="325"/>
      <c r="EQ7" s="325"/>
      <c r="ER7" s="325"/>
      <c r="ES7" s="325"/>
      <c r="ET7" s="325"/>
      <c r="EU7" s="325"/>
      <c r="EV7" s="325"/>
      <c r="EW7" s="325"/>
      <c r="EX7" s="325"/>
      <c r="EY7" s="325"/>
      <c r="EZ7" s="325"/>
      <c r="FA7" s="325"/>
      <c r="FB7" s="325"/>
      <c r="FC7" s="325"/>
      <c r="FD7" s="325"/>
      <c r="FE7" s="325"/>
      <c r="FF7" s="325"/>
      <c r="FG7" s="325"/>
      <c r="FH7" s="325"/>
      <c r="FI7" s="325"/>
      <c r="FJ7" s="325"/>
      <c r="FK7" s="325"/>
      <c r="FL7" s="325"/>
      <c r="FM7" s="325"/>
      <c r="FN7" s="325"/>
      <c r="FO7" s="325"/>
      <c r="FP7" s="325"/>
      <c r="FQ7" s="325"/>
      <c r="FR7" s="325"/>
      <c r="FS7" s="325"/>
      <c r="FT7" s="325"/>
      <c r="FU7" s="325"/>
      <c r="FV7" s="325"/>
      <c r="FW7" s="325"/>
      <c r="FX7" s="325"/>
      <c r="FY7" s="325"/>
      <c r="FZ7" s="325"/>
      <c r="GA7" s="325"/>
      <c r="GB7" s="325"/>
      <c r="GC7" s="325"/>
      <c r="GD7" s="325"/>
      <c r="GE7" s="325"/>
      <c r="GF7" s="325"/>
      <c r="GG7" s="325"/>
      <c r="GH7" s="325"/>
    </row>
    <row r="8" spans="1:190">
      <c r="A8" s="146"/>
      <c r="B8" s="475"/>
      <c r="C8" s="475"/>
      <c r="D8" s="475"/>
      <c r="E8" s="475"/>
      <c r="F8" s="475"/>
      <c r="G8" s="475"/>
      <c r="H8" s="475"/>
      <c r="I8" s="475"/>
      <c r="J8" s="475"/>
      <c r="K8" s="475"/>
      <c r="L8" s="475"/>
      <c r="M8" s="475"/>
      <c r="N8" s="475"/>
      <c r="O8" s="475"/>
      <c r="P8" s="475"/>
      <c r="Q8" s="475"/>
      <c r="R8" s="475"/>
      <c r="S8" s="475"/>
      <c r="T8" s="475"/>
      <c r="U8" s="475"/>
      <c r="V8" s="475"/>
      <c r="W8" s="475"/>
      <c r="X8" s="475"/>
      <c r="Y8" s="475"/>
      <c r="Z8" s="475"/>
      <c r="AA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c r="DN8" s="325"/>
      <c r="DO8" s="325"/>
      <c r="DP8" s="325"/>
      <c r="DQ8" s="325"/>
      <c r="DR8" s="325"/>
      <c r="DS8" s="325"/>
      <c r="DT8" s="325"/>
      <c r="DU8" s="325"/>
      <c r="DV8" s="325"/>
      <c r="DW8" s="325"/>
      <c r="DX8" s="325"/>
      <c r="DY8" s="325"/>
      <c r="DZ8" s="325"/>
      <c r="EA8" s="325"/>
      <c r="EB8" s="325"/>
      <c r="EC8" s="325"/>
      <c r="ED8" s="325"/>
      <c r="EE8" s="325"/>
      <c r="EF8" s="325"/>
      <c r="EG8" s="325"/>
      <c r="EH8" s="325"/>
      <c r="EI8" s="325"/>
      <c r="EJ8" s="325"/>
      <c r="EK8" s="325"/>
      <c r="EL8" s="325"/>
      <c r="EM8" s="325"/>
      <c r="EN8" s="325"/>
      <c r="EO8" s="325"/>
      <c r="EP8" s="325"/>
      <c r="EQ8" s="325"/>
      <c r="ER8" s="325"/>
      <c r="ES8" s="325"/>
      <c r="ET8" s="325"/>
      <c r="EU8" s="325"/>
      <c r="EV8" s="325"/>
      <c r="EW8" s="325"/>
      <c r="EX8" s="325"/>
      <c r="EY8" s="325"/>
      <c r="EZ8" s="325"/>
      <c r="FA8" s="325"/>
      <c r="FB8" s="325"/>
      <c r="FC8" s="325"/>
      <c r="FD8" s="325"/>
      <c r="FE8" s="325"/>
      <c r="FF8" s="325"/>
      <c r="FG8" s="325"/>
      <c r="FH8" s="325"/>
      <c r="FI8" s="325"/>
      <c r="FJ8" s="325"/>
      <c r="FK8" s="325"/>
      <c r="FL8" s="325"/>
      <c r="FM8" s="325"/>
      <c r="FN8" s="325"/>
      <c r="FO8" s="325"/>
      <c r="FP8" s="325"/>
      <c r="FQ8" s="325"/>
      <c r="FR8" s="325"/>
      <c r="FS8" s="325"/>
      <c r="FT8" s="325"/>
      <c r="FU8" s="325"/>
      <c r="FV8" s="325"/>
      <c r="FW8" s="325"/>
      <c r="FX8" s="325"/>
      <c r="FY8" s="325"/>
      <c r="FZ8" s="325"/>
      <c r="GA8" s="325"/>
      <c r="GB8" s="325"/>
      <c r="GC8" s="325"/>
      <c r="GD8" s="325"/>
      <c r="GE8" s="325"/>
      <c r="GF8" s="325"/>
      <c r="GG8" s="325"/>
      <c r="GH8" s="325"/>
    </row>
    <row r="9" spans="1:190">
      <c r="A9" s="146"/>
      <c r="B9" s="475" t="s">
        <v>783</v>
      </c>
      <c r="C9" s="475" t="s">
        <v>782</v>
      </c>
      <c r="D9" s="475"/>
      <c r="E9" s="475"/>
      <c r="F9" s="475"/>
      <c r="G9" s="475"/>
      <c r="H9" s="475"/>
      <c r="I9" s="475"/>
      <c r="J9" s="475"/>
      <c r="K9" s="475"/>
      <c r="L9" s="475"/>
      <c r="M9" s="475"/>
      <c r="N9" s="475"/>
      <c r="O9" s="475"/>
      <c r="P9" s="475"/>
      <c r="Q9" s="475"/>
      <c r="R9" s="475"/>
      <c r="S9" s="475"/>
      <c r="T9" s="475"/>
      <c r="U9" s="475"/>
      <c r="V9" s="475"/>
      <c r="W9" s="475"/>
      <c r="X9" s="475"/>
      <c r="Y9" s="475"/>
      <c r="Z9" s="475"/>
      <c r="AA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1"/>
      <c r="CF9" s="121"/>
      <c r="CG9" s="121"/>
      <c r="CH9" s="121"/>
      <c r="CI9" s="121"/>
      <c r="CJ9" s="121"/>
      <c r="CK9" s="121"/>
      <c r="CL9" s="121"/>
      <c r="CM9" s="121"/>
      <c r="CN9" s="121"/>
      <c r="CO9" s="121"/>
      <c r="CP9" s="121"/>
      <c r="CQ9" s="121"/>
      <c r="CR9" s="121"/>
      <c r="CS9" s="121"/>
      <c r="CT9" s="121"/>
      <c r="CU9" s="121"/>
      <c r="CV9" s="121"/>
      <c r="CW9" s="121"/>
      <c r="CX9" s="121"/>
      <c r="CY9" s="121"/>
      <c r="CZ9" s="121"/>
      <c r="DA9" s="121"/>
      <c r="DB9" s="121"/>
      <c r="DC9" s="121"/>
      <c r="DD9" s="121"/>
      <c r="DE9" s="121"/>
      <c r="DF9" s="121"/>
      <c r="DG9" s="121"/>
      <c r="DH9" s="121"/>
      <c r="DI9" s="121"/>
      <c r="DJ9" s="121"/>
      <c r="DK9" s="121"/>
      <c r="DL9" s="121"/>
      <c r="DM9" s="121"/>
      <c r="DN9" s="121"/>
      <c r="DO9" s="121"/>
      <c r="DP9" s="121"/>
      <c r="DQ9" s="121"/>
      <c r="DR9" s="121"/>
      <c r="DS9" s="121"/>
      <c r="DT9" s="121"/>
      <c r="DU9" s="121"/>
      <c r="DV9" s="121"/>
      <c r="DW9" s="121"/>
      <c r="DX9" s="121"/>
      <c r="DY9" s="121"/>
      <c r="DZ9" s="121"/>
      <c r="EA9" s="121"/>
      <c r="EB9" s="121"/>
      <c r="EC9" s="121"/>
      <c r="ED9" s="121"/>
      <c r="EE9" s="121"/>
      <c r="EF9" s="121"/>
      <c r="EG9" s="121"/>
      <c r="EH9" s="121"/>
      <c r="EI9" s="121"/>
      <c r="EJ9" s="121"/>
      <c r="EK9" s="121"/>
      <c r="EL9" s="121"/>
      <c r="EM9" s="121"/>
      <c r="EN9" s="121"/>
      <c r="EO9" s="121"/>
      <c r="EP9" s="121"/>
      <c r="EQ9" s="121"/>
      <c r="ER9" s="121"/>
      <c r="ES9" s="121"/>
      <c r="ET9" s="121"/>
      <c r="EU9" s="121"/>
      <c r="EV9" s="121"/>
      <c r="EW9" s="121"/>
      <c r="EX9" s="121"/>
      <c r="EY9" s="121"/>
      <c r="EZ9" s="121"/>
      <c r="FA9" s="121"/>
      <c r="FB9" s="121"/>
      <c r="FC9" s="121"/>
      <c r="FD9" s="121"/>
      <c r="FE9" s="121"/>
      <c r="FF9" s="121"/>
      <c r="FG9" s="121"/>
      <c r="FH9" s="121"/>
      <c r="FI9" s="121"/>
      <c r="FJ9" s="121"/>
      <c r="FK9" s="121"/>
      <c r="FL9" s="121"/>
      <c r="FM9" s="121"/>
      <c r="FN9" s="121"/>
      <c r="FO9" s="121"/>
      <c r="FP9" s="121"/>
      <c r="FQ9" s="121"/>
      <c r="FR9" s="121"/>
      <c r="FS9" s="121"/>
      <c r="FT9" s="121"/>
      <c r="FU9" s="121"/>
      <c r="FV9" s="121"/>
      <c r="FW9" s="121"/>
      <c r="FX9" s="121"/>
      <c r="FY9" s="121"/>
      <c r="FZ9" s="121"/>
      <c r="GA9" s="121"/>
      <c r="GB9" s="121"/>
      <c r="GC9" s="121"/>
      <c r="GD9" s="121"/>
      <c r="GE9" s="121"/>
      <c r="GF9" s="121"/>
      <c r="GG9" s="121"/>
      <c r="GH9" s="121"/>
    </row>
    <row r="10" spans="1:190">
      <c r="A10" s="146"/>
      <c r="B10" s="475" t="s">
        <v>784</v>
      </c>
      <c r="C10" s="477" t="s">
        <v>1192</v>
      </c>
      <c r="D10" s="146"/>
      <c r="E10" s="475"/>
      <c r="F10" s="475"/>
      <c r="G10" s="475"/>
      <c r="H10" s="475"/>
      <c r="I10" s="475"/>
      <c r="J10" s="475"/>
      <c r="K10" s="475"/>
      <c r="L10" s="475"/>
      <c r="M10" s="475"/>
      <c r="N10" s="475"/>
      <c r="O10" s="475"/>
      <c r="P10" s="475"/>
      <c r="Q10" s="475"/>
      <c r="R10" s="475"/>
      <c r="S10" s="475"/>
      <c r="T10" s="475"/>
      <c r="U10" s="475"/>
      <c r="V10" s="475"/>
      <c r="W10" s="475"/>
      <c r="X10" s="475"/>
      <c r="Y10" s="475"/>
      <c r="Z10" s="475"/>
      <c r="AA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1"/>
      <c r="EG10" s="121"/>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1"/>
      <c r="FZ10" s="121"/>
      <c r="GA10" s="121"/>
      <c r="GB10" s="121"/>
      <c r="GC10" s="121"/>
      <c r="GD10" s="121"/>
      <c r="GE10" s="121"/>
      <c r="GF10" s="121"/>
      <c r="GG10" s="121"/>
      <c r="GH10" s="121"/>
    </row>
    <row r="11" spans="1:190">
      <c r="A11" s="146"/>
      <c r="B11" s="475"/>
      <c r="C11" s="475"/>
      <c r="D11" s="475"/>
      <c r="E11" s="475"/>
      <c r="F11" s="475"/>
      <c r="G11" s="475"/>
      <c r="H11" s="475"/>
      <c r="I11" s="475"/>
      <c r="J11" s="475"/>
      <c r="K11" s="475"/>
      <c r="L11" s="475"/>
      <c r="M11" s="475"/>
      <c r="N11" s="475"/>
      <c r="O11" s="475"/>
      <c r="P11" s="475"/>
      <c r="Q11" s="475"/>
      <c r="R11" s="475"/>
      <c r="S11" s="475"/>
      <c r="T11" s="475"/>
      <c r="U11" s="475"/>
      <c r="V11" s="475"/>
      <c r="W11" s="475"/>
      <c r="X11" s="475"/>
      <c r="Y11" s="475"/>
      <c r="Z11" s="475"/>
      <c r="AA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c r="CA11" s="121"/>
      <c r="CB11" s="121"/>
      <c r="CC11" s="121"/>
      <c r="CD11" s="121"/>
      <c r="CE11" s="121"/>
      <c r="CF11" s="121"/>
      <c r="CG11" s="121"/>
      <c r="CH11" s="121"/>
      <c r="CI11" s="121"/>
      <c r="CJ11" s="121"/>
      <c r="CK11" s="121"/>
      <c r="CL11" s="121"/>
      <c r="CM11" s="121"/>
      <c r="CN11" s="121"/>
      <c r="CO11" s="121"/>
      <c r="CP11" s="121"/>
      <c r="CQ11" s="121"/>
      <c r="CR11" s="121"/>
      <c r="CS11" s="121"/>
      <c r="CT11" s="121"/>
      <c r="CU11" s="121"/>
      <c r="CV11" s="121"/>
      <c r="CW11" s="121"/>
      <c r="CX11" s="121"/>
      <c r="CY11" s="121"/>
      <c r="CZ11" s="121"/>
      <c r="DA11" s="121"/>
      <c r="DB11" s="121"/>
      <c r="DC11" s="121"/>
      <c r="DD11" s="121"/>
      <c r="DE11" s="121"/>
      <c r="DF11" s="121"/>
      <c r="DG11" s="121"/>
      <c r="DH11" s="121"/>
      <c r="DI11" s="121"/>
      <c r="DJ11" s="121"/>
      <c r="DK11" s="121"/>
      <c r="DL11" s="121"/>
      <c r="DM11" s="121"/>
      <c r="DN11" s="121"/>
      <c r="DO11" s="121"/>
      <c r="DP11" s="121"/>
      <c r="DQ11" s="121"/>
      <c r="DR11" s="121"/>
      <c r="DS11" s="121"/>
      <c r="DT11" s="121"/>
      <c r="DU11" s="121"/>
      <c r="DV11" s="121"/>
      <c r="DW11" s="121"/>
      <c r="DX11" s="121"/>
      <c r="DY11" s="121"/>
      <c r="DZ11" s="121"/>
      <c r="EA11" s="121"/>
      <c r="EB11" s="121"/>
      <c r="EC11" s="121"/>
      <c r="ED11" s="121"/>
      <c r="EE11" s="121"/>
      <c r="EF11" s="121"/>
      <c r="EG11" s="121"/>
      <c r="EH11" s="121"/>
      <c r="EI11" s="121"/>
      <c r="EJ11" s="121"/>
      <c r="EK11" s="121"/>
      <c r="EL11" s="121"/>
      <c r="EM11" s="121"/>
      <c r="EN11" s="121"/>
      <c r="EO11" s="121"/>
      <c r="EP11" s="121"/>
      <c r="EQ11" s="121"/>
      <c r="ER11" s="121"/>
      <c r="ES11" s="121"/>
      <c r="ET11" s="121"/>
      <c r="EU11" s="121"/>
      <c r="EV11" s="121"/>
      <c r="EW11" s="121"/>
      <c r="EX11" s="121"/>
      <c r="EY11" s="121"/>
      <c r="EZ11" s="121"/>
      <c r="FA11" s="121"/>
      <c r="FB11" s="121"/>
      <c r="FC11" s="121"/>
      <c r="FD11" s="121"/>
      <c r="FE11" s="121"/>
      <c r="FF11" s="121"/>
      <c r="FG11" s="121"/>
      <c r="FH11" s="121"/>
      <c r="FI11" s="121"/>
      <c r="FJ11" s="121"/>
      <c r="FK11" s="121"/>
      <c r="FL11" s="121"/>
      <c r="FM11" s="121"/>
      <c r="FN11" s="121"/>
      <c r="FO11" s="121"/>
      <c r="FP11" s="121"/>
      <c r="FQ11" s="121"/>
      <c r="FR11" s="121"/>
      <c r="FS11" s="121"/>
      <c r="FT11" s="121"/>
      <c r="FU11" s="121"/>
      <c r="FV11" s="121"/>
      <c r="FW11" s="121"/>
      <c r="FX11" s="121"/>
      <c r="FY11" s="121"/>
      <c r="FZ11" s="121"/>
      <c r="GA11" s="121"/>
      <c r="GB11" s="121"/>
      <c r="GC11" s="121"/>
      <c r="GD11" s="121"/>
      <c r="GE11" s="121"/>
      <c r="GF11" s="121"/>
      <c r="GG11" s="121"/>
      <c r="GH11" s="121"/>
    </row>
    <row r="12" spans="1:190">
      <c r="A12" s="146"/>
      <c r="B12" s="475"/>
      <c r="C12" s="475"/>
      <c r="D12" s="475"/>
      <c r="E12" s="475"/>
      <c r="F12" s="475"/>
      <c r="G12" s="475"/>
      <c r="H12" s="475"/>
      <c r="I12" s="475"/>
      <c r="J12" s="475"/>
      <c r="K12" s="475"/>
      <c r="L12" s="475"/>
      <c r="M12" s="475"/>
      <c r="N12" s="475"/>
      <c r="O12" s="475"/>
      <c r="P12" s="475"/>
      <c r="Q12" s="475"/>
      <c r="R12" s="475"/>
      <c r="S12" s="475"/>
      <c r="T12" s="475"/>
      <c r="U12" s="475"/>
      <c r="V12" s="475"/>
      <c r="W12" s="475"/>
      <c r="X12" s="475"/>
      <c r="Y12" s="475"/>
      <c r="Z12" s="475"/>
      <c r="AA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1"/>
      <c r="CN12" s="121"/>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1"/>
      <c r="EG12" s="121"/>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1"/>
      <c r="FZ12" s="121"/>
      <c r="GA12" s="121"/>
      <c r="GB12" s="121"/>
      <c r="GC12" s="121"/>
      <c r="GD12" s="121"/>
      <c r="GE12" s="121"/>
      <c r="GF12" s="121"/>
      <c r="GG12" s="121"/>
      <c r="GH12" s="121"/>
    </row>
    <row r="13" spans="1:190">
      <c r="A13" s="146"/>
      <c r="B13" s="475"/>
      <c r="C13" s="475"/>
      <c r="D13" s="475"/>
      <c r="E13" s="475"/>
      <c r="F13" s="475"/>
      <c r="G13" s="475"/>
      <c r="H13" s="475"/>
      <c r="I13" s="475"/>
      <c r="J13" s="475"/>
      <c r="K13" s="475"/>
      <c r="L13" s="475"/>
      <c r="M13" s="475"/>
      <c r="N13" s="475"/>
      <c r="O13" s="475"/>
      <c r="P13" s="475"/>
      <c r="Q13" s="475"/>
      <c r="R13" s="475"/>
      <c r="S13" s="475"/>
      <c r="T13" s="475"/>
      <c r="U13" s="475"/>
      <c r="V13" s="475"/>
      <c r="W13" s="475"/>
      <c r="X13" s="475"/>
      <c r="Y13" s="475"/>
      <c r="Z13" s="475"/>
      <c r="AA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121"/>
      <c r="BY13" s="121"/>
      <c r="BZ13" s="121"/>
      <c r="CA13" s="121"/>
      <c r="CB13" s="121"/>
      <c r="CC13" s="121"/>
      <c r="CD13" s="121"/>
      <c r="CE13" s="121"/>
      <c r="CF13" s="121"/>
      <c r="CG13" s="121"/>
      <c r="CH13" s="121"/>
      <c r="CI13" s="121"/>
      <c r="CJ13" s="121"/>
      <c r="CK13" s="121"/>
      <c r="CL13" s="121"/>
      <c r="CM13" s="121"/>
      <c r="CN13" s="121"/>
      <c r="CO13" s="121"/>
      <c r="CP13" s="121"/>
      <c r="CQ13" s="121"/>
      <c r="CR13" s="121"/>
      <c r="CS13" s="121"/>
      <c r="CT13" s="121"/>
      <c r="CU13" s="121"/>
      <c r="CV13" s="121"/>
      <c r="CW13" s="121"/>
      <c r="CX13" s="121"/>
      <c r="CY13" s="121"/>
      <c r="CZ13" s="121"/>
      <c r="DA13" s="121"/>
      <c r="DB13" s="121"/>
      <c r="DC13" s="121"/>
      <c r="DD13" s="121"/>
      <c r="DE13" s="121"/>
      <c r="DF13" s="121"/>
      <c r="DG13" s="121"/>
      <c r="DH13" s="121"/>
      <c r="DI13" s="121"/>
      <c r="DJ13" s="121"/>
      <c r="DK13" s="121"/>
      <c r="DL13" s="121"/>
      <c r="DM13" s="121"/>
      <c r="DN13" s="121"/>
      <c r="DO13" s="121"/>
      <c r="DP13" s="121"/>
      <c r="DQ13" s="121"/>
      <c r="DR13" s="121"/>
      <c r="DS13" s="121"/>
      <c r="DT13" s="121"/>
      <c r="DU13" s="121"/>
      <c r="DV13" s="121"/>
      <c r="DW13" s="121"/>
      <c r="DX13" s="121"/>
      <c r="DY13" s="121"/>
      <c r="DZ13" s="121"/>
      <c r="EA13" s="121"/>
      <c r="EB13" s="121"/>
      <c r="EC13" s="121"/>
      <c r="ED13" s="121"/>
      <c r="EE13" s="121"/>
      <c r="EF13" s="121"/>
      <c r="EG13" s="121"/>
      <c r="EH13" s="121"/>
      <c r="EI13" s="121"/>
      <c r="EJ13" s="121"/>
      <c r="EK13" s="121"/>
      <c r="EL13" s="121"/>
      <c r="EM13" s="121"/>
      <c r="EN13" s="121"/>
      <c r="EO13" s="121"/>
      <c r="EP13" s="121"/>
      <c r="EQ13" s="121"/>
      <c r="ER13" s="121"/>
      <c r="ES13" s="121"/>
      <c r="ET13" s="121"/>
      <c r="EU13" s="121"/>
      <c r="EV13" s="121"/>
      <c r="EW13" s="121"/>
      <c r="EX13" s="121"/>
      <c r="EY13" s="121"/>
      <c r="EZ13" s="121"/>
      <c r="FA13" s="121"/>
      <c r="FB13" s="121"/>
      <c r="FC13" s="121"/>
      <c r="FD13" s="121"/>
      <c r="FE13" s="121"/>
      <c r="FF13" s="121"/>
      <c r="FG13" s="121"/>
      <c r="FH13" s="121"/>
      <c r="FI13" s="121"/>
      <c r="FJ13" s="121"/>
      <c r="FK13" s="121"/>
      <c r="FL13" s="121"/>
      <c r="FM13" s="121"/>
      <c r="FN13" s="121"/>
      <c r="FO13" s="121"/>
      <c r="FP13" s="121"/>
      <c r="FQ13" s="121"/>
      <c r="FR13" s="121"/>
      <c r="FS13" s="121"/>
      <c r="FT13" s="121"/>
      <c r="FU13" s="121"/>
      <c r="FV13" s="121"/>
      <c r="FW13" s="121"/>
      <c r="FX13" s="121"/>
      <c r="FY13" s="121"/>
      <c r="FZ13" s="121"/>
      <c r="GA13" s="121"/>
      <c r="GB13" s="121"/>
      <c r="GC13" s="121"/>
      <c r="GD13" s="121"/>
      <c r="GE13" s="121"/>
      <c r="GF13" s="121"/>
      <c r="GG13" s="121"/>
      <c r="GH13" s="121"/>
    </row>
    <row r="14" spans="1:190">
      <c r="A14" s="146"/>
      <c r="B14" s="475" t="s">
        <v>785</v>
      </c>
      <c r="C14" s="475" t="s">
        <v>679</v>
      </c>
      <c r="D14" s="475"/>
      <c r="E14" s="475"/>
      <c r="F14" s="475"/>
      <c r="G14" s="475"/>
      <c r="H14" s="475"/>
      <c r="I14" s="475"/>
      <c r="J14" s="475"/>
      <c r="K14" s="475"/>
      <c r="L14" s="475"/>
      <c r="M14" s="475"/>
      <c r="N14" s="475"/>
      <c r="O14" s="475"/>
      <c r="P14" s="475"/>
      <c r="Q14" s="475"/>
      <c r="R14" s="475"/>
      <c r="S14" s="475"/>
      <c r="T14" s="475"/>
      <c r="U14" s="475"/>
      <c r="V14" s="475"/>
      <c r="W14" s="475"/>
      <c r="X14" s="475"/>
      <c r="Y14" s="475"/>
      <c r="Z14" s="475"/>
      <c r="AA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c r="CG14" s="121"/>
      <c r="CH14" s="121"/>
      <c r="CI14" s="121"/>
      <c r="CJ14" s="121"/>
      <c r="CK14" s="121"/>
      <c r="CL14" s="121"/>
      <c r="CM14" s="121"/>
      <c r="CN14" s="121"/>
      <c r="CO14" s="121"/>
      <c r="CP14" s="121"/>
      <c r="CQ14" s="121"/>
      <c r="CR14" s="121"/>
      <c r="CS14" s="121"/>
      <c r="CT14" s="121"/>
      <c r="CU14" s="121"/>
      <c r="CV14" s="121"/>
      <c r="CW14" s="121"/>
      <c r="CX14" s="121"/>
      <c r="CY14" s="121"/>
      <c r="CZ14" s="121"/>
      <c r="DA14" s="121"/>
      <c r="DB14" s="121"/>
      <c r="DC14" s="121"/>
      <c r="DD14" s="121"/>
      <c r="DE14" s="121"/>
      <c r="DF14" s="121"/>
      <c r="DG14" s="121"/>
      <c r="DH14" s="121"/>
      <c r="DI14" s="121"/>
      <c r="DJ14" s="121"/>
      <c r="DK14" s="121"/>
      <c r="DL14" s="121"/>
      <c r="DM14" s="121"/>
      <c r="DN14" s="121"/>
      <c r="DO14" s="121"/>
      <c r="DP14" s="121"/>
      <c r="DQ14" s="121"/>
      <c r="DR14" s="121"/>
      <c r="DS14" s="121"/>
      <c r="DT14" s="121"/>
      <c r="DU14" s="121"/>
      <c r="DV14" s="121"/>
      <c r="DW14" s="121"/>
      <c r="DX14" s="121"/>
      <c r="DY14" s="121"/>
      <c r="DZ14" s="121"/>
      <c r="EA14" s="121"/>
      <c r="EB14" s="121"/>
      <c r="EC14" s="121"/>
      <c r="ED14" s="121"/>
      <c r="EE14" s="121"/>
      <c r="EF14" s="121"/>
      <c r="EG14" s="121"/>
      <c r="EH14" s="121"/>
      <c r="EI14" s="121"/>
      <c r="EJ14" s="121"/>
      <c r="EK14" s="121"/>
      <c r="EL14" s="121"/>
      <c r="EM14" s="121"/>
      <c r="EN14" s="121"/>
      <c r="EO14" s="121"/>
      <c r="EP14" s="121"/>
      <c r="EQ14" s="121"/>
      <c r="ER14" s="121"/>
      <c r="ES14" s="121"/>
      <c r="ET14" s="121"/>
      <c r="EU14" s="121"/>
      <c r="EV14" s="121"/>
      <c r="EW14" s="121"/>
      <c r="EX14" s="121"/>
      <c r="EY14" s="121"/>
      <c r="EZ14" s="121"/>
      <c r="FA14" s="121"/>
      <c r="FB14" s="121"/>
      <c r="FC14" s="121"/>
      <c r="FD14" s="121"/>
      <c r="FE14" s="121"/>
      <c r="FF14" s="121"/>
      <c r="FG14" s="121"/>
      <c r="FH14" s="121"/>
      <c r="FI14" s="121"/>
      <c r="FJ14" s="121"/>
      <c r="FK14" s="121"/>
      <c r="FL14" s="121"/>
      <c r="FM14" s="121"/>
      <c r="FN14" s="121"/>
      <c r="FO14" s="121"/>
      <c r="FP14" s="121"/>
      <c r="FQ14" s="121"/>
      <c r="FR14" s="121"/>
      <c r="FS14" s="121"/>
      <c r="FT14" s="121"/>
      <c r="FU14" s="121"/>
      <c r="FV14" s="121"/>
      <c r="FW14" s="121"/>
      <c r="FX14" s="121"/>
      <c r="FY14" s="121"/>
      <c r="FZ14" s="121"/>
      <c r="GA14" s="121"/>
      <c r="GB14" s="121"/>
      <c r="GC14" s="121"/>
      <c r="GD14" s="121"/>
      <c r="GE14" s="121"/>
      <c r="GF14" s="121"/>
      <c r="GG14" s="121"/>
      <c r="GH14" s="121"/>
    </row>
    <row r="15" spans="1:190">
      <c r="A15" s="146"/>
      <c r="B15" s="475" t="s">
        <v>680</v>
      </c>
      <c r="C15" s="478" t="s">
        <v>681</v>
      </c>
      <c r="D15" s="475"/>
      <c r="E15" s="475"/>
      <c r="F15" s="475"/>
      <c r="G15" s="475"/>
      <c r="H15" s="475"/>
      <c r="I15" s="475"/>
      <c r="J15" s="475"/>
      <c r="K15" s="475"/>
      <c r="L15" s="475"/>
      <c r="M15" s="475"/>
      <c r="N15" s="475"/>
      <c r="O15" s="475"/>
      <c r="P15" s="475"/>
      <c r="Q15" s="475"/>
      <c r="R15" s="475"/>
      <c r="S15" s="475"/>
      <c r="T15" s="475"/>
      <c r="U15" s="475"/>
      <c r="V15" s="475"/>
      <c r="W15" s="475"/>
      <c r="X15" s="475"/>
      <c r="Y15" s="475"/>
      <c r="Z15" s="475"/>
      <c r="AA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A15" s="121"/>
      <c r="CB15" s="121"/>
      <c r="CC15" s="121"/>
      <c r="CD15" s="121"/>
      <c r="CE15" s="121"/>
      <c r="CF15" s="121"/>
      <c r="CG15" s="121"/>
      <c r="CH15" s="121"/>
      <c r="CI15" s="121"/>
      <c r="CJ15" s="121"/>
      <c r="CK15" s="121"/>
      <c r="CL15" s="121"/>
      <c r="CM15" s="121"/>
      <c r="CN15" s="121"/>
      <c r="CO15" s="121"/>
      <c r="CP15" s="121"/>
      <c r="CQ15" s="121"/>
      <c r="CR15" s="121"/>
      <c r="CS15" s="121"/>
      <c r="CT15" s="121"/>
      <c r="CU15" s="121"/>
      <c r="CV15" s="121"/>
      <c r="CW15" s="121"/>
      <c r="CX15" s="121"/>
      <c r="CY15" s="121"/>
      <c r="CZ15" s="121"/>
      <c r="DA15" s="121"/>
      <c r="DB15" s="121"/>
      <c r="DC15" s="121"/>
      <c r="DD15" s="121"/>
      <c r="DE15" s="121"/>
      <c r="DF15" s="121"/>
      <c r="DG15" s="121"/>
      <c r="DH15" s="121"/>
      <c r="DI15" s="121"/>
      <c r="DJ15" s="121"/>
      <c r="DK15" s="121"/>
      <c r="DL15" s="121"/>
      <c r="DM15" s="121"/>
      <c r="DN15" s="121"/>
      <c r="DO15" s="121"/>
      <c r="DP15" s="121"/>
      <c r="DQ15" s="121"/>
      <c r="DR15" s="121"/>
      <c r="DS15" s="121"/>
      <c r="DT15" s="121"/>
      <c r="DU15" s="121"/>
      <c r="DV15" s="121"/>
      <c r="DW15" s="121"/>
      <c r="DX15" s="121"/>
      <c r="DY15" s="121"/>
      <c r="DZ15" s="121"/>
      <c r="EA15" s="121"/>
      <c r="EB15" s="121"/>
      <c r="EC15" s="121"/>
      <c r="ED15" s="121"/>
      <c r="EE15" s="121"/>
      <c r="EF15" s="121"/>
      <c r="EG15" s="121"/>
      <c r="EH15" s="121"/>
      <c r="EI15" s="121"/>
      <c r="EJ15" s="121"/>
      <c r="EK15" s="121"/>
      <c r="EL15" s="121"/>
      <c r="EM15" s="121"/>
      <c r="EN15" s="121"/>
      <c r="EO15" s="121"/>
      <c r="EP15" s="121"/>
      <c r="EQ15" s="121"/>
      <c r="ER15" s="121"/>
      <c r="ES15" s="121"/>
      <c r="ET15" s="121"/>
      <c r="EU15" s="121"/>
      <c r="EV15" s="121"/>
      <c r="EW15" s="121"/>
      <c r="EX15" s="121"/>
      <c r="EY15" s="121"/>
      <c r="EZ15" s="121"/>
      <c r="FA15" s="121"/>
      <c r="FB15" s="121"/>
      <c r="FC15" s="121"/>
      <c r="FD15" s="121"/>
      <c r="FE15" s="121"/>
      <c r="FF15" s="121"/>
      <c r="FG15" s="121"/>
      <c r="FH15" s="121"/>
      <c r="FI15" s="121"/>
      <c r="FJ15" s="121"/>
      <c r="FK15" s="121"/>
      <c r="FL15" s="121"/>
      <c r="FM15" s="121"/>
      <c r="FN15" s="121"/>
      <c r="FO15" s="121"/>
      <c r="FP15" s="121"/>
      <c r="FQ15" s="121"/>
      <c r="FR15" s="121"/>
      <c r="FS15" s="121"/>
      <c r="FT15" s="121"/>
      <c r="FU15" s="121"/>
      <c r="FV15" s="121"/>
      <c r="FW15" s="121"/>
      <c r="FX15" s="121"/>
      <c r="FY15" s="121"/>
      <c r="FZ15" s="121"/>
      <c r="GA15" s="121"/>
      <c r="GB15" s="121"/>
      <c r="GC15" s="121"/>
      <c r="GD15" s="121"/>
      <c r="GE15" s="121"/>
      <c r="GF15" s="121"/>
      <c r="GG15" s="121"/>
      <c r="GH15" s="121"/>
    </row>
    <row r="16" spans="1:190">
      <c r="A16" s="146"/>
      <c r="B16" s="475" t="s">
        <v>682</v>
      </c>
      <c r="C16" s="479" t="s">
        <v>683</v>
      </c>
      <c r="D16" s="475"/>
      <c r="E16" s="475"/>
      <c r="F16" s="475"/>
      <c r="G16" s="475"/>
      <c r="H16" s="475"/>
      <c r="I16" s="475"/>
      <c r="J16" s="475"/>
      <c r="K16" s="475"/>
      <c r="L16" s="475"/>
      <c r="M16" s="475"/>
      <c r="N16" s="475"/>
      <c r="O16" s="475"/>
      <c r="P16" s="475"/>
      <c r="Q16" s="475"/>
      <c r="R16" s="475"/>
      <c r="S16" s="475"/>
      <c r="T16" s="475"/>
      <c r="U16" s="475"/>
      <c r="V16" s="475"/>
      <c r="W16" s="475"/>
      <c r="X16" s="475"/>
      <c r="Y16" s="475"/>
      <c r="Z16" s="475"/>
      <c r="AA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A16" s="121"/>
      <c r="CB16" s="121"/>
      <c r="CC16" s="121"/>
      <c r="CD16" s="121"/>
      <c r="CE16" s="121"/>
      <c r="CF16" s="121"/>
      <c r="CG16" s="121"/>
      <c r="CH16" s="121"/>
      <c r="CI16" s="121"/>
      <c r="CJ16" s="121"/>
      <c r="CK16" s="121"/>
      <c r="CL16" s="121"/>
      <c r="CM16" s="121"/>
      <c r="CN16" s="121"/>
      <c r="CO16" s="121"/>
      <c r="CP16" s="121"/>
      <c r="CQ16" s="121"/>
      <c r="CR16" s="121"/>
      <c r="CS16" s="121"/>
      <c r="CT16" s="121"/>
      <c r="CU16" s="121"/>
      <c r="CV16" s="121"/>
      <c r="CW16" s="121"/>
      <c r="CX16" s="121"/>
      <c r="CY16" s="121"/>
      <c r="CZ16" s="121"/>
      <c r="DA16" s="121"/>
      <c r="DB16" s="121"/>
      <c r="DC16" s="121"/>
      <c r="DD16" s="121"/>
      <c r="DE16" s="121"/>
      <c r="DF16" s="121"/>
      <c r="DG16" s="121"/>
      <c r="DH16" s="121"/>
      <c r="DI16" s="121"/>
      <c r="DJ16" s="121"/>
      <c r="DK16" s="121"/>
      <c r="DL16" s="121"/>
      <c r="DM16" s="121"/>
      <c r="DN16" s="121"/>
      <c r="DO16" s="121"/>
      <c r="DP16" s="121"/>
      <c r="DQ16" s="121"/>
      <c r="DR16" s="121"/>
      <c r="DS16" s="121"/>
      <c r="DT16" s="121"/>
      <c r="DU16" s="121"/>
      <c r="DV16" s="121"/>
      <c r="DW16" s="121"/>
      <c r="DX16" s="121"/>
      <c r="DY16" s="121"/>
      <c r="DZ16" s="121"/>
      <c r="EA16" s="121"/>
      <c r="EB16" s="121"/>
      <c r="EC16" s="121"/>
      <c r="ED16" s="121"/>
      <c r="EE16" s="121"/>
      <c r="EF16" s="121"/>
      <c r="EG16" s="121"/>
      <c r="EH16" s="121"/>
      <c r="EI16" s="121"/>
      <c r="EJ16" s="121"/>
      <c r="EK16" s="121"/>
      <c r="EL16" s="121"/>
      <c r="EM16" s="121"/>
      <c r="EN16" s="121"/>
      <c r="EO16" s="121"/>
      <c r="EP16" s="121"/>
      <c r="EQ16" s="121"/>
      <c r="ER16" s="121"/>
      <c r="ES16" s="121"/>
      <c r="ET16" s="121"/>
      <c r="EU16" s="121"/>
      <c r="EV16" s="121"/>
      <c r="EW16" s="121"/>
      <c r="EX16" s="121"/>
      <c r="EY16" s="121"/>
      <c r="EZ16" s="121"/>
      <c r="FA16" s="121"/>
      <c r="FB16" s="121"/>
      <c r="FC16" s="121"/>
      <c r="FD16" s="121"/>
      <c r="FE16" s="121"/>
      <c r="FF16" s="121"/>
      <c r="FG16" s="121"/>
      <c r="FH16" s="121"/>
      <c r="FI16" s="121"/>
      <c r="FJ16" s="121"/>
      <c r="FK16" s="121"/>
      <c r="FL16" s="121"/>
      <c r="FM16" s="121"/>
      <c r="FN16" s="121"/>
      <c r="FO16" s="121"/>
      <c r="FP16" s="121"/>
      <c r="FQ16" s="121"/>
      <c r="FR16" s="121"/>
      <c r="FS16" s="121"/>
      <c r="FT16" s="121"/>
      <c r="FU16" s="121"/>
      <c r="FV16" s="121"/>
      <c r="FW16" s="121"/>
      <c r="FX16" s="121"/>
      <c r="FY16" s="121"/>
      <c r="FZ16" s="121"/>
      <c r="GA16" s="121"/>
      <c r="GB16" s="121"/>
      <c r="GC16" s="121"/>
      <c r="GD16" s="121"/>
      <c r="GE16" s="121"/>
      <c r="GF16" s="121"/>
      <c r="GG16" s="121"/>
      <c r="GH16" s="121"/>
    </row>
    <row r="17" spans="1:190">
      <c r="A17" s="146"/>
      <c r="B17" s="475"/>
      <c r="C17" s="475"/>
      <c r="D17" s="475"/>
      <c r="E17" s="475"/>
      <c r="F17" s="475"/>
      <c r="G17" s="475"/>
      <c r="H17" s="475"/>
      <c r="I17" s="475"/>
      <c r="J17" s="475"/>
      <c r="K17" s="475"/>
      <c r="L17" s="475"/>
      <c r="M17" s="475"/>
      <c r="N17" s="475"/>
      <c r="O17" s="475"/>
      <c r="P17" s="475"/>
      <c r="Q17" s="475"/>
      <c r="R17" s="475"/>
      <c r="S17" s="475"/>
      <c r="T17" s="475"/>
      <c r="U17" s="475"/>
      <c r="V17" s="475"/>
      <c r="W17" s="475"/>
      <c r="X17" s="475"/>
      <c r="Y17" s="475"/>
      <c r="Z17" s="475"/>
      <c r="AA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A17" s="121"/>
      <c r="CB17" s="121"/>
      <c r="CC17" s="121"/>
      <c r="CD17" s="121"/>
      <c r="CE17" s="121"/>
      <c r="CF17" s="121"/>
      <c r="CG17" s="121"/>
      <c r="CH17" s="121"/>
      <c r="CI17" s="121"/>
      <c r="CJ17" s="121"/>
      <c r="CK17" s="121"/>
      <c r="CL17" s="121"/>
      <c r="CM17" s="121"/>
      <c r="CN17" s="121"/>
      <c r="CO17" s="121"/>
      <c r="CP17" s="121"/>
      <c r="CQ17" s="121"/>
      <c r="CR17" s="121"/>
      <c r="CS17" s="121"/>
      <c r="CT17" s="121"/>
      <c r="CU17" s="121"/>
      <c r="CV17" s="121"/>
      <c r="CW17" s="121"/>
      <c r="CX17" s="121"/>
      <c r="CY17" s="121"/>
      <c r="CZ17" s="121"/>
      <c r="DA17" s="121"/>
      <c r="DB17" s="121"/>
      <c r="DC17" s="121"/>
      <c r="DD17" s="121"/>
      <c r="DE17" s="121"/>
      <c r="DF17" s="121"/>
      <c r="DG17" s="121"/>
      <c r="DH17" s="121"/>
      <c r="DI17" s="121"/>
      <c r="DJ17" s="121"/>
      <c r="DK17" s="121"/>
      <c r="DL17" s="121"/>
      <c r="DM17" s="121"/>
      <c r="DN17" s="121"/>
      <c r="DO17" s="121"/>
      <c r="DP17" s="121"/>
      <c r="DQ17" s="121"/>
      <c r="DR17" s="121"/>
      <c r="DS17" s="121"/>
      <c r="DT17" s="121"/>
      <c r="DU17" s="121"/>
      <c r="DV17" s="121"/>
      <c r="DW17" s="121"/>
      <c r="DX17" s="121"/>
      <c r="DY17" s="121"/>
      <c r="DZ17" s="121"/>
      <c r="EA17" s="121"/>
      <c r="EB17" s="121"/>
      <c r="EC17" s="121"/>
      <c r="ED17" s="121"/>
      <c r="EE17" s="121"/>
      <c r="EF17" s="121"/>
      <c r="EG17" s="121"/>
      <c r="EH17" s="121"/>
      <c r="EI17" s="121"/>
      <c r="EJ17" s="121"/>
      <c r="EK17" s="121"/>
      <c r="EL17" s="121"/>
      <c r="EM17" s="121"/>
      <c r="EN17" s="121"/>
      <c r="EO17" s="121"/>
      <c r="EP17" s="121"/>
      <c r="EQ17" s="121"/>
      <c r="ER17" s="121"/>
      <c r="ES17" s="121"/>
      <c r="ET17" s="121"/>
      <c r="EU17" s="121"/>
      <c r="EV17" s="121"/>
      <c r="EW17" s="121"/>
      <c r="EX17" s="121"/>
      <c r="EY17" s="121"/>
      <c r="EZ17" s="121"/>
      <c r="FA17" s="121"/>
      <c r="FB17" s="121"/>
      <c r="FC17" s="121"/>
      <c r="FD17" s="121"/>
      <c r="FE17" s="121"/>
      <c r="FF17" s="121"/>
      <c r="FG17" s="121"/>
      <c r="FH17" s="121"/>
      <c r="FI17" s="121"/>
      <c r="FJ17" s="121"/>
      <c r="FK17" s="121"/>
      <c r="FL17" s="121"/>
      <c r="FM17" s="121"/>
      <c r="FN17" s="121"/>
      <c r="FO17" s="121"/>
      <c r="FP17" s="121"/>
      <c r="FQ17" s="121"/>
      <c r="FR17" s="121"/>
      <c r="FS17" s="121"/>
      <c r="FT17" s="121"/>
      <c r="FU17" s="121"/>
      <c r="FV17" s="121"/>
      <c r="FW17" s="121"/>
      <c r="FX17" s="121"/>
      <c r="FY17" s="121"/>
      <c r="FZ17" s="121"/>
      <c r="GA17" s="121"/>
      <c r="GB17" s="121"/>
      <c r="GC17" s="121"/>
      <c r="GD17" s="121"/>
      <c r="GE17" s="121"/>
      <c r="GF17" s="121"/>
      <c r="GG17" s="121"/>
      <c r="GH17" s="121"/>
    </row>
    <row r="18" spans="1:190">
      <c r="A18" s="475"/>
      <c r="B18" s="475" t="s">
        <v>684</v>
      </c>
      <c r="C18" s="475" t="s">
        <v>685</v>
      </c>
      <c r="D18" s="475"/>
      <c r="E18" s="475"/>
      <c r="F18" s="475"/>
      <c r="G18" s="475"/>
      <c r="H18" s="475"/>
      <c r="I18" s="475"/>
      <c r="J18" s="475"/>
      <c r="K18" s="475"/>
      <c r="L18" s="475"/>
      <c r="M18" s="475"/>
      <c r="N18" s="475"/>
      <c r="O18" s="475"/>
      <c r="P18" s="475"/>
      <c r="Q18" s="475"/>
      <c r="R18" s="475"/>
      <c r="S18" s="475"/>
      <c r="T18" s="475"/>
      <c r="U18" s="475"/>
      <c r="V18" s="475"/>
      <c r="W18" s="475"/>
      <c r="X18" s="475"/>
      <c r="Y18" s="475"/>
      <c r="Z18" s="475"/>
      <c r="AA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121"/>
      <c r="CT18" s="121"/>
      <c r="CU18" s="121"/>
      <c r="CV18" s="121"/>
      <c r="CW18" s="121"/>
      <c r="CX18" s="121"/>
      <c r="CY18" s="121"/>
      <c r="CZ18" s="121"/>
      <c r="DA18" s="121"/>
      <c r="DB18" s="121"/>
      <c r="DC18" s="121"/>
      <c r="DD18" s="121"/>
      <c r="DE18" s="121"/>
      <c r="DF18" s="121"/>
      <c r="DG18" s="121"/>
      <c r="DH18" s="121"/>
      <c r="DI18" s="121"/>
      <c r="DJ18" s="121"/>
      <c r="DK18" s="121"/>
      <c r="DL18" s="121"/>
      <c r="DM18" s="121"/>
      <c r="DN18" s="121"/>
      <c r="DO18" s="121"/>
      <c r="DP18" s="121"/>
      <c r="DQ18" s="121"/>
      <c r="DR18" s="121"/>
      <c r="DS18" s="121"/>
      <c r="DT18" s="121"/>
      <c r="DU18" s="121"/>
      <c r="DV18" s="121"/>
      <c r="DW18" s="121"/>
      <c r="DX18" s="121"/>
      <c r="DY18" s="121"/>
      <c r="DZ18" s="121"/>
      <c r="EA18" s="121"/>
      <c r="EB18" s="121"/>
      <c r="EC18" s="121"/>
      <c r="ED18" s="121"/>
      <c r="EE18" s="121"/>
      <c r="EF18" s="121"/>
      <c r="EG18" s="121"/>
      <c r="EH18" s="121"/>
      <c r="EI18" s="121"/>
      <c r="EJ18" s="121"/>
      <c r="EK18" s="121"/>
      <c r="EL18" s="121"/>
      <c r="EM18" s="121"/>
      <c r="EN18" s="121"/>
      <c r="EO18" s="121"/>
      <c r="EP18" s="121"/>
      <c r="EQ18" s="121"/>
      <c r="ER18" s="121"/>
      <c r="ES18" s="121"/>
      <c r="ET18" s="121"/>
      <c r="EU18" s="121"/>
      <c r="EV18" s="121"/>
      <c r="EW18" s="121"/>
      <c r="EX18" s="121"/>
      <c r="EY18" s="121"/>
      <c r="EZ18" s="121"/>
      <c r="FA18" s="121"/>
      <c r="FB18" s="121"/>
      <c r="FC18" s="121"/>
      <c r="FD18" s="121"/>
      <c r="FE18" s="121"/>
      <c r="FF18" s="121"/>
      <c r="FG18" s="121"/>
      <c r="FH18" s="121"/>
      <c r="FI18" s="121"/>
      <c r="FJ18" s="121"/>
      <c r="FK18" s="121"/>
      <c r="FL18" s="121"/>
      <c r="FM18" s="121"/>
      <c r="FN18" s="121"/>
      <c r="FO18" s="121"/>
      <c r="FP18" s="121"/>
      <c r="FQ18" s="121"/>
      <c r="FR18" s="121"/>
      <c r="FS18" s="121"/>
      <c r="FT18" s="121"/>
      <c r="FU18" s="121"/>
      <c r="FV18" s="121"/>
      <c r="FW18" s="121"/>
      <c r="FX18" s="121"/>
      <c r="FY18" s="121"/>
      <c r="FZ18" s="121"/>
      <c r="GA18" s="121"/>
      <c r="GB18" s="121"/>
      <c r="GC18" s="121"/>
      <c r="GD18" s="121"/>
      <c r="GE18" s="121"/>
      <c r="GF18" s="121"/>
      <c r="GG18" s="121"/>
      <c r="GH18" s="121"/>
    </row>
    <row r="19" spans="1:190">
      <c r="A19" s="475"/>
      <c r="B19" s="475" t="s">
        <v>680</v>
      </c>
      <c r="C19" s="478" t="s">
        <v>686</v>
      </c>
      <c r="D19" s="475"/>
      <c r="E19" s="475"/>
      <c r="F19" s="475"/>
      <c r="G19" s="475"/>
      <c r="H19" s="475"/>
      <c r="I19" s="475"/>
      <c r="J19" s="475"/>
      <c r="K19" s="475"/>
      <c r="L19" s="475"/>
      <c r="M19" s="475"/>
      <c r="N19" s="475"/>
      <c r="O19" s="475"/>
      <c r="P19" s="475"/>
      <c r="Q19" s="475"/>
      <c r="R19" s="475"/>
      <c r="S19" s="475"/>
      <c r="T19" s="475"/>
      <c r="U19" s="475"/>
      <c r="V19" s="475"/>
      <c r="W19" s="475"/>
      <c r="X19" s="475"/>
      <c r="Y19" s="475"/>
      <c r="Z19" s="47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1"/>
      <c r="CI19" s="121"/>
      <c r="CJ19" s="121"/>
      <c r="CK19" s="121"/>
      <c r="CL19" s="121"/>
      <c r="CM19" s="121"/>
      <c r="CN19" s="121"/>
      <c r="CO19" s="121"/>
      <c r="CP19" s="121"/>
      <c r="CQ19" s="121"/>
      <c r="CR19" s="121"/>
      <c r="CS19" s="121"/>
      <c r="CT19" s="121"/>
      <c r="CU19" s="121"/>
      <c r="CV19" s="121"/>
      <c r="CW19" s="121"/>
      <c r="CX19" s="121"/>
      <c r="CY19" s="121"/>
      <c r="CZ19" s="121"/>
      <c r="DA19" s="121"/>
      <c r="DB19" s="121"/>
      <c r="DC19" s="121"/>
      <c r="DD19" s="121"/>
      <c r="DE19" s="121"/>
      <c r="DF19" s="121"/>
      <c r="DG19" s="121"/>
      <c r="DH19" s="121"/>
      <c r="DI19" s="121"/>
      <c r="DJ19" s="121"/>
      <c r="DK19" s="121"/>
      <c r="DL19" s="121"/>
      <c r="DM19" s="121"/>
      <c r="DN19" s="121"/>
      <c r="DO19" s="121"/>
      <c r="DP19" s="121"/>
      <c r="DQ19" s="121"/>
      <c r="DR19" s="121"/>
      <c r="DS19" s="121"/>
      <c r="DT19" s="121"/>
      <c r="DU19" s="121"/>
      <c r="DV19" s="121"/>
      <c r="DW19" s="121"/>
      <c r="DX19" s="121"/>
      <c r="DY19" s="121"/>
      <c r="DZ19" s="121"/>
      <c r="EA19" s="121"/>
      <c r="EB19" s="121"/>
      <c r="EC19" s="121"/>
      <c r="ED19" s="121"/>
      <c r="EE19" s="121"/>
      <c r="EF19" s="121"/>
      <c r="EG19" s="121"/>
      <c r="EH19" s="121"/>
      <c r="EI19" s="121"/>
      <c r="EJ19" s="121"/>
      <c r="EK19" s="121"/>
      <c r="EL19" s="121"/>
      <c r="EM19" s="121"/>
      <c r="EN19" s="121"/>
      <c r="EO19" s="121"/>
      <c r="EP19" s="121"/>
      <c r="EQ19" s="121"/>
      <c r="ER19" s="121"/>
      <c r="ES19" s="121"/>
      <c r="ET19" s="121"/>
      <c r="EU19" s="121"/>
      <c r="EV19" s="121"/>
      <c r="EW19" s="121"/>
      <c r="EX19" s="121"/>
      <c r="EY19" s="121"/>
      <c r="EZ19" s="121"/>
      <c r="FA19" s="121"/>
      <c r="FB19" s="121"/>
      <c r="FC19" s="121"/>
      <c r="FD19" s="121"/>
      <c r="FE19" s="121"/>
      <c r="FF19" s="121"/>
      <c r="FG19" s="121"/>
      <c r="FH19" s="121"/>
      <c r="FI19" s="121"/>
      <c r="FJ19" s="121"/>
      <c r="FK19" s="121"/>
      <c r="FL19" s="121"/>
      <c r="FM19" s="121"/>
      <c r="FN19" s="121"/>
      <c r="FO19" s="121"/>
      <c r="FP19" s="121"/>
      <c r="FQ19" s="121"/>
      <c r="FR19" s="121"/>
      <c r="FS19" s="121"/>
      <c r="FT19" s="121"/>
      <c r="FU19" s="121"/>
      <c r="FV19" s="121"/>
      <c r="FW19" s="121"/>
      <c r="FX19" s="121"/>
      <c r="FY19" s="121"/>
      <c r="FZ19" s="121"/>
      <c r="GA19" s="121"/>
      <c r="GB19" s="121"/>
      <c r="GC19" s="121"/>
      <c r="GD19" s="121"/>
      <c r="GE19" s="121"/>
      <c r="GF19" s="121"/>
      <c r="GG19" s="121"/>
      <c r="GH19" s="121"/>
    </row>
    <row r="20" spans="1:190">
      <c r="A20" s="475"/>
      <c r="B20" s="475" t="s">
        <v>682</v>
      </c>
      <c r="C20" s="479" t="s">
        <v>687</v>
      </c>
      <c r="D20" s="475"/>
      <c r="E20" s="475"/>
      <c r="F20" s="475"/>
      <c r="G20" s="475"/>
      <c r="H20" s="475"/>
      <c r="I20" s="475"/>
      <c r="J20" s="475"/>
      <c r="K20" s="475"/>
      <c r="L20" s="475"/>
      <c r="M20" s="475"/>
      <c r="N20" s="475"/>
      <c r="O20" s="475"/>
      <c r="P20" s="475"/>
      <c r="Q20" s="475"/>
      <c r="R20" s="475"/>
      <c r="S20" s="475"/>
      <c r="T20" s="475"/>
      <c r="U20" s="475"/>
      <c r="V20" s="475"/>
      <c r="W20" s="475"/>
      <c r="X20" s="475"/>
      <c r="Y20" s="475"/>
      <c r="Z20" s="47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c r="CG20" s="121"/>
      <c r="CH20" s="121"/>
      <c r="CI20" s="121"/>
      <c r="CJ20" s="121"/>
      <c r="CK20" s="121"/>
      <c r="CL20" s="121"/>
      <c r="CM20" s="121"/>
      <c r="CN20" s="121"/>
      <c r="CO20" s="121"/>
      <c r="CP20" s="121"/>
      <c r="CQ20" s="121"/>
      <c r="CR20" s="121"/>
      <c r="CS20" s="121"/>
      <c r="CT20" s="121"/>
      <c r="CU20" s="121"/>
      <c r="CV20" s="121"/>
      <c r="CW20" s="121"/>
      <c r="CX20" s="121"/>
      <c r="CY20" s="121"/>
      <c r="CZ20" s="121"/>
      <c r="DA20" s="121"/>
      <c r="DB20" s="121"/>
      <c r="DC20" s="121"/>
      <c r="DD20" s="121"/>
      <c r="DE20" s="121"/>
      <c r="DF20" s="121"/>
      <c r="DG20" s="121"/>
      <c r="DH20" s="121"/>
      <c r="DI20" s="121"/>
      <c r="DJ20" s="121"/>
      <c r="DK20" s="121"/>
      <c r="DL20" s="121"/>
      <c r="DM20" s="121"/>
      <c r="DN20" s="121"/>
      <c r="DO20" s="121"/>
      <c r="DP20" s="121"/>
      <c r="DQ20" s="121"/>
      <c r="DR20" s="121"/>
      <c r="DS20" s="121"/>
      <c r="DT20" s="121"/>
      <c r="DU20" s="121"/>
      <c r="DV20" s="121"/>
      <c r="DW20" s="121"/>
      <c r="DX20" s="121"/>
      <c r="DY20" s="121"/>
      <c r="DZ20" s="121"/>
      <c r="EA20" s="121"/>
      <c r="EB20" s="121"/>
      <c r="EC20" s="121"/>
      <c r="ED20" s="121"/>
      <c r="EE20" s="121"/>
      <c r="EF20" s="121"/>
      <c r="EG20" s="121"/>
      <c r="EH20" s="121"/>
      <c r="EI20" s="121"/>
      <c r="EJ20" s="121"/>
      <c r="EK20" s="121"/>
      <c r="EL20" s="121"/>
      <c r="EM20" s="121"/>
      <c r="EN20" s="121"/>
      <c r="EO20" s="121"/>
      <c r="EP20" s="121"/>
      <c r="EQ20" s="121"/>
      <c r="ER20" s="121"/>
      <c r="ES20" s="121"/>
      <c r="ET20" s="121"/>
      <c r="EU20" s="121"/>
      <c r="EV20" s="121"/>
      <c r="EW20" s="121"/>
      <c r="EX20" s="121"/>
      <c r="EY20" s="121"/>
      <c r="EZ20" s="121"/>
      <c r="FA20" s="121"/>
      <c r="FB20" s="121"/>
      <c r="FC20" s="121"/>
      <c r="FD20" s="121"/>
      <c r="FE20" s="121"/>
      <c r="FF20" s="121"/>
      <c r="FG20" s="121"/>
      <c r="FH20" s="121"/>
      <c r="FI20" s="121"/>
      <c r="FJ20" s="121"/>
      <c r="FK20" s="121"/>
      <c r="FL20" s="121"/>
      <c r="FM20" s="121"/>
      <c r="FN20" s="121"/>
      <c r="FO20" s="121"/>
      <c r="FP20" s="121"/>
      <c r="FQ20" s="121"/>
      <c r="FR20" s="121"/>
      <c r="FS20" s="121"/>
      <c r="FT20" s="121"/>
      <c r="FU20" s="121"/>
      <c r="FV20" s="121"/>
      <c r="FW20" s="121"/>
      <c r="FX20" s="121"/>
      <c r="FY20" s="121"/>
      <c r="FZ20" s="121"/>
      <c r="GA20" s="121"/>
      <c r="GB20" s="121"/>
      <c r="GC20" s="121"/>
      <c r="GD20" s="121"/>
      <c r="GE20" s="121"/>
      <c r="GF20" s="121"/>
      <c r="GG20" s="121"/>
      <c r="GH20" s="121"/>
    </row>
    <row r="21" spans="1:190">
      <c r="A21" s="475"/>
      <c r="B21" s="475"/>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c r="CG21" s="121"/>
      <c r="CH21" s="121"/>
      <c r="CI21" s="121"/>
      <c r="CJ21" s="121"/>
      <c r="CK21" s="121"/>
      <c r="CL21" s="121"/>
      <c r="CM21" s="121"/>
      <c r="CN21" s="121"/>
      <c r="CO21" s="121"/>
      <c r="CP21" s="121"/>
      <c r="CQ21" s="121"/>
      <c r="CR21" s="121"/>
      <c r="CS21" s="121"/>
      <c r="CT21" s="121"/>
      <c r="CU21" s="121"/>
      <c r="CV21" s="121"/>
      <c r="CW21" s="121"/>
      <c r="CX21" s="121"/>
      <c r="CY21" s="121"/>
      <c r="CZ21" s="121"/>
      <c r="DA21" s="121"/>
      <c r="DB21" s="121"/>
      <c r="DC21" s="121"/>
      <c r="DD21" s="121"/>
      <c r="DE21" s="121"/>
      <c r="DF21" s="121"/>
      <c r="DG21" s="121"/>
      <c r="DH21" s="121"/>
      <c r="DI21" s="121"/>
      <c r="DJ21" s="121"/>
      <c r="DK21" s="121"/>
      <c r="DL21" s="121"/>
      <c r="DM21" s="121"/>
      <c r="DN21" s="121"/>
      <c r="DO21" s="121"/>
      <c r="DP21" s="121"/>
      <c r="DQ21" s="121"/>
      <c r="DR21" s="121"/>
      <c r="DS21" s="121"/>
      <c r="DT21" s="121"/>
      <c r="DU21" s="121"/>
      <c r="DV21" s="121"/>
      <c r="DW21" s="121"/>
      <c r="DX21" s="121"/>
      <c r="DY21" s="121"/>
      <c r="DZ21" s="121"/>
      <c r="EA21" s="121"/>
      <c r="EB21" s="121"/>
      <c r="EC21" s="121"/>
      <c r="ED21" s="121"/>
      <c r="EE21" s="121"/>
      <c r="EF21" s="121"/>
      <c r="EG21" s="121"/>
      <c r="EH21" s="121"/>
      <c r="EI21" s="121"/>
      <c r="EJ21" s="121"/>
      <c r="EK21" s="121"/>
      <c r="EL21" s="121"/>
      <c r="EM21" s="121"/>
      <c r="EN21" s="121"/>
      <c r="EO21" s="121"/>
      <c r="EP21" s="121"/>
      <c r="EQ21" s="121"/>
      <c r="ER21" s="121"/>
      <c r="ES21" s="121"/>
      <c r="ET21" s="121"/>
      <c r="EU21" s="121"/>
      <c r="EV21" s="121"/>
      <c r="EW21" s="121"/>
      <c r="EX21" s="121"/>
      <c r="EY21" s="121"/>
      <c r="EZ21" s="121"/>
      <c r="FA21" s="121"/>
      <c r="FB21" s="121"/>
      <c r="FC21" s="121"/>
      <c r="FD21" s="121"/>
      <c r="FE21" s="121"/>
      <c r="FF21" s="121"/>
      <c r="FG21" s="121"/>
      <c r="FH21" s="121"/>
      <c r="FI21" s="121"/>
      <c r="FJ21" s="121"/>
      <c r="FK21" s="121"/>
      <c r="FL21" s="121"/>
      <c r="FM21" s="121"/>
      <c r="FN21" s="121"/>
      <c r="FO21" s="121"/>
      <c r="FP21" s="121"/>
      <c r="FQ21" s="121"/>
      <c r="FR21" s="121"/>
      <c r="FS21" s="121"/>
      <c r="FT21" s="121"/>
      <c r="FU21" s="121"/>
      <c r="FV21" s="121"/>
      <c r="FW21" s="121"/>
      <c r="FX21" s="121"/>
      <c r="FY21" s="121"/>
      <c r="FZ21" s="121"/>
      <c r="GA21" s="121"/>
      <c r="GB21" s="121"/>
      <c r="GC21" s="121"/>
      <c r="GD21" s="121"/>
      <c r="GE21" s="121"/>
      <c r="GF21" s="121"/>
      <c r="GG21" s="121"/>
      <c r="GH21" s="121"/>
    </row>
    <row r="22" spans="1:190">
      <c r="A22" s="475"/>
      <c r="B22" s="475"/>
      <c r="C22" s="475"/>
      <c r="D22" s="475"/>
      <c r="E22" s="475"/>
      <c r="F22" s="475"/>
      <c r="G22" s="475"/>
      <c r="H22" s="475"/>
      <c r="I22" s="475"/>
      <c r="J22" s="475"/>
      <c r="K22" s="475"/>
      <c r="L22" s="475"/>
      <c r="M22" s="475"/>
      <c r="N22" s="475"/>
      <c r="O22" s="475"/>
      <c r="P22" s="475"/>
      <c r="Q22" s="475"/>
      <c r="R22" s="475"/>
      <c r="S22" s="475"/>
      <c r="T22" s="475"/>
      <c r="U22" s="475"/>
      <c r="V22" s="475"/>
      <c r="W22" s="475"/>
      <c r="X22" s="475"/>
      <c r="Y22" s="475"/>
      <c r="Z22" s="47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1"/>
      <c r="CI22" s="121"/>
      <c r="CJ22" s="121"/>
      <c r="CK22" s="121"/>
      <c r="CL22" s="121"/>
      <c r="CM22" s="121"/>
      <c r="CN22" s="121"/>
      <c r="CO22" s="121"/>
      <c r="CP22" s="121"/>
      <c r="CQ22" s="121"/>
      <c r="CR22" s="121"/>
      <c r="CS22" s="121"/>
      <c r="CT22" s="121"/>
      <c r="CU22" s="121"/>
      <c r="CV22" s="121"/>
      <c r="CW22" s="121"/>
      <c r="CX22" s="121"/>
      <c r="CY22" s="121"/>
      <c r="CZ22" s="121"/>
      <c r="DA22" s="121"/>
      <c r="DB22" s="121"/>
      <c r="DC22" s="121"/>
      <c r="DD22" s="121"/>
      <c r="DE22" s="121"/>
      <c r="DF22" s="121"/>
      <c r="DG22" s="121"/>
      <c r="DH22" s="121"/>
      <c r="DI22" s="121"/>
      <c r="DJ22" s="121"/>
      <c r="DK22" s="121"/>
      <c r="DL22" s="121"/>
      <c r="DM22" s="121"/>
      <c r="DN22" s="121"/>
      <c r="DO22" s="121"/>
      <c r="DP22" s="121"/>
      <c r="DQ22" s="121"/>
      <c r="DR22" s="121"/>
      <c r="DS22" s="121"/>
      <c r="DT22" s="121"/>
      <c r="DU22" s="121"/>
      <c r="DV22" s="121"/>
      <c r="DW22" s="121"/>
      <c r="DX22" s="121"/>
      <c r="DY22" s="121"/>
      <c r="DZ22" s="121"/>
      <c r="EA22" s="121"/>
      <c r="EB22" s="121"/>
      <c r="EC22" s="121"/>
      <c r="ED22" s="121"/>
      <c r="EE22" s="121"/>
      <c r="EF22" s="121"/>
      <c r="EG22" s="121"/>
      <c r="EH22" s="121"/>
      <c r="EI22" s="121"/>
      <c r="EJ22" s="121"/>
      <c r="EK22" s="121"/>
      <c r="EL22" s="121"/>
      <c r="EM22" s="121"/>
      <c r="EN22" s="121"/>
      <c r="EO22" s="121"/>
      <c r="EP22" s="121"/>
      <c r="EQ22" s="121"/>
      <c r="ER22" s="121"/>
      <c r="ES22" s="121"/>
      <c r="ET22" s="121"/>
      <c r="EU22" s="121"/>
      <c r="EV22" s="121"/>
      <c r="EW22" s="121"/>
      <c r="EX22" s="121"/>
      <c r="EY22" s="121"/>
      <c r="EZ22" s="121"/>
      <c r="FA22" s="121"/>
      <c r="FB22" s="121"/>
      <c r="FC22" s="121"/>
      <c r="FD22" s="121"/>
      <c r="FE22" s="121"/>
      <c r="FF22" s="121"/>
      <c r="FG22" s="121"/>
      <c r="FH22" s="121"/>
      <c r="FI22" s="121"/>
      <c r="FJ22" s="121"/>
      <c r="FK22" s="121"/>
      <c r="FL22" s="121"/>
      <c r="FM22" s="121"/>
      <c r="FN22" s="121"/>
      <c r="FO22" s="121"/>
      <c r="FP22" s="121"/>
      <c r="FQ22" s="121"/>
      <c r="FR22" s="121"/>
      <c r="FS22" s="121"/>
      <c r="FT22" s="121"/>
      <c r="FU22" s="121"/>
      <c r="FV22" s="121"/>
      <c r="FW22" s="121"/>
      <c r="FX22" s="121"/>
      <c r="FY22" s="121"/>
      <c r="FZ22" s="121"/>
      <c r="GA22" s="121"/>
      <c r="GB22" s="121"/>
      <c r="GC22" s="121"/>
      <c r="GD22" s="121"/>
      <c r="GE22" s="121"/>
      <c r="GF22" s="121"/>
      <c r="GG22" s="121"/>
      <c r="GH22" s="121"/>
    </row>
    <row r="23" spans="1:190">
      <c r="A23" s="475"/>
      <c r="B23" s="475"/>
      <c r="C23" s="475"/>
      <c r="D23" s="475"/>
      <c r="E23" s="475"/>
      <c r="F23" s="475"/>
      <c r="G23" s="475"/>
      <c r="H23" s="475"/>
      <c r="I23" s="475"/>
      <c r="J23" s="475"/>
      <c r="K23" s="475"/>
      <c r="L23" s="475"/>
      <c r="M23" s="475"/>
      <c r="N23" s="475"/>
      <c r="O23" s="475"/>
      <c r="P23" s="475"/>
      <c r="Q23" s="475"/>
      <c r="R23" s="475"/>
      <c r="S23" s="475"/>
      <c r="T23" s="475"/>
      <c r="U23" s="475"/>
      <c r="V23" s="475"/>
      <c r="W23" s="475"/>
      <c r="X23" s="475"/>
      <c r="Y23" s="475"/>
      <c r="Z23" s="47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1"/>
      <c r="CI23" s="121"/>
      <c r="CJ23" s="121"/>
      <c r="CK23" s="121"/>
      <c r="CL23" s="121"/>
      <c r="CM23" s="121"/>
      <c r="CN23" s="121"/>
      <c r="CO23" s="121"/>
      <c r="CP23" s="121"/>
      <c r="CQ23" s="121"/>
      <c r="CR23" s="121"/>
      <c r="CS23" s="121"/>
      <c r="CT23" s="121"/>
      <c r="CU23" s="121"/>
      <c r="CV23" s="121"/>
      <c r="CW23" s="121"/>
      <c r="CX23" s="121"/>
      <c r="CY23" s="121"/>
      <c r="CZ23" s="121"/>
      <c r="DA23" s="121"/>
      <c r="DB23" s="121"/>
      <c r="DC23" s="121"/>
      <c r="DD23" s="121"/>
      <c r="DE23" s="121"/>
      <c r="DF23" s="121"/>
      <c r="DG23" s="121"/>
      <c r="DH23" s="121"/>
      <c r="DI23" s="121"/>
      <c r="DJ23" s="121"/>
      <c r="DK23" s="121"/>
      <c r="DL23" s="121"/>
      <c r="DM23" s="121"/>
      <c r="DN23" s="121"/>
      <c r="DO23" s="121"/>
      <c r="DP23" s="121"/>
      <c r="DQ23" s="121"/>
      <c r="DR23" s="121"/>
      <c r="DS23" s="121"/>
      <c r="DT23" s="121"/>
      <c r="DU23" s="121"/>
      <c r="DV23" s="121"/>
      <c r="DW23" s="121"/>
      <c r="DX23" s="121"/>
      <c r="DY23" s="121"/>
      <c r="DZ23" s="121"/>
      <c r="EA23" s="121"/>
      <c r="EB23" s="121"/>
      <c r="EC23" s="121"/>
      <c r="ED23" s="121"/>
      <c r="EE23" s="121"/>
      <c r="EF23" s="121"/>
      <c r="EG23" s="121"/>
      <c r="EH23" s="121"/>
      <c r="EI23" s="121"/>
      <c r="EJ23" s="121"/>
      <c r="EK23" s="121"/>
      <c r="EL23" s="121"/>
      <c r="EM23" s="121"/>
      <c r="EN23" s="121"/>
      <c r="EO23" s="121"/>
      <c r="EP23" s="121"/>
      <c r="EQ23" s="121"/>
      <c r="ER23" s="121"/>
      <c r="ES23" s="121"/>
      <c r="ET23" s="121"/>
      <c r="EU23" s="121"/>
      <c r="EV23" s="121"/>
      <c r="EW23" s="121"/>
      <c r="EX23" s="121"/>
      <c r="EY23" s="121"/>
      <c r="EZ23" s="121"/>
      <c r="FA23" s="121"/>
      <c r="FB23" s="121"/>
      <c r="FC23" s="121"/>
      <c r="FD23" s="121"/>
      <c r="FE23" s="121"/>
      <c r="FF23" s="121"/>
      <c r="FG23" s="121"/>
      <c r="FH23" s="121"/>
      <c r="FI23" s="121"/>
      <c r="FJ23" s="121"/>
      <c r="FK23" s="121"/>
      <c r="FL23" s="121"/>
      <c r="FM23" s="121"/>
      <c r="FN23" s="121"/>
      <c r="FO23" s="121"/>
      <c r="FP23" s="121"/>
      <c r="FQ23" s="121"/>
      <c r="FR23" s="121"/>
      <c r="FS23" s="121"/>
      <c r="FT23" s="121"/>
      <c r="FU23" s="121"/>
      <c r="FV23" s="121"/>
      <c r="FW23" s="121"/>
      <c r="FX23" s="121"/>
      <c r="FY23" s="121"/>
      <c r="FZ23" s="121"/>
      <c r="GA23" s="121"/>
      <c r="GB23" s="121"/>
      <c r="GC23" s="121"/>
      <c r="GD23" s="121"/>
      <c r="GE23" s="121"/>
      <c r="GF23" s="121"/>
      <c r="GG23" s="121"/>
      <c r="GH23" s="121"/>
    </row>
    <row r="24" spans="1:190">
      <c r="A24" s="475"/>
      <c r="B24" s="475"/>
      <c r="C24" s="475"/>
      <c r="D24" s="475"/>
      <c r="E24" s="475"/>
      <c r="F24" s="475"/>
      <c r="G24" s="475"/>
      <c r="H24" s="475"/>
      <c r="I24" s="475"/>
      <c r="J24" s="475"/>
      <c r="K24" s="475"/>
      <c r="L24" s="475"/>
      <c r="M24" s="475"/>
      <c r="N24" s="475"/>
      <c r="O24" s="475"/>
      <c r="P24" s="475"/>
      <c r="Q24" s="475"/>
      <c r="R24" s="475"/>
      <c r="S24" s="475"/>
      <c r="T24" s="475"/>
      <c r="U24" s="475"/>
      <c r="V24" s="475"/>
      <c r="W24" s="475"/>
      <c r="X24" s="475"/>
      <c r="Y24" s="475"/>
      <c r="Z24" s="47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c r="CG24" s="121"/>
      <c r="CH24" s="121"/>
      <c r="CI24" s="121"/>
      <c r="CJ24" s="121"/>
      <c r="CK24" s="121"/>
      <c r="CL24" s="121"/>
      <c r="CM24" s="121"/>
      <c r="CN24" s="121"/>
      <c r="CO24" s="121"/>
      <c r="CP24" s="121"/>
      <c r="CQ24" s="121"/>
      <c r="CR24" s="121"/>
      <c r="CS24" s="121"/>
      <c r="CT24" s="121"/>
      <c r="CU24" s="121"/>
      <c r="CV24" s="121"/>
      <c r="CW24" s="121"/>
      <c r="CX24" s="121"/>
      <c r="CY24" s="121"/>
      <c r="CZ24" s="121"/>
      <c r="DA24" s="121"/>
      <c r="DB24" s="121"/>
      <c r="DC24" s="121"/>
      <c r="DD24" s="121"/>
      <c r="DE24" s="121"/>
      <c r="DF24" s="121"/>
      <c r="DG24" s="121"/>
      <c r="DH24" s="121"/>
      <c r="DI24" s="121"/>
      <c r="DJ24" s="121"/>
      <c r="DK24" s="121"/>
      <c r="DL24" s="121"/>
      <c r="DM24" s="121"/>
      <c r="DN24" s="121"/>
      <c r="DO24" s="121"/>
      <c r="DP24" s="121"/>
      <c r="DQ24" s="121"/>
      <c r="DR24" s="121"/>
      <c r="DS24" s="121"/>
      <c r="DT24" s="121"/>
      <c r="DU24" s="121"/>
      <c r="DV24" s="121"/>
      <c r="DW24" s="121"/>
      <c r="DX24" s="121"/>
      <c r="DY24" s="121"/>
      <c r="DZ24" s="121"/>
      <c r="EA24" s="121"/>
      <c r="EB24" s="121"/>
      <c r="EC24" s="121"/>
      <c r="ED24" s="121"/>
      <c r="EE24" s="121"/>
      <c r="EF24" s="121"/>
      <c r="EG24" s="121"/>
      <c r="EH24" s="121"/>
      <c r="EI24" s="121"/>
      <c r="EJ24" s="121"/>
      <c r="EK24" s="121"/>
      <c r="EL24" s="121"/>
      <c r="EM24" s="121"/>
      <c r="EN24" s="121"/>
      <c r="EO24" s="121"/>
      <c r="EP24" s="121"/>
      <c r="EQ24" s="121"/>
      <c r="ER24" s="121"/>
      <c r="ES24" s="121"/>
      <c r="ET24" s="121"/>
      <c r="EU24" s="121"/>
      <c r="EV24" s="121"/>
      <c r="EW24" s="121"/>
      <c r="EX24" s="121"/>
      <c r="EY24" s="121"/>
      <c r="EZ24" s="121"/>
      <c r="FA24" s="121"/>
      <c r="FB24" s="121"/>
      <c r="FC24" s="121"/>
      <c r="FD24" s="121"/>
      <c r="FE24" s="121"/>
      <c r="FF24" s="121"/>
      <c r="FG24" s="121"/>
      <c r="FH24" s="121"/>
      <c r="FI24" s="121"/>
      <c r="FJ24" s="121"/>
      <c r="FK24" s="121"/>
      <c r="FL24" s="121"/>
      <c r="FM24" s="121"/>
      <c r="FN24" s="121"/>
      <c r="FO24" s="121"/>
      <c r="FP24" s="121"/>
      <c r="FQ24" s="121"/>
      <c r="FR24" s="121"/>
      <c r="FS24" s="121"/>
      <c r="FT24" s="121"/>
      <c r="FU24" s="121"/>
      <c r="FV24" s="121"/>
      <c r="FW24" s="121"/>
      <c r="FX24" s="121"/>
      <c r="FY24" s="121"/>
      <c r="FZ24" s="121"/>
      <c r="GA24" s="121"/>
      <c r="GB24" s="121"/>
      <c r="GC24" s="121"/>
      <c r="GD24" s="121"/>
      <c r="GE24" s="121"/>
      <c r="GF24" s="121"/>
      <c r="GG24" s="121"/>
      <c r="GH24" s="121"/>
    </row>
    <row r="25" spans="1:190">
      <c r="A25" s="475"/>
      <c r="B25" s="475"/>
      <c r="C25" s="475"/>
      <c r="D25" s="475"/>
      <c r="E25" s="475"/>
      <c r="F25" s="475"/>
      <c r="G25" s="475"/>
      <c r="H25" s="475"/>
      <c r="I25" s="475"/>
      <c r="J25" s="475"/>
      <c r="K25" s="475"/>
      <c r="L25" s="475"/>
      <c r="M25" s="475"/>
      <c r="N25" s="475"/>
      <c r="O25" s="475"/>
      <c r="P25" s="475"/>
      <c r="Q25" s="475"/>
      <c r="R25" s="475"/>
      <c r="S25" s="475"/>
      <c r="T25" s="475"/>
      <c r="U25" s="475"/>
      <c r="V25" s="475"/>
      <c r="W25" s="475"/>
      <c r="X25" s="475"/>
      <c r="Y25" s="475"/>
      <c r="Z25" s="47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121"/>
      <c r="CT25" s="121"/>
      <c r="CU25" s="121"/>
      <c r="CV25" s="121"/>
      <c r="CW25" s="121"/>
      <c r="CX25" s="121"/>
      <c r="CY25" s="121"/>
      <c r="CZ25" s="121"/>
      <c r="DA25" s="121"/>
      <c r="DB25" s="121"/>
      <c r="DC25" s="121"/>
      <c r="DD25" s="121"/>
      <c r="DE25" s="121"/>
      <c r="DF25" s="121"/>
      <c r="DG25" s="121"/>
      <c r="DH25" s="121"/>
      <c r="DI25" s="121"/>
      <c r="DJ25" s="121"/>
      <c r="DK25" s="121"/>
      <c r="DL25" s="121"/>
      <c r="DM25" s="121"/>
      <c r="DN25" s="121"/>
      <c r="DO25" s="121"/>
      <c r="DP25" s="121"/>
      <c r="DQ25" s="121"/>
      <c r="DR25" s="121"/>
      <c r="DS25" s="121"/>
      <c r="DT25" s="121"/>
      <c r="DU25" s="121"/>
      <c r="DV25" s="121"/>
      <c r="DW25" s="121"/>
      <c r="DX25" s="121"/>
      <c r="DY25" s="121"/>
      <c r="DZ25" s="121"/>
      <c r="EA25" s="121"/>
      <c r="EB25" s="121"/>
      <c r="EC25" s="121"/>
      <c r="ED25" s="121"/>
      <c r="EE25" s="121"/>
      <c r="EF25" s="121"/>
      <c r="EG25" s="121"/>
      <c r="EH25" s="121"/>
      <c r="EI25" s="121"/>
      <c r="EJ25" s="121"/>
      <c r="EK25" s="121"/>
      <c r="EL25" s="121"/>
      <c r="EM25" s="121"/>
      <c r="EN25" s="121"/>
      <c r="EO25" s="121"/>
      <c r="EP25" s="121"/>
      <c r="EQ25" s="121"/>
      <c r="ER25" s="121"/>
      <c r="ES25" s="121"/>
      <c r="ET25" s="121"/>
      <c r="EU25" s="121"/>
      <c r="EV25" s="121"/>
      <c r="EW25" s="121"/>
      <c r="EX25" s="121"/>
      <c r="EY25" s="121"/>
      <c r="EZ25" s="121"/>
      <c r="FA25" s="121"/>
      <c r="FB25" s="121"/>
      <c r="FC25" s="121"/>
      <c r="FD25" s="121"/>
      <c r="FE25" s="121"/>
      <c r="FF25" s="121"/>
      <c r="FG25" s="121"/>
      <c r="FH25" s="121"/>
      <c r="FI25" s="121"/>
      <c r="FJ25" s="121"/>
      <c r="FK25" s="121"/>
      <c r="FL25" s="121"/>
      <c r="FM25" s="121"/>
      <c r="FN25" s="121"/>
      <c r="FO25" s="121"/>
      <c r="FP25" s="121"/>
      <c r="FQ25" s="121"/>
      <c r="FR25" s="121"/>
      <c r="FS25" s="121"/>
      <c r="FT25" s="121"/>
      <c r="FU25" s="121"/>
      <c r="FV25" s="121"/>
      <c r="FW25" s="121"/>
      <c r="FX25" s="121"/>
      <c r="FY25" s="121"/>
      <c r="FZ25" s="121"/>
      <c r="GA25" s="121"/>
      <c r="GB25" s="121"/>
      <c r="GC25" s="121"/>
      <c r="GD25" s="121"/>
      <c r="GE25" s="121"/>
      <c r="GF25" s="121"/>
      <c r="GG25" s="121"/>
      <c r="GH25" s="121"/>
    </row>
    <row r="26" spans="1:190">
      <c r="A26" s="475"/>
      <c r="B26" s="475"/>
      <c r="C26" s="475"/>
      <c r="D26" s="475"/>
      <c r="E26" s="475"/>
      <c r="F26" s="475"/>
      <c r="G26" s="475"/>
      <c r="H26" s="475"/>
      <c r="I26" s="475"/>
      <c r="J26" s="475"/>
      <c r="K26" s="475"/>
      <c r="L26" s="475"/>
      <c r="M26" s="475"/>
      <c r="N26" s="475"/>
      <c r="O26" s="475"/>
      <c r="P26" s="475"/>
      <c r="Q26" s="475"/>
      <c r="R26" s="475"/>
      <c r="S26" s="475"/>
      <c r="T26" s="475"/>
      <c r="U26" s="475"/>
      <c r="V26" s="475"/>
      <c r="W26" s="475"/>
      <c r="X26" s="475"/>
      <c r="Y26" s="475"/>
      <c r="Z26" s="47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1"/>
      <c r="CI26" s="121"/>
      <c r="CJ26" s="121"/>
      <c r="CK26" s="121"/>
      <c r="CL26" s="121"/>
      <c r="CM26" s="121"/>
      <c r="CN26" s="121"/>
      <c r="CO26" s="121"/>
      <c r="CP26" s="121"/>
      <c r="CQ26" s="121"/>
      <c r="CR26" s="121"/>
      <c r="CS26" s="121"/>
      <c r="CT26" s="121"/>
      <c r="CU26" s="121"/>
      <c r="CV26" s="121"/>
      <c r="CW26" s="121"/>
      <c r="CX26" s="121"/>
      <c r="CY26" s="121"/>
      <c r="CZ26" s="121"/>
      <c r="DA26" s="121"/>
      <c r="DB26" s="121"/>
      <c r="DC26" s="121"/>
      <c r="DD26" s="121"/>
      <c r="DE26" s="121"/>
      <c r="DF26" s="121"/>
      <c r="DG26" s="121"/>
      <c r="DH26" s="121"/>
      <c r="DI26" s="121"/>
      <c r="DJ26" s="121"/>
      <c r="DK26" s="121"/>
      <c r="DL26" s="121"/>
      <c r="DM26" s="121"/>
      <c r="DN26" s="121"/>
      <c r="DO26" s="121"/>
      <c r="DP26" s="121"/>
      <c r="DQ26" s="121"/>
      <c r="DR26" s="121"/>
      <c r="DS26" s="121"/>
      <c r="DT26" s="121"/>
      <c r="DU26" s="121"/>
      <c r="DV26" s="121"/>
      <c r="DW26" s="121"/>
      <c r="DX26" s="121"/>
      <c r="DY26" s="121"/>
      <c r="DZ26" s="121"/>
      <c r="EA26" s="121"/>
      <c r="EB26" s="121"/>
      <c r="EC26" s="121"/>
      <c r="ED26" s="121"/>
      <c r="EE26" s="121"/>
      <c r="EF26" s="121"/>
      <c r="EG26" s="121"/>
      <c r="EH26" s="121"/>
      <c r="EI26" s="121"/>
      <c r="EJ26" s="121"/>
      <c r="EK26" s="121"/>
      <c r="EL26" s="121"/>
      <c r="EM26" s="121"/>
      <c r="EN26" s="121"/>
      <c r="EO26" s="121"/>
      <c r="EP26" s="121"/>
      <c r="EQ26" s="121"/>
      <c r="ER26" s="121"/>
      <c r="ES26" s="121"/>
      <c r="ET26" s="121"/>
      <c r="EU26" s="121"/>
      <c r="EV26" s="121"/>
      <c r="EW26" s="121"/>
      <c r="EX26" s="121"/>
      <c r="EY26" s="121"/>
      <c r="EZ26" s="121"/>
      <c r="FA26" s="121"/>
      <c r="FB26" s="121"/>
      <c r="FC26" s="121"/>
      <c r="FD26" s="121"/>
      <c r="FE26" s="121"/>
      <c r="FF26" s="121"/>
      <c r="FG26" s="121"/>
      <c r="FH26" s="121"/>
      <c r="FI26" s="121"/>
      <c r="FJ26" s="121"/>
      <c r="FK26" s="121"/>
      <c r="FL26" s="121"/>
      <c r="FM26" s="121"/>
      <c r="FN26" s="121"/>
      <c r="FO26" s="121"/>
      <c r="FP26" s="121"/>
      <c r="FQ26" s="121"/>
      <c r="FR26" s="121"/>
      <c r="FS26" s="121"/>
      <c r="FT26" s="121"/>
      <c r="FU26" s="121"/>
      <c r="FV26" s="121"/>
      <c r="FW26" s="121"/>
      <c r="FX26" s="121"/>
      <c r="FY26" s="121"/>
      <c r="FZ26" s="121"/>
      <c r="GA26" s="121"/>
      <c r="GB26" s="121"/>
      <c r="GC26" s="121"/>
      <c r="GD26" s="121"/>
      <c r="GE26" s="121"/>
      <c r="GF26" s="121"/>
      <c r="GG26" s="121"/>
      <c r="GH26" s="121"/>
    </row>
    <row r="27" spans="1:190">
      <c r="A27" s="475"/>
      <c r="B27" s="475"/>
      <c r="C27" s="475"/>
      <c r="D27" s="475"/>
      <c r="E27" s="475"/>
      <c r="F27" s="475"/>
      <c r="G27" s="475"/>
      <c r="H27" s="475"/>
      <c r="I27" s="475"/>
      <c r="J27" s="475"/>
      <c r="K27" s="475"/>
      <c r="L27" s="475"/>
      <c r="M27" s="475"/>
      <c r="N27" s="475"/>
      <c r="O27" s="475"/>
      <c r="P27" s="475"/>
      <c r="Q27" s="475"/>
      <c r="R27" s="475"/>
      <c r="S27" s="475"/>
      <c r="T27" s="475"/>
      <c r="U27" s="475"/>
      <c r="V27" s="475"/>
      <c r="W27" s="475"/>
      <c r="X27" s="475"/>
      <c r="Y27" s="475"/>
      <c r="Z27" s="47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1"/>
      <c r="CI27" s="121"/>
      <c r="CJ27" s="121"/>
      <c r="CK27" s="121"/>
      <c r="CL27" s="121"/>
      <c r="CM27" s="121"/>
      <c r="CN27" s="121"/>
      <c r="CO27" s="121"/>
      <c r="CP27" s="121"/>
      <c r="CQ27" s="121"/>
      <c r="CR27" s="121"/>
      <c r="CS27" s="121"/>
      <c r="CT27" s="121"/>
      <c r="CU27" s="121"/>
      <c r="CV27" s="121"/>
      <c r="CW27" s="121"/>
      <c r="CX27" s="121"/>
      <c r="CY27" s="121"/>
      <c r="CZ27" s="121"/>
      <c r="DA27" s="121"/>
      <c r="DB27" s="121"/>
      <c r="DC27" s="121"/>
      <c r="DD27" s="121"/>
      <c r="DE27" s="121"/>
      <c r="DF27" s="121"/>
      <c r="DG27" s="121"/>
      <c r="DH27" s="121"/>
      <c r="DI27" s="121"/>
      <c r="DJ27" s="121"/>
      <c r="DK27" s="121"/>
      <c r="DL27" s="121"/>
      <c r="DM27" s="121"/>
      <c r="DN27" s="121"/>
      <c r="DO27" s="121"/>
      <c r="DP27" s="121"/>
      <c r="DQ27" s="121"/>
      <c r="DR27" s="121"/>
      <c r="DS27" s="121"/>
      <c r="DT27" s="121"/>
      <c r="DU27" s="121"/>
      <c r="DV27" s="121"/>
      <c r="DW27" s="121"/>
      <c r="DX27" s="121"/>
      <c r="DY27" s="121"/>
      <c r="DZ27" s="121"/>
      <c r="EA27" s="121"/>
      <c r="EB27" s="121"/>
      <c r="EC27" s="121"/>
      <c r="ED27" s="121"/>
      <c r="EE27" s="121"/>
      <c r="EF27" s="121"/>
      <c r="EG27" s="121"/>
      <c r="EH27" s="121"/>
      <c r="EI27" s="121"/>
      <c r="EJ27" s="121"/>
      <c r="EK27" s="121"/>
      <c r="EL27" s="121"/>
      <c r="EM27" s="121"/>
      <c r="EN27" s="121"/>
      <c r="EO27" s="121"/>
      <c r="EP27" s="121"/>
      <c r="EQ27" s="121"/>
      <c r="ER27" s="121"/>
      <c r="ES27" s="121"/>
      <c r="ET27" s="121"/>
      <c r="EU27" s="121"/>
      <c r="EV27" s="121"/>
      <c r="EW27" s="121"/>
      <c r="EX27" s="121"/>
      <c r="EY27" s="121"/>
      <c r="EZ27" s="121"/>
      <c r="FA27" s="121"/>
      <c r="FB27" s="121"/>
      <c r="FC27" s="121"/>
      <c r="FD27" s="121"/>
      <c r="FE27" s="121"/>
      <c r="FF27" s="121"/>
      <c r="FG27" s="121"/>
      <c r="FH27" s="121"/>
      <c r="FI27" s="121"/>
      <c r="FJ27" s="121"/>
      <c r="FK27" s="121"/>
      <c r="FL27" s="121"/>
      <c r="FM27" s="121"/>
      <c r="FN27" s="121"/>
      <c r="FO27" s="121"/>
      <c r="FP27" s="121"/>
      <c r="FQ27" s="121"/>
      <c r="FR27" s="121"/>
      <c r="FS27" s="121"/>
      <c r="FT27" s="121"/>
      <c r="FU27" s="121"/>
      <c r="FV27" s="121"/>
      <c r="FW27" s="121"/>
      <c r="FX27" s="121"/>
      <c r="FY27" s="121"/>
      <c r="FZ27" s="121"/>
      <c r="GA27" s="121"/>
      <c r="GB27" s="121"/>
      <c r="GC27" s="121"/>
      <c r="GD27" s="121"/>
      <c r="GE27" s="121"/>
      <c r="GF27" s="121"/>
      <c r="GG27" s="121"/>
      <c r="GH27" s="121"/>
    </row>
    <row r="28" spans="1:190">
      <c r="A28" s="475"/>
      <c r="B28" s="475"/>
      <c r="C28" s="475"/>
      <c r="D28" s="475"/>
      <c r="E28" s="475"/>
      <c r="F28" s="475"/>
      <c r="G28" s="475"/>
      <c r="H28" s="475"/>
      <c r="I28" s="475"/>
      <c r="J28" s="475"/>
      <c r="K28" s="475"/>
      <c r="L28" s="475"/>
      <c r="M28" s="475"/>
      <c r="N28" s="475"/>
      <c r="O28" s="475"/>
      <c r="P28" s="475"/>
      <c r="Q28" s="475"/>
      <c r="R28" s="475"/>
      <c r="S28" s="475"/>
      <c r="T28" s="475"/>
      <c r="U28" s="475"/>
      <c r="V28" s="475"/>
      <c r="W28" s="475"/>
      <c r="X28" s="475"/>
      <c r="Y28" s="475"/>
      <c r="Z28" s="47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121"/>
      <c r="CT28" s="121"/>
      <c r="CU28" s="121"/>
      <c r="CV28" s="121"/>
      <c r="CW28" s="121"/>
      <c r="CX28" s="121"/>
      <c r="CY28" s="121"/>
      <c r="CZ28" s="121"/>
      <c r="DA28" s="121"/>
      <c r="DB28" s="121"/>
      <c r="DC28" s="121"/>
      <c r="DD28" s="121"/>
      <c r="DE28" s="121"/>
      <c r="DF28" s="121"/>
      <c r="DG28" s="121"/>
      <c r="DH28" s="121"/>
      <c r="DI28" s="121"/>
      <c r="DJ28" s="121"/>
      <c r="DK28" s="121"/>
      <c r="DL28" s="121"/>
      <c r="DM28" s="121"/>
      <c r="DN28" s="121"/>
      <c r="DO28" s="121"/>
      <c r="DP28" s="121"/>
      <c r="DQ28" s="121"/>
      <c r="DR28" s="121"/>
      <c r="DS28" s="121"/>
      <c r="DT28" s="121"/>
      <c r="DU28" s="121"/>
      <c r="DV28" s="121"/>
      <c r="DW28" s="121"/>
      <c r="DX28" s="121"/>
      <c r="DY28" s="121"/>
      <c r="DZ28" s="121"/>
      <c r="EA28" s="121"/>
      <c r="EB28" s="121"/>
      <c r="EC28" s="121"/>
      <c r="ED28" s="121"/>
      <c r="EE28" s="121"/>
      <c r="EF28" s="121"/>
      <c r="EG28" s="121"/>
      <c r="EH28" s="121"/>
      <c r="EI28" s="121"/>
      <c r="EJ28" s="121"/>
      <c r="EK28" s="121"/>
      <c r="EL28" s="121"/>
      <c r="EM28" s="121"/>
      <c r="EN28" s="121"/>
      <c r="EO28" s="121"/>
      <c r="EP28" s="121"/>
      <c r="EQ28" s="121"/>
      <c r="ER28" s="121"/>
      <c r="ES28" s="121"/>
      <c r="ET28" s="121"/>
      <c r="EU28" s="121"/>
      <c r="EV28" s="121"/>
      <c r="EW28" s="121"/>
      <c r="EX28" s="121"/>
      <c r="EY28" s="121"/>
      <c r="EZ28" s="121"/>
      <c r="FA28" s="121"/>
      <c r="FB28" s="121"/>
      <c r="FC28" s="121"/>
      <c r="FD28" s="121"/>
      <c r="FE28" s="121"/>
      <c r="FF28" s="121"/>
      <c r="FG28" s="121"/>
      <c r="FH28" s="121"/>
      <c r="FI28" s="121"/>
      <c r="FJ28" s="121"/>
      <c r="FK28" s="121"/>
      <c r="FL28" s="121"/>
      <c r="FM28" s="121"/>
      <c r="FN28" s="121"/>
      <c r="FO28" s="121"/>
      <c r="FP28" s="121"/>
      <c r="FQ28" s="121"/>
      <c r="FR28" s="121"/>
      <c r="FS28" s="121"/>
      <c r="FT28" s="121"/>
      <c r="FU28" s="121"/>
      <c r="FV28" s="121"/>
      <c r="FW28" s="121"/>
      <c r="FX28" s="121"/>
      <c r="FY28" s="121"/>
      <c r="FZ28" s="121"/>
      <c r="GA28" s="121"/>
      <c r="GB28" s="121"/>
      <c r="GC28" s="121"/>
      <c r="GD28" s="121"/>
      <c r="GE28" s="121"/>
      <c r="GF28" s="121"/>
      <c r="GG28" s="121"/>
      <c r="GH28" s="121"/>
    </row>
    <row r="29" spans="1:190">
      <c r="A29" s="475"/>
      <c r="B29" s="475"/>
      <c r="C29" s="475"/>
      <c r="D29" s="475"/>
      <c r="E29" s="475"/>
      <c r="F29" s="475"/>
      <c r="G29" s="475"/>
      <c r="H29" s="475"/>
      <c r="I29" s="475"/>
      <c r="J29" s="475"/>
      <c r="K29" s="475"/>
      <c r="L29" s="475"/>
      <c r="M29" s="475"/>
      <c r="N29" s="475"/>
      <c r="O29" s="475"/>
      <c r="P29" s="475"/>
      <c r="Q29" s="475"/>
      <c r="R29" s="475"/>
      <c r="S29" s="475"/>
      <c r="T29" s="475"/>
      <c r="U29" s="475"/>
      <c r="V29" s="475"/>
      <c r="W29" s="475"/>
      <c r="X29" s="475"/>
      <c r="Y29" s="475"/>
      <c r="Z29" s="47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c r="CG29" s="121"/>
      <c r="CH29" s="121"/>
      <c r="CI29" s="121"/>
      <c r="CJ29" s="121"/>
      <c r="CK29" s="121"/>
      <c r="CL29" s="121"/>
      <c r="CM29" s="121"/>
      <c r="CN29" s="121"/>
      <c r="CO29" s="121"/>
      <c r="CP29" s="121"/>
      <c r="CQ29" s="121"/>
      <c r="CR29" s="121"/>
      <c r="CS29" s="121"/>
      <c r="CT29" s="121"/>
      <c r="CU29" s="121"/>
      <c r="CV29" s="121"/>
      <c r="CW29" s="121"/>
      <c r="CX29" s="121"/>
      <c r="CY29" s="121"/>
      <c r="CZ29" s="121"/>
      <c r="DA29" s="121"/>
      <c r="DB29" s="121"/>
      <c r="DC29" s="121"/>
      <c r="DD29" s="121"/>
      <c r="DE29" s="121"/>
      <c r="DF29" s="121"/>
      <c r="DG29" s="121"/>
      <c r="DH29" s="121"/>
      <c r="DI29" s="121"/>
      <c r="DJ29" s="121"/>
      <c r="DK29" s="121"/>
      <c r="DL29" s="121"/>
      <c r="DM29" s="121"/>
      <c r="DN29" s="121"/>
      <c r="DO29" s="121"/>
      <c r="DP29" s="121"/>
      <c r="DQ29" s="121"/>
      <c r="DR29" s="121"/>
      <c r="DS29" s="121"/>
      <c r="DT29" s="121"/>
      <c r="DU29" s="121"/>
      <c r="DV29" s="121"/>
      <c r="DW29" s="121"/>
      <c r="DX29" s="121"/>
      <c r="DY29" s="121"/>
      <c r="DZ29" s="121"/>
      <c r="EA29" s="121"/>
      <c r="EB29" s="121"/>
      <c r="EC29" s="121"/>
      <c r="ED29" s="121"/>
      <c r="EE29" s="121"/>
      <c r="EF29" s="121"/>
      <c r="EG29" s="121"/>
      <c r="EH29" s="121"/>
      <c r="EI29" s="121"/>
      <c r="EJ29" s="121"/>
      <c r="EK29" s="121"/>
      <c r="EL29" s="121"/>
      <c r="EM29" s="121"/>
      <c r="EN29" s="121"/>
      <c r="EO29" s="121"/>
      <c r="EP29" s="121"/>
      <c r="EQ29" s="121"/>
      <c r="ER29" s="121"/>
      <c r="ES29" s="121"/>
      <c r="ET29" s="121"/>
      <c r="EU29" s="121"/>
      <c r="EV29" s="121"/>
      <c r="EW29" s="121"/>
      <c r="EX29" s="121"/>
      <c r="EY29" s="121"/>
      <c r="EZ29" s="121"/>
      <c r="FA29" s="121"/>
      <c r="FB29" s="121"/>
      <c r="FC29" s="121"/>
      <c r="FD29" s="121"/>
      <c r="FE29" s="121"/>
      <c r="FF29" s="121"/>
      <c r="FG29" s="121"/>
      <c r="FH29" s="121"/>
      <c r="FI29" s="121"/>
      <c r="FJ29" s="121"/>
      <c r="FK29" s="121"/>
      <c r="FL29" s="121"/>
      <c r="FM29" s="121"/>
      <c r="FN29" s="121"/>
      <c r="FO29" s="121"/>
      <c r="FP29" s="121"/>
      <c r="FQ29" s="121"/>
      <c r="FR29" s="121"/>
      <c r="FS29" s="121"/>
      <c r="FT29" s="121"/>
      <c r="FU29" s="121"/>
      <c r="FV29" s="121"/>
      <c r="FW29" s="121"/>
      <c r="FX29" s="121"/>
      <c r="FY29" s="121"/>
      <c r="FZ29" s="121"/>
      <c r="GA29" s="121"/>
      <c r="GB29" s="121"/>
      <c r="GC29" s="121"/>
      <c r="GD29" s="121"/>
      <c r="GE29" s="121"/>
      <c r="GF29" s="121"/>
      <c r="GG29" s="121"/>
      <c r="GH29" s="121"/>
    </row>
    <row r="30" spans="1:190">
      <c r="A30" s="475"/>
      <c r="B30" s="475"/>
      <c r="C30" s="475"/>
      <c r="D30" s="475"/>
      <c r="E30" s="475"/>
      <c r="F30" s="475"/>
      <c r="G30" s="475"/>
      <c r="H30" s="475"/>
      <c r="I30" s="475"/>
      <c r="J30" s="475"/>
      <c r="K30" s="475"/>
      <c r="L30" s="475"/>
      <c r="M30" s="475"/>
      <c r="N30" s="475"/>
      <c r="O30" s="475"/>
      <c r="P30" s="475"/>
      <c r="Q30" s="475"/>
      <c r="R30" s="475"/>
      <c r="S30" s="475"/>
      <c r="T30" s="475"/>
      <c r="U30" s="475"/>
      <c r="V30" s="475"/>
      <c r="W30" s="475"/>
      <c r="X30" s="475"/>
      <c r="Y30" s="475"/>
      <c r="Z30" s="47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1"/>
      <c r="CI30" s="121"/>
      <c r="CJ30" s="121"/>
      <c r="CK30" s="121"/>
      <c r="CL30" s="121"/>
      <c r="CM30" s="121"/>
      <c r="CN30" s="121"/>
      <c r="CO30" s="121"/>
      <c r="CP30" s="121"/>
      <c r="CQ30" s="121"/>
      <c r="CR30" s="121"/>
      <c r="CS30" s="121"/>
      <c r="CT30" s="121"/>
      <c r="CU30" s="121"/>
      <c r="CV30" s="121"/>
      <c r="CW30" s="121"/>
      <c r="CX30" s="121"/>
      <c r="CY30" s="121"/>
      <c r="CZ30" s="121"/>
      <c r="DA30" s="121"/>
      <c r="DB30" s="121"/>
      <c r="DC30" s="121"/>
      <c r="DD30" s="121"/>
      <c r="DE30" s="121"/>
      <c r="DF30" s="121"/>
      <c r="DG30" s="121"/>
      <c r="DH30" s="121"/>
      <c r="DI30" s="121"/>
      <c r="DJ30" s="121"/>
      <c r="DK30" s="121"/>
      <c r="DL30" s="121"/>
      <c r="DM30" s="121"/>
      <c r="DN30" s="121"/>
      <c r="DO30" s="121"/>
      <c r="DP30" s="121"/>
      <c r="DQ30" s="121"/>
      <c r="DR30" s="121"/>
      <c r="DS30" s="121"/>
      <c r="DT30" s="121"/>
      <c r="DU30" s="121"/>
      <c r="DV30" s="121"/>
      <c r="DW30" s="121"/>
      <c r="DX30" s="121"/>
      <c r="DY30" s="121"/>
      <c r="DZ30" s="121"/>
      <c r="EA30" s="121"/>
      <c r="EB30" s="121"/>
      <c r="EC30" s="121"/>
      <c r="ED30" s="121"/>
      <c r="EE30" s="121"/>
      <c r="EF30" s="121"/>
      <c r="EG30" s="121"/>
      <c r="EH30" s="121"/>
      <c r="EI30" s="121"/>
      <c r="EJ30" s="121"/>
      <c r="EK30" s="121"/>
      <c r="EL30" s="121"/>
      <c r="EM30" s="121"/>
      <c r="EN30" s="121"/>
      <c r="EO30" s="121"/>
      <c r="EP30" s="121"/>
      <c r="EQ30" s="121"/>
      <c r="ER30" s="121"/>
      <c r="ES30" s="121"/>
      <c r="ET30" s="121"/>
      <c r="EU30" s="121"/>
      <c r="EV30" s="121"/>
      <c r="EW30" s="121"/>
      <c r="EX30" s="121"/>
      <c r="EY30" s="121"/>
      <c r="EZ30" s="121"/>
      <c r="FA30" s="121"/>
      <c r="FB30" s="121"/>
      <c r="FC30" s="121"/>
      <c r="FD30" s="121"/>
      <c r="FE30" s="121"/>
      <c r="FF30" s="121"/>
      <c r="FG30" s="121"/>
      <c r="FH30" s="121"/>
      <c r="FI30" s="121"/>
      <c r="FJ30" s="121"/>
      <c r="FK30" s="121"/>
      <c r="FL30" s="121"/>
      <c r="FM30" s="121"/>
      <c r="FN30" s="121"/>
      <c r="FO30" s="121"/>
      <c r="FP30" s="121"/>
      <c r="FQ30" s="121"/>
      <c r="FR30" s="121"/>
      <c r="FS30" s="121"/>
      <c r="FT30" s="121"/>
      <c r="FU30" s="121"/>
      <c r="FV30" s="121"/>
      <c r="FW30" s="121"/>
      <c r="FX30" s="121"/>
      <c r="FY30" s="121"/>
      <c r="FZ30" s="121"/>
      <c r="GA30" s="121"/>
      <c r="GB30" s="121"/>
      <c r="GC30" s="121"/>
      <c r="GD30" s="121"/>
      <c r="GE30" s="121"/>
      <c r="GF30" s="121"/>
      <c r="GG30" s="121"/>
      <c r="GH30" s="121"/>
    </row>
    <row r="31" spans="1:190">
      <c r="A31" s="475"/>
      <c r="B31" s="475"/>
      <c r="C31" s="475"/>
      <c r="D31" s="475"/>
      <c r="E31" s="475"/>
      <c r="F31" s="475"/>
      <c r="G31" s="475"/>
      <c r="H31" s="475"/>
      <c r="I31" s="475"/>
      <c r="J31" s="475"/>
      <c r="K31" s="475"/>
      <c r="L31" s="475"/>
      <c r="M31" s="475"/>
      <c r="N31" s="475"/>
      <c r="O31" s="475"/>
      <c r="P31" s="475"/>
      <c r="Q31" s="475"/>
      <c r="R31" s="475"/>
      <c r="S31" s="475"/>
      <c r="T31" s="475"/>
      <c r="U31" s="475"/>
      <c r="V31" s="475"/>
      <c r="W31" s="475"/>
      <c r="X31" s="475"/>
      <c r="Y31" s="475"/>
      <c r="Z31" s="475"/>
      <c r="AA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121"/>
      <c r="BB31" s="121"/>
      <c r="BC31" s="121"/>
      <c r="BD31" s="121"/>
      <c r="BE31" s="121"/>
      <c r="BF31" s="121"/>
      <c r="BG31" s="121"/>
      <c r="BH31" s="121"/>
      <c r="BI31" s="121"/>
      <c r="BJ31" s="121"/>
      <c r="BK31" s="121"/>
      <c r="BL31" s="121"/>
      <c r="BM31" s="121"/>
      <c r="BN31" s="121"/>
      <c r="BO31" s="121"/>
      <c r="BP31" s="121"/>
      <c r="BQ31" s="121"/>
      <c r="BR31" s="121"/>
      <c r="BS31" s="121"/>
      <c r="BT31" s="121"/>
      <c r="BU31" s="121"/>
      <c r="BV31" s="121"/>
      <c r="BW31" s="121"/>
      <c r="BX31" s="121"/>
      <c r="BY31" s="121"/>
      <c r="BZ31" s="121"/>
      <c r="CA31" s="121"/>
      <c r="CB31" s="121"/>
      <c r="CC31" s="121"/>
      <c r="CD31" s="121"/>
      <c r="CE31" s="121"/>
      <c r="CF31" s="121"/>
      <c r="CG31" s="121"/>
      <c r="CH31" s="121"/>
      <c r="CI31" s="121"/>
      <c r="CJ31" s="121"/>
      <c r="CK31" s="121"/>
      <c r="CL31" s="121"/>
      <c r="CM31" s="121"/>
      <c r="CN31" s="121"/>
      <c r="CO31" s="121"/>
      <c r="CP31" s="121"/>
      <c r="CQ31" s="121"/>
      <c r="CR31" s="121"/>
      <c r="CS31" s="121"/>
      <c r="CT31" s="121"/>
      <c r="CU31" s="121"/>
      <c r="CV31" s="121"/>
      <c r="CW31" s="121"/>
      <c r="CX31" s="121"/>
      <c r="CY31" s="121"/>
      <c r="CZ31" s="121"/>
      <c r="DA31" s="121"/>
      <c r="DB31" s="121"/>
      <c r="DC31" s="121"/>
      <c r="DD31" s="121"/>
      <c r="DE31" s="121"/>
      <c r="DF31" s="121"/>
      <c r="DG31" s="121"/>
      <c r="DH31" s="121"/>
      <c r="DI31" s="121"/>
      <c r="DJ31" s="121"/>
      <c r="DK31" s="121"/>
      <c r="DL31" s="121"/>
      <c r="DM31" s="121"/>
      <c r="DN31" s="121"/>
      <c r="DO31" s="121"/>
      <c r="DP31" s="121"/>
      <c r="DQ31" s="121"/>
      <c r="DR31" s="121"/>
      <c r="DS31" s="121"/>
      <c r="DT31" s="121"/>
      <c r="DU31" s="121"/>
      <c r="DV31" s="121"/>
      <c r="DW31" s="121"/>
      <c r="DX31" s="121"/>
      <c r="DY31" s="121"/>
      <c r="DZ31" s="121"/>
      <c r="EA31" s="121"/>
      <c r="EB31" s="121"/>
      <c r="EC31" s="121"/>
      <c r="ED31" s="121"/>
      <c r="EE31" s="121"/>
      <c r="EF31" s="121"/>
      <c r="EG31" s="121"/>
      <c r="EH31" s="121"/>
      <c r="EI31" s="121"/>
      <c r="EJ31" s="121"/>
      <c r="EK31" s="121"/>
      <c r="EL31" s="121"/>
      <c r="EM31" s="121"/>
      <c r="EN31" s="121"/>
      <c r="EO31" s="121"/>
      <c r="EP31" s="121"/>
      <c r="EQ31" s="121"/>
      <c r="ER31" s="121"/>
      <c r="ES31" s="121"/>
      <c r="ET31" s="121"/>
      <c r="EU31" s="121"/>
      <c r="EV31" s="121"/>
      <c r="EW31" s="121"/>
      <c r="EX31" s="121"/>
      <c r="EY31" s="121"/>
      <c r="EZ31" s="121"/>
      <c r="FA31" s="121"/>
      <c r="FB31" s="121"/>
      <c r="FC31" s="121"/>
      <c r="FD31" s="121"/>
      <c r="FE31" s="121"/>
      <c r="FF31" s="121"/>
      <c r="FG31" s="121"/>
      <c r="FH31" s="121"/>
      <c r="FI31" s="121"/>
      <c r="FJ31" s="121"/>
      <c r="FK31" s="121"/>
      <c r="FL31" s="121"/>
      <c r="FM31" s="121"/>
      <c r="FN31" s="121"/>
      <c r="FO31" s="121"/>
      <c r="FP31" s="121"/>
      <c r="FQ31" s="121"/>
      <c r="FR31" s="121"/>
      <c r="FS31" s="121"/>
      <c r="FT31" s="121"/>
      <c r="FU31" s="121"/>
      <c r="FV31" s="121"/>
      <c r="FW31" s="121"/>
      <c r="FX31" s="121"/>
      <c r="FY31" s="121"/>
      <c r="FZ31" s="121"/>
      <c r="GA31" s="121"/>
      <c r="GB31" s="121"/>
      <c r="GC31" s="121"/>
      <c r="GD31" s="121"/>
      <c r="GE31" s="121"/>
      <c r="GF31" s="121"/>
      <c r="GG31" s="121"/>
      <c r="GH31" s="121"/>
    </row>
    <row r="32" spans="1:190">
      <c r="A32" s="475"/>
      <c r="B32" s="475"/>
      <c r="C32" s="475"/>
      <c r="D32" s="475"/>
      <c r="E32" s="475"/>
      <c r="F32" s="475"/>
      <c r="G32" s="475"/>
      <c r="H32" s="475"/>
      <c r="I32" s="475"/>
      <c r="J32" s="475"/>
      <c r="K32" s="475"/>
      <c r="L32" s="475"/>
      <c r="M32" s="475"/>
      <c r="N32" s="475"/>
      <c r="O32" s="475"/>
      <c r="P32" s="475"/>
      <c r="Q32" s="475"/>
      <c r="R32" s="475"/>
      <c r="S32" s="475"/>
      <c r="T32" s="475"/>
      <c r="U32" s="475"/>
      <c r="V32" s="475"/>
      <c r="W32" s="475"/>
      <c r="X32" s="475"/>
      <c r="Y32" s="475"/>
      <c r="Z32" s="475"/>
      <c r="AA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121"/>
      <c r="BB32" s="121"/>
      <c r="BC32" s="121"/>
      <c r="BD32" s="121"/>
      <c r="BE32" s="121"/>
      <c r="BF32" s="121"/>
      <c r="BG32" s="121"/>
      <c r="BH32" s="121"/>
      <c r="BI32" s="121"/>
      <c r="BJ32" s="121"/>
      <c r="BK32" s="121"/>
      <c r="BL32" s="121"/>
      <c r="BM32" s="121"/>
      <c r="BN32" s="121"/>
      <c r="BO32" s="121"/>
      <c r="BP32" s="121"/>
      <c r="BQ32" s="121"/>
      <c r="BR32" s="121"/>
      <c r="BS32" s="121"/>
      <c r="BT32" s="121"/>
      <c r="BU32" s="121"/>
      <c r="BV32" s="121"/>
      <c r="BW32" s="121"/>
      <c r="BX32" s="121"/>
      <c r="BY32" s="121"/>
      <c r="BZ32" s="121"/>
      <c r="CA32" s="121"/>
      <c r="CB32" s="121"/>
      <c r="CC32" s="121"/>
      <c r="CD32" s="121"/>
      <c r="CE32" s="121"/>
      <c r="CF32" s="121"/>
      <c r="CG32" s="121"/>
      <c r="CH32" s="121"/>
      <c r="CI32" s="121"/>
      <c r="CJ32" s="121"/>
      <c r="CK32" s="121"/>
      <c r="CL32" s="121"/>
      <c r="CM32" s="121"/>
      <c r="CN32" s="121"/>
      <c r="CO32" s="121"/>
      <c r="CP32" s="121"/>
      <c r="CQ32" s="121"/>
      <c r="CR32" s="121"/>
      <c r="CS32" s="121"/>
      <c r="CT32" s="121"/>
      <c r="CU32" s="121"/>
      <c r="CV32" s="121"/>
      <c r="CW32" s="121"/>
      <c r="CX32" s="121"/>
      <c r="CY32" s="121"/>
      <c r="CZ32" s="121"/>
      <c r="DA32" s="121"/>
      <c r="DB32" s="121"/>
      <c r="DC32" s="121"/>
      <c r="DD32" s="121"/>
      <c r="DE32" s="121"/>
      <c r="DF32" s="121"/>
      <c r="DG32" s="121"/>
      <c r="DH32" s="121"/>
      <c r="DI32" s="121"/>
      <c r="DJ32" s="121"/>
      <c r="DK32" s="121"/>
      <c r="DL32" s="121"/>
      <c r="DM32" s="121"/>
      <c r="DN32" s="121"/>
      <c r="DO32" s="121"/>
      <c r="DP32" s="121"/>
      <c r="DQ32" s="121"/>
      <c r="DR32" s="121"/>
      <c r="DS32" s="121"/>
      <c r="DT32" s="121"/>
      <c r="DU32" s="121"/>
      <c r="DV32" s="121"/>
      <c r="DW32" s="121"/>
      <c r="DX32" s="121"/>
      <c r="DY32" s="121"/>
      <c r="DZ32" s="121"/>
      <c r="EA32" s="121"/>
      <c r="EB32" s="121"/>
      <c r="EC32" s="121"/>
      <c r="ED32" s="121"/>
      <c r="EE32" s="121"/>
      <c r="EF32" s="121"/>
      <c r="EG32" s="121"/>
      <c r="EH32" s="121"/>
      <c r="EI32" s="121"/>
      <c r="EJ32" s="121"/>
      <c r="EK32" s="121"/>
      <c r="EL32" s="121"/>
      <c r="EM32" s="121"/>
      <c r="EN32" s="121"/>
      <c r="EO32" s="121"/>
      <c r="EP32" s="121"/>
      <c r="EQ32" s="121"/>
      <c r="ER32" s="121"/>
      <c r="ES32" s="121"/>
      <c r="ET32" s="121"/>
      <c r="EU32" s="121"/>
      <c r="EV32" s="121"/>
      <c r="EW32" s="121"/>
      <c r="EX32" s="121"/>
      <c r="EY32" s="121"/>
      <c r="EZ32" s="121"/>
      <c r="FA32" s="121"/>
      <c r="FB32" s="121"/>
      <c r="FC32" s="121"/>
      <c r="FD32" s="121"/>
      <c r="FE32" s="121"/>
      <c r="FF32" s="121"/>
      <c r="FG32" s="121"/>
      <c r="FH32" s="121"/>
      <c r="FI32" s="121"/>
      <c r="FJ32" s="121"/>
      <c r="FK32" s="121"/>
      <c r="FL32" s="121"/>
      <c r="FM32" s="121"/>
      <c r="FN32" s="121"/>
      <c r="FO32" s="121"/>
      <c r="FP32" s="121"/>
      <c r="FQ32" s="121"/>
      <c r="FR32" s="121"/>
      <c r="FS32" s="121"/>
      <c r="FT32" s="121"/>
      <c r="FU32" s="121"/>
      <c r="FV32" s="121"/>
      <c r="FW32" s="121"/>
      <c r="FX32" s="121"/>
      <c r="FY32" s="121"/>
      <c r="FZ32" s="121"/>
      <c r="GA32" s="121"/>
      <c r="GB32" s="121"/>
      <c r="GC32" s="121"/>
      <c r="GD32" s="121"/>
      <c r="GE32" s="121"/>
      <c r="GF32" s="121"/>
      <c r="GG32" s="121"/>
      <c r="GH32" s="121"/>
    </row>
    <row r="33" spans="1:190">
      <c r="A33" s="475"/>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121"/>
      <c r="BB33" s="121"/>
      <c r="BC33" s="121"/>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1"/>
      <c r="CA33" s="121"/>
      <c r="CB33" s="121"/>
      <c r="CC33" s="121"/>
      <c r="CD33" s="121"/>
      <c r="CE33" s="121"/>
      <c r="CF33" s="121"/>
      <c r="CG33" s="121"/>
      <c r="CH33" s="121"/>
      <c r="CI33" s="121"/>
      <c r="CJ33" s="121"/>
      <c r="CK33" s="121"/>
      <c r="CL33" s="121"/>
      <c r="CM33" s="121"/>
      <c r="CN33" s="121"/>
      <c r="CO33" s="121"/>
      <c r="CP33" s="121"/>
      <c r="CQ33" s="121"/>
      <c r="CR33" s="121"/>
      <c r="CS33" s="121"/>
      <c r="CT33" s="121"/>
      <c r="CU33" s="121"/>
      <c r="CV33" s="121"/>
      <c r="CW33" s="121"/>
      <c r="CX33" s="121"/>
      <c r="CY33" s="121"/>
      <c r="CZ33" s="121"/>
      <c r="DA33" s="121"/>
      <c r="DB33" s="121"/>
      <c r="DC33" s="121"/>
      <c r="DD33" s="121"/>
      <c r="DE33" s="121"/>
      <c r="DF33" s="121"/>
      <c r="DG33" s="121"/>
      <c r="DH33" s="121"/>
      <c r="DI33" s="121"/>
      <c r="DJ33" s="121"/>
      <c r="DK33" s="121"/>
      <c r="DL33" s="121"/>
      <c r="DM33" s="121"/>
      <c r="DN33" s="121"/>
      <c r="DO33" s="121"/>
      <c r="DP33" s="121"/>
      <c r="DQ33" s="121"/>
      <c r="DR33" s="121"/>
      <c r="DS33" s="121"/>
      <c r="DT33" s="121"/>
      <c r="DU33" s="121"/>
      <c r="DV33" s="121"/>
      <c r="DW33" s="121"/>
      <c r="DX33" s="121"/>
      <c r="DY33" s="121"/>
      <c r="DZ33" s="121"/>
      <c r="EA33" s="121"/>
      <c r="EB33" s="121"/>
      <c r="EC33" s="121"/>
      <c r="ED33" s="121"/>
      <c r="EE33" s="121"/>
      <c r="EF33" s="121"/>
      <c r="EG33" s="121"/>
      <c r="EH33" s="121"/>
      <c r="EI33" s="121"/>
      <c r="EJ33" s="121"/>
      <c r="EK33" s="121"/>
      <c r="EL33" s="121"/>
      <c r="EM33" s="121"/>
      <c r="EN33" s="121"/>
      <c r="EO33" s="121"/>
      <c r="EP33" s="121"/>
      <c r="EQ33" s="121"/>
      <c r="ER33" s="121"/>
      <c r="ES33" s="121"/>
      <c r="ET33" s="121"/>
      <c r="EU33" s="121"/>
      <c r="EV33" s="121"/>
      <c r="EW33" s="121"/>
      <c r="EX33" s="121"/>
      <c r="EY33" s="121"/>
      <c r="EZ33" s="121"/>
      <c r="FA33" s="121"/>
      <c r="FB33" s="121"/>
      <c r="FC33" s="121"/>
      <c r="FD33" s="121"/>
      <c r="FE33" s="121"/>
      <c r="FF33" s="121"/>
      <c r="FG33" s="121"/>
      <c r="FH33" s="121"/>
      <c r="FI33" s="121"/>
      <c r="FJ33" s="121"/>
      <c r="FK33" s="121"/>
      <c r="FL33" s="121"/>
      <c r="FM33" s="121"/>
      <c r="FN33" s="121"/>
      <c r="FO33" s="121"/>
      <c r="FP33" s="121"/>
      <c r="FQ33" s="121"/>
      <c r="FR33" s="121"/>
      <c r="FS33" s="121"/>
      <c r="FT33" s="121"/>
      <c r="FU33" s="121"/>
      <c r="FV33" s="121"/>
      <c r="FW33" s="121"/>
      <c r="FX33" s="121"/>
      <c r="FY33" s="121"/>
      <c r="FZ33" s="121"/>
      <c r="GA33" s="121"/>
      <c r="GB33" s="121"/>
      <c r="GC33" s="121"/>
      <c r="GD33" s="121"/>
      <c r="GE33" s="121"/>
      <c r="GF33" s="121"/>
      <c r="GG33" s="121"/>
      <c r="GH33" s="121"/>
    </row>
    <row r="34" spans="1:190">
      <c r="A34" s="475"/>
      <c r="B34" s="475"/>
      <c r="C34" s="475"/>
      <c r="D34" s="475"/>
      <c r="E34" s="475"/>
      <c r="F34" s="475"/>
      <c r="G34" s="475"/>
      <c r="H34" s="475"/>
      <c r="I34" s="475"/>
      <c r="J34" s="475"/>
      <c r="K34" s="475"/>
      <c r="L34" s="475"/>
      <c r="M34" s="475"/>
      <c r="N34" s="475"/>
      <c r="O34" s="475"/>
      <c r="P34" s="475"/>
      <c r="Q34" s="475"/>
      <c r="R34" s="475"/>
      <c r="S34" s="475"/>
      <c r="T34" s="475"/>
      <c r="U34" s="475"/>
      <c r="V34" s="475"/>
      <c r="W34" s="475"/>
      <c r="X34" s="475"/>
      <c r="Y34" s="475"/>
      <c r="Z34" s="47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1"/>
      <c r="CI34" s="121"/>
      <c r="CJ34" s="121"/>
      <c r="CK34" s="121"/>
      <c r="CL34" s="121"/>
      <c r="CM34" s="121"/>
      <c r="CN34" s="121"/>
      <c r="CO34" s="121"/>
      <c r="CP34" s="121"/>
      <c r="CQ34" s="121"/>
      <c r="CR34" s="121"/>
      <c r="CS34" s="121"/>
      <c r="CT34" s="121"/>
      <c r="CU34" s="121"/>
      <c r="CV34" s="121"/>
      <c r="CW34" s="121"/>
      <c r="CX34" s="121"/>
      <c r="CY34" s="121"/>
      <c r="CZ34" s="121"/>
      <c r="DA34" s="121"/>
      <c r="DB34" s="121"/>
      <c r="DC34" s="121"/>
      <c r="DD34" s="121"/>
      <c r="DE34" s="121"/>
      <c r="DF34" s="121"/>
      <c r="DG34" s="121"/>
      <c r="DH34" s="121"/>
      <c r="DI34" s="121"/>
      <c r="DJ34" s="121"/>
      <c r="DK34" s="121"/>
      <c r="DL34" s="121"/>
      <c r="DM34" s="121"/>
      <c r="DN34" s="121"/>
      <c r="DO34" s="121"/>
      <c r="DP34" s="121"/>
      <c r="DQ34" s="121"/>
      <c r="DR34" s="121"/>
      <c r="DS34" s="121"/>
      <c r="DT34" s="121"/>
      <c r="DU34" s="121"/>
      <c r="DV34" s="121"/>
      <c r="DW34" s="121"/>
      <c r="DX34" s="121"/>
      <c r="DY34" s="121"/>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21"/>
      <c r="FG34" s="121"/>
      <c r="FH34" s="121"/>
      <c r="FI34" s="121"/>
      <c r="FJ34" s="121"/>
      <c r="FK34" s="121"/>
      <c r="FL34" s="121"/>
      <c r="FM34" s="121"/>
      <c r="FN34" s="121"/>
      <c r="FO34" s="121"/>
      <c r="FP34" s="121"/>
      <c r="FQ34" s="121"/>
      <c r="FR34" s="121"/>
      <c r="FS34" s="121"/>
      <c r="FT34" s="121"/>
      <c r="FU34" s="121"/>
      <c r="FV34" s="121"/>
      <c r="FW34" s="121"/>
      <c r="FX34" s="121"/>
      <c r="FY34" s="121"/>
      <c r="FZ34" s="121"/>
      <c r="GA34" s="121"/>
      <c r="GB34" s="121"/>
      <c r="GC34" s="121"/>
      <c r="GD34" s="121"/>
      <c r="GE34" s="121"/>
      <c r="GF34" s="121"/>
      <c r="GG34" s="121"/>
      <c r="GH34" s="121"/>
    </row>
    <row r="35" spans="1:190">
      <c r="A35" s="475"/>
      <c r="B35" s="475"/>
      <c r="C35" s="475"/>
      <c r="D35" s="475"/>
      <c r="E35" s="475"/>
      <c r="F35" s="475"/>
      <c r="G35" s="475"/>
      <c r="H35" s="475"/>
      <c r="I35" s="475"/>
      <c r="J35" s="475"/>
      <c r="K35" s="475"/>
      <c r="L35" s="475"/>
      <c r="M35" s="475"/>
      <c r="N35" s="475"/>
      <c r="O35" s="475"/>
      <c r="P35" s="475"/>
      <c r="Q35" s="475"/>
      <c r="R35" s="475"/>
      <c r="S35" s="475"/>
      <c r="T35" s="475"/>
      <c r="U35" s="475"/>
      <c r="V35" s="475"/>
      <c r="W35" s="475"/>
      <c r="X35" s="475"/>
      <c r="Y35" s="475"/>
      <c r="Z35" s="47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121"/>
      <c r="CT35" s="121"/>
      <c r="CU35" s="121"/>
      <c r="CV35" s="121"/>
      <c r="CW35" s="121"/>
      <c r="CX35" s="121"/>
      <c r="CY35" s="121"/>
      <c r="CZ35" s="121"/>
      <c r="DA35" s="121"/>
      <c r="DB35" s="121"/>
      <c r="DC35" s="121"/>
      <c r="DD35" s="121"/>
      <c r="DE35" s="121"/>
      <c r="DF35" s="121"/>
      <c r="DG35" s="121"/>
      <c r="DH35" s="121"/>
      <c r="DI35" s="121"/>
      <c r="DJ35" s="121"/>
      <c r="DK35" s="121"/>
      <c r="DL35" s="121"/>
      <c r="DM35" s="121"/>
      <c r="DN35" s="121"/>
      <c r="DO35" s="121"/>
      <c r="DP35" s="121"/>
      <c r="DQ35" s="121"/>
      <c r="DR35" s="121"/>
      <c r="DS35" s="121"/>
      <c r="DT35" s="121"/>
      <c r="DU35" s="121"/>
      <c r="DV35" s="121"/>
      <c r="DW35" s="121"/>
      <c r="DX35" s="121"/>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21"/>
      <c r="FG35" s="121"/>
      <c r="FH35" s="121"/>
      <c r="FI35" s="121"/>
      <c r="FJ35" s="121"/>
      <c r="FK35" s="121"/>
      <c r="FL35" s="121"/>
      <c r="FM35" s="121"/>
      <c r="FN35" s="121"/>
      <c r="FO35" s="121"/>
      <c r="FP35" s="121"/>
      <c r="FQ35" s="121"/>
      <c r="FR35" s="121"/>
      <c r="FS35" s="121"/>
      <c r="FT35" s="121"/>
      <c r="FU35" s="121"/>
      <c r="FV35" s="121"/>
      <c r="FW35" s="121"/>
      <c r="FX35" s="121"/>
      <c r="FY35" s="121"/>
      <c r="FZ35" s="121"/>
      <c r="GA35" s="121"/>
      <c r="GB35" s="121"/>
      <c r="GC35" s="121"/>
      <c r="GD35" s="121"/>
      <c r="GE35" s="121"/>
      <c r="GF35" s="121"/>
      <c r="GG35" s="121"/>
      <c r="GH35" s="121"/>
    </row>
    <row r="36" spans="1:190">
      <c r="A36" s="475"/>
      <c r="B36" s="475"/>
      <c r="C36" s="475"/>
      <c r="D36" s="475"/>
      <c r="E36" s="475"/>
      <c r="F36" s="475"/>
      <c r="G36" s="475"/>
      <c r="H36" s="475"/>
      <c r="I36" s="475"/>
      <c r="J36" s="475"/>
      <c r="K36" s="475"/>
      <c r="L36" s="475"/>
      <c r="M36" s="475"/>
      <c r="N36" s="475"/>
      <c r="O36" s="475"/>
      <c r="P36" s="475"/>
      <c r="Q36" s="475"/>
      <c r="R36" s="475"/>
      <c r="S36" s="475"/>
      <c r="T36" s="475"/>
      <c r="U36" s="475"/>
      <c r="V36" s="475"/>
      <c r="W36" s="475"/>
      <c r="X36" s="475"/>
      <c r="Y36" s="475"/>
      <c r="Z36" s="475"/>
      <c r="AA36" s="325"/>
      <c r="AB36" s="325"/>
      <c r="AC36" s="325"/>
      <c r="AD36" s="325"/>
      <c r="AE36" s="325"/>
      <c r="AF36" s="325"/>
      <c r="AG36" s="325"/>
      <c r="AH36" s="325"/>
      <c r="AI36" s="325"/>
      <c r="AJ36" s="325"/>
      <c r="AK36" s="325"/>
      <c r="AL36" s="325"/>
      <c r="AM36" s="325"/>
      <c r="AN36" s="325"/>
      <c r="AO36" s="325"/>
      <c r="AP36" s="325"/>
      <c r="AQ36" s="325"/>
      <c r="AR36" s="325"/>
      <c r="AS36" s="325"/>
      <c r="AT36" s="325"/>
      <c r="AU36" s="325"/>
      <c r="AV36" s="325"/>
      <c r="AW36" s="325"/>
      <c r="AX36" s="325"/>
      <c r="AY36" s="325"/>
      <c r="AZ36" s="325"/>
      <c r="BA36" s="121"/>
      <c r="BB36" s="121"/>
      <c r="BC36" s="121"/>
      <c r="BD36" s="121"/>
      <c r="BE36" s="121"/>
      <c r="BF36" s="121"/>
      <c r="BG36" s="121"/>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c r="CN36" s="121"/>
      <c r="CO36" s="121"/>
      <c r="CP36" s="121"/>
      <c r="CQ36" s="121"/>
      <c r="CR36" s="121"/>
      <c r="CS36" s="121"/>
      <c r="CT36" s="121"/>
      <c r="CU36" s="121"/>
      <c r="CV36" s="121"/>
      <c r="CW36" s="121"/>
      <c r="CX36" s="121"/>
      <c r="CY36" s="121"/>
      <c r="CZ36" s="121"/>
      <c r="DA36" s="121"/>
      <c r="DB36" s="121"/>
      <c r="DC36" s="121"/>
      <c r="DD36" s="121"/>
      <c r="DE36" s="121"/>
      <c r="DF36" s="121"/>
      <c r="DG36" s="121"/>
      <c r="DH36" s="121"/>
      <c r="DI36" s="121"/>
      <c r="DJ36" s="121"/>
      <c r="DK36" s="121"/>
      <c r="DL36" s="121"/>
      <c r="DM36" s="121"/>
      <c r="DN36" s="121"/>
      <c r="DO36" s="121"/>
      <c r="DP36" s="121"/>
      <c r="DQ36" s="121"/>
      <c r="DR36" s="121"/>
      <c r="DS36" s="121"/>
      <c r="DT36" s="121"/>
      <c r="DU36" s="121"/>
      <c r="DV36" s="121"/>
      <c r="DW36" s="121"/>
      <c r="DX36" s="121"/>
      <c r="DY36" s="121"/>
      <c r="DZ36" s="121"/>
      <c r="EA36" s="121"/>
      <c r="EB36" s="121"/>
      <c r="EC36" s="121"/>
      <c r="ED36" s="121"/>
      <c r="EE36" s="121"/>
      <c r="EF36" s="121"/>
      <c r="EG36" s="121"/>
      <c r="EH36" s="121"/>
      <c r="EI36" s="121"/>
      <c r="EJ36" s="121"/>
      <c r="EK36" s="121"/>
      <c r="EL36" s="121"/>
      <c r="EM36" s="121"/>
      <c r="EN36" s="121"/>
      <c r="EO36" s="121"/>
      <c r="EP36" s="121"/>
      <c r="EQ36" s="121"/>
      <c r="ER36" s="121"/>
      <c r="ES36" s="121"/>
      <c r="ET36" s="121"/>
      <c r="EU36" s="121"/>
      <c r="EV36" s="121"/>
      <c r="EW36" s="121"/>
      <c r="EX36" s="121"/>
      <c r="EY36" s="121"/>
      <c r="EZ36" s="121"/>
      <c r="FA36" s="121"/>
      <c r="FB36" s="121"/>
      <c r="FC36" s="121"/>
      <c r="FD36" s="121"/>
      <c r="FE36" s="121"/>
      <c r="FF36" s="121"/>
      <c r="FG36" s="121"/>
      <c r="FH36" s="121"/>
      <c r="FI36" s="121"/>
      <c r="FJ36" s="121"/>
      <c r="FK36" s="121"/>
      <c r="FL36" s="121"/>
      <c r="FM36" s="121"/>
      <c r="FN36" s="121"/>
      <c r="FO36" s="121"/>
      <c r="FP36" s="121"/>
      <c r="FQ36" s="121"/>
      <c r="FR36" s="121"/>
      <c r="FS36" s="121"/>
      <c r="FT36" s="121"/>
      <c r="FU36" s="121"/>
      <c r="FV36" s="121"/>
      <c r="FW36" s="121"/>
      <c r="FX36" s="121"/>
      <c r="FY36" s="121"/>
      <c r="FZ36" s="121"/>
      <c r="GA36" s="121"/>
      <c r="GB36" s="121"/>
      <c r="GC36" s="121"/>
      <c r="GD36" s="121"/>
      <c r="GE36" s="121"/>
      <c r="GF36" s="121"/>
      <c r="GG36" s="121"/>
      <c r="GH36" s="121"/>
    </row>
    <row r="37" spans="1:190">
      <c r="A37" s="475"/>
      <c r="B37" s="475"/>
      <c r="C37" s="475"/>
      <c r="D37" s="475"/>
      <c r="E37" s="475"/>
      <c r="F37" s="475"/>
      <c r="G37" s="475"/>
      <c r="H37" s="475"/>
      <c r="I37" s="475"/>
      <c r="J37" s="475"/>
      <c r="K37" s="475"/>
      <c r="L37" s="475"/>
      <c r="M37" s="475"/>
      <c r="N37" s="475"/>
      <c r="O37" s="475"/>
      <c r="P37" s="475"/>
      <c r="Q37" s="475"/>
      <c r="R37" s="475"/>
      <c r="S37" s="325"/>
      <c r="T37" s="325"/>
      <c r="U37" s="325"/>
      <c r="V37" s="325"/>
      <c r="W37" s="325"/>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c r="CN37" s="121"/>
      <c r="CO37" s="121"/>
      <c r="CP37" s="121"/>
      <c r="CQ37" s="121"/>
      <c r="CR37" s="121"/>
      <c r="CS37" s="121"/>
      <c r="CT37" s="121"/>
      <c r="CU37" s="121"/>
      <c r="CV37" s="121"/>
      <c r="CW37" s="121"/>
      <c r="CX37" s="121"/>
      <c r="CY37" s="121"/>
      <c r="CZ37" s="121"/>
      <c r="DA37" s="121"/>
      <c r="DB37" s="121"/>
      <c r="DC37" s="121"/>
      <c r="DD37" s="121"/>
      <c r="DE37" s="121"/>
      <c r="DF37" s="121"/>
      <c r="DG37" s="121"/>
      <c r="DH37" s="121"/>
      <c r="DI37" s="121"/>
      <c r="DJ37" s="121"/>
      <c r="DK37" s="121"/>
      <c r="DL37" s="121"/>
      <c r="DM37" s="121"/>
      <c r="DN37" s="121"/>
      <c r="DO37" s="121"/>
      <c r="DP37" s="121"/>
      <c r="DQ37" s="121"/>
      <c r="DR37" s="121"/>
      <c r="DS37" s="121"/>
      <c r="DT37" s="121"/>
      <c r="DU37" s="121"/>
      <c r="DV37" s="121"/>
      <c r="DW37" s="121"/>
      <c r="DX37" s="121"/>
      <c r="DY37" s="121"/>
      <c r="DZ37" s="121"/>
      <c r="EA37" s="121"/>
      <c r="EB37" s="121"/>
      <c r="EC37" s="121"/>
      <c r="ED37" s="121"/>
      <c r="EE37" s="121"/>
      <c r="EF37" s="121"/>
      <c r="EG37" s="121"/>
      <c r="EH37" s="121"/>
      <c r="EI37" s="121"/>
      <c r="EJ37" s="121"/>
      <c r="EK37" s="121"/>
      <c r="EL37" s="121"/>
      <c r="EM37" s="121"/>
      <c r="EN37" s="121"/>
      <c r="EO37" s="121"/>
      <c r="EP37" s="121"/>
      <c r="EQ37" s="121"/>
      <c r="ER37" s="121"/>
      <c r="ES37" s="121"/>
      <c r="ET37" s="121"/>
      <c r="EU37" s="121"/>
      <c r="EV37" s="121"/>
      <c r="EW37" s="121"/>
      <c r="EX37" s="121"/>
      <c r="EY37" s="121"/>
      <c r="EZ37" s="121"/>
      <c r="FA37" s="121"/>
      <c r="FB37" s="121"/>
      <c r="FC37" s="121"/>
      <c r="FD37" s="121"/>
      <c r="FE37" s="121"/>
      <c r="FF37" s="121"/>
      <c r="FG37" s="121"/>
      <c r="FH37" s="121"/>
      <c r="FI37" s="121"/>
      <c r="FJ37" s="121"/>
      <c r="FK37" s="121"/>
      <c r="FL37" s="121"/>
      <c r="FM37" s="121"/>
      <c r="FN37" s="121"/>
      <c r="FO37" s="121"/>
      <c r="FP37" s="121"/>
      <c r="FQ37" s="121"/>
      <c r="FR37" s="121"/>
      <c r="FS37" s="121"/>
      <c r="FT37" s="121"/>
      <c r="FU37" s="121"/>
      <c r="FV37" s="121"/>
      <c r="FW37" s="121"/>
      <c r="FX37" s="121"/>
      <c r="FY37" s="121"/>
      <c r="FZ37" s="121"/>
      <c r="GA37" s="121"/>
      <c r="GB37" s="121"/>
      <c r="GC37" s="121"/>
      <c r="GD37" s="121"/>
      <c r="GE37" s="121"/>
      <c r="GF37" s="121"/>
      <c r="GG37" s="121"/>
      <c r="GH37" s="121"/>
    </row>
    <row r="38" spans="1:190">
      <c r="A38" s="475"/>
      <c r="B38" s="475"/>
      <c r="C38" s="475"/>
      <c r="D38" s="475"/>
      <c r="E38" s="475"/>
      <c r="F38" s="475"/>
      <c r="G38" s="475"/>
      <c r="H38" s="475"/>
      <c r="I38" s="475"/>
      <c r="J38" s="475"/>
      <c r="K38" s="475"/>
      <c r="L38" s="475"/>
      <c r="M38" s="475"/>
      <c r="N38" s="475"/>
      <c r="O38" s="475"/>
      <c r="P38" s="475"/>
      <c r="Q38" s="475"/>
      <c r="R38" s="475"/>
      <c r="S38" s="325"/>
      <c r="T38" s="325"/>
      <c r="U38" s="325"/>
      <c r="V38" s="325"/>
      <c r="W38" s="325"/>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1"/>
      <c r="CI38" s="121"/>
      <c r="CJ38" s="121"/>
      <c r="CK38" s="121"/>
      <c r="CL38" s="121"/>
      <c r="CM38" s="121"/>
      <c r="CN38" s="121"/>
      <c r="CO38" s="121"/>
      <c r="CP38" s="121"/>
      <c r="CQ38" s="121"/>
      <c r="CR38" s="121"/>
      <c r="CS38" s="121"/>
      <c r="CT38" s="121"/>
      <c r="CU38" s="121"/>
      <c r="CV38" s="121"/>
      <c r="CW38" s="121"/>
      <c r="CX38" s="121"/>
      <c r="CY38" s="121"/>
      <c r="CZ38" s="121"/>
      <c r="DA38" s="121"/>
      <c r="DB38" s="121"/>
      <c r="DC38" s="121"/>
      <c r="DD38" s="121"/>
      <c r="DE38" s="121"/>
      <c r="DF38" s="121"/>
      <c r="DG38" s="121"/>
      <c r="DH38" s="121"/>
      <c r="DI38" s="121"/>
      <c r="DJ38" s="121"/>
      <c r="DK38" s="121"/>
      <c r="DL38" s="121"/>
      <c r="DM38" s="121"/>
      <c r="DN38" s="121"/>
      <c r="DO38" s="121"/>
      <c r="DP38" s="121"/>
      <c r="DQ38" s="121"/>
      <c r="DR38" s="121"/>
      <c r="DS38" s="121"/>
      <c r="DT38" s="121"/>
      <c r="DU38" s="121"/>
      <c r="DV38" s="121"/>
      <c r="DW38" s="121"/>
      <c r="DX38" s="121"/>
      <c r="DY38" s="121"/>
      <c r="DZ38" s="121"/>
      <c r="EA38" s="121"/>
      <c r="EB38" s="121"/>
      <c r="EC38" s="121"/>
      <c r="ED38" s="121"/>
      <c r="EE38" s="121"/>
      <c r="EF38" s="121"/>
      <c r="EG38" s="121"/>
      <c r="EH38" s="121"/>
      <c r="EI38" s="121"/>
      <c r="EJ38" s="121"/>
      <c r="EK38" s="121"/>
      <c r="EL38" s="121"/>
      <c r="EM38" s="121"/>
      <c r="EN38" s="121"/>
      <c r="EO38" s="121"/>
      <c r="EP38" s="121"/>
      <c r="EQ38" s="121"/>
      <c r="ER38" s="121"/>
      <c r="ES38" s="121"/>
      <c r="ET38" s="121"/>
      <c r="EU38" s="121"/>
      <c r="EV38" s="121"/>
      <c r="EW38" s="121"/>
      <c r="EX38" s="121"/>
      <c r="EY38" s="121"/>
      <c r="EZ38" s="121"/>
      <c r="FA38" s="121"/>
      <c r="FB38" s="121"/>
      <c r="FC38" s="121"/>
      <c r="FD38" s="121"/>
      <c r="FE38" s="121"/>
      <c r="FF38" s="121"/>
      <c r="FG38" s="121"/>
      <c r="FH38" s="121"/>
      <c r="FI38" s="121"/>
      <c r="FJ38" s="121"/>
      <c r="FK38" s="121"/>
      <c r="FL38" s="121"/>
      <c r="FM38" s="121"/>
      <c r="FN38" s="121"/>
      <c r="FO38" s="121"/>
      <c r="FP38" s="121"/>
      <c r="FQ38" s="121"/>
      <c r="FR38" s="121"/>
      <c r="FS38" s="121"/>
      <c r="FT38" s="121"/>
      <c r="FU38" s="121"/>
      <c r="FV38" s="121"/>
      <c r="FW38" s="121"/>
      <c r="FX38" s="121"/>
      <c r="FY38" s="121"/>
      <c r="FZ38" s="121"/>
      <c r="GA38" s="121"/>
      <c r="GB38" s="121"/>
      <c r="GC38" s="121"/>
      <c r="GD38" s="121"/>
      <c r="GE38" s="121"/>
      <c r="GF38" s="121"/>
      <c r="GG38" s="121"/>
      <c r="GH38" s="121"/>
    </row>
    <row r="39" spans="1:190">
      <c r="A39" s="475"/>
      <c r="B39" s="475"/>
      <c r="C39" s="475"/>
      <c r="D39" s="475"/>
      <c r="E39" s="475"/>
      <c r="F39" s="475"/>
      <c r="G39" s="475"/>
      <c r="H39" s="475"/>
      <c r="I39" s="475"/>
      <c r="J39" s="475"/>
      <c r="K39" s="475"/>
      <c r="L39" s="475"/>
      <c r="M39" s="475"/>
      <c r="N39" s="475"/>
      <c r="O39" s="475"/>
      <c r="P39" s="475"/>
      <c r="Q39" s="475"/>
      <c r="R39" s="475"/>
      <c r="S39" s="325"/>
      <c r="T39" s="325"/>
      <c r="U39" s="325"/>
      <c r="V39" s="325"/>
      <c r="W39" s="325"/>
      <c r="X39" s="325"/>
      <c r="Y39" s="325"/>
      <c r="Z39" s="325"/>
      <c r="AA39" s="325"/>
      <c r="AB39" s="325"/>
      <c r="AC39" s="325"/>
      <c r="AD39" s="325"/>
      <c r="AE39" s="325"/>
      <c r="AF39" s="325"/>
      <c r="AG39" s="325"/>
      <c r="AH39" s="325"/>
      <c r="AI39" s="325"/>
      <c r="AJ39" s="325"/>
      <c r="AK39" s="325"/>
      <c r="AL39" s="325"/>
      <c r="AM39" s="325"/>
      <c r="AN39" s="325"/>
      <c r="AO39" s="325"/>
      <c r="AP39" s="325"/>
      <c r="AQ39" s="325"/>
      <c r="AR39" s="325"/>
      <c r="AS39" s="325"/>
      <c r="AT39" s="325"/>
      <c r="AU39" s="325"/>
      <c r="AV39" s="325"/>
      <c r="AW39" s="325"/>
      <c r="AX39" s="325"/>
      <c r="AY39" s="325"/>
      <c r="AZ39" s="325"/>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1"/>
      <c r="CI39" s="121"/>
      <c r="CJ39" s="121"/>
      <c r="CK39" s="121"/>
      <c r="CL39" s="121"/>
      <c r="CM39" s="121"/>
      <c r="CN39" s="121"/>
      <c r="CO39" s="121"/>
      <c r="CP39" s="121"/>
      <c r="CQ39" s="121"/>
      <c r="CR39" s="121"/>
      <c r="CS39" s="121"/>
      <c r="CT39" s="121"/>
      <c r="CU39" s="121"/>
      <c r="CV39" s="121"/>
      <c r="CW39" s="121"/>
      <c r="CX39" s="121"/>
      <c r="CY39" s="121"/>
      <c r="CZ39" s="121"/>
      <c r="DA39" s="121"/>
      <c r="DB39" s="121"/>
      <c r="DC39" s="121"/>
      <c r="DD39" s="121"/>
      <c r="DE39" s="121"/>
      <c r="DF39" s="121"/>
      <c r="DG39" s="121"/>
      <c r="DH39" s="121"/>
      <c r="DI39" s="121"/>
      <c r="DJ39" s="121"/>
      <c r="DK39" s="121"/>
      <c r="DL39" s="121"/>
      <c r="DM39" s="121"/>
      <c r="DN39" s="121"/>
      <c r="DO39" s="121"/>
      <c r="DP39" s="121"/>
      <c r="DQ39" s="121"/>
      <c r="DR39" s="121"/>
      <c r="DS39" s="121"/>
      <c r="DT39" s="121"/>
      <c r="DU39" s="121"/>
      <c r="DV39" s="121"/>
      <c r="DW39" s="121"/>
      <c r="DX39" s="121"/>
      <c r="DY39" s="121"/>
      <c r="DZ39" s="121"/>
      <c r="EA39" s="121"/>
      <c r="EB39" s="121"/>
      <c r="EC39" s="121"/>
      <c r="ED39" s="121"/>
      <c r="EE39" s="121"/>
      <c r="EF39" s="121"/>
      <c r="EG39" s="121"/>
      <c r="EH39" s="121"/>
      <c r="EI39" s="121"/>
      <c r="EJ39" s="121"/>
      <c r="EK39" s="121"/>
      <c r="EL39" s="121"/>
      <c r="EM39" s="121"/>
      <c r="EN39" s="121"/>
      <c r="EO39" s="121"/>
      <c r="EP39" s="121"/>
      <c r="EQ39" s="121"/>
      <c r="ER39" s="121"/>
      <c r="ES39" s="121"/>
      <c r="ET39" s="121"/>
      <c r="EU39" s="121"/>
      <c r="EV39" s="121"/>
      <c r="EW39" s="121"/>
      <c r="EX39" s="121"/>
      <c r="EY39" s="121"/>
      <c r="EZ39" s="121"/>
      <c r="FA39" s="121"/>
      <c r="FB39" s="121"/>
      <c r="FC39" s="121"/>
      <c r="FD39" s="121"/>
      <c r="FE39" s="121"/>
      <c r="FF39" s="121"/>
      <c r="FG39" s="121"/>
      <c r="FH39" s="121"/>
      <c r="FI39" s="121"/>
      <c r="FJ39" s="121"/>
      <c r="FK39" s="121"/>
      <c r="FL39" s="121"/>
      <c r="FM39" s="121"/>
      <c r="FN39" s="121"/>
      <c r="FO39" s="121"/>
      <c r="FP39" s="121"/>
      <c r="FQ39" s="121"/>
      <c r="FR39" s="121"/>
      <c r="FS39" s="121"/>
      <c r="FT39" s="121"/>
      <c r="FU39" s="121"/>
      <c r="FV39" s="121"/>
      <c r="FW39" s="121"/>
      <c r="FX39" s="121"/>
      <c r="FY39" s="121"/>
      <c r="FZ39" s="121"/>
      <c r="GA39" s="121"/>
      <c r="GB39" s="121"/>
      <c r="GC39" s="121"/>
      <c r="GD39" s="121"/>
      <c r="GE39" s="121"/>
      <c r="GF39" s="121"/>
      <c r="GG39" s="121"/>
      <c r="GH39" s="121"/>
    </row>
    <row r="40" spans="1:190">
      <c r="A40" s="475"/>
      <c r="B40" s="475"/>
      <c r="C40" s="475"/>
      <c r="D40" s="475"/>
      <c r="E40" s="475"/>
      <c r="F40" s="475"/>
      <c r="G40" s="475"/>
      <c r="H40" s="475"/>
      <c r="I40" s="475"/>
      <c r="J40" s="475"/>
      <c r="K40" s="475"/>
      <c r="L40" s="475"/>
      <c r="M40" s="475"/>
      <c r="N40" s="475"/>
      <c r="O40" s="475"/>
      <c r="P40" s="475"/>
      <c r="Q40" s="475"/>
      <c r="R40" s="475"/>
      <c r="S40" s="325"/>
      <c r="T40" s="325"/>
      <c r="U40" s="325"/>
      <c r="V40" s="325"/>
      <c r="W40" s="325"/>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1"/>
      <c r="CI40" s="121"/>
      <c r="CJ40" s="121"/>
      <c r="CK40" s="121"/>
      <c r="CL40" s="121"/>
      <c r="CM40" s="121"/>
      <c r="CN40" s="121"/>
      <c r="CO40" s="121"/>
      <c r="CP40" s="121"/>
      <c r="CQ40" s="121"/>
      <c r="CR40" s="121"/>
      <c r="CS40" s="121"/>
      <c r="CT40" s="121"/>
      <c r="CU40" s="121"/>
      <c r="CV40" s="121"/>
      <c r="CW40" s="121"/>
      <c r="CX40" s="121"/>
      <c r="CY40" s="121"/>
      <c r="CZ40" s="121"/>
      <c r="DA40" s="121"/>
      <c r="DB40" s="121"/>
      <c r="DC40" s="121"/>
      <c r="DD40" s="121"/>
      <c r="DE40" s="121"/>
      <c r="DF40" s="121"/>
      <c r="DG40" s="121"/>
      <c r="DH40" s="121"/>
      <c r="DI40" s="121"/>
      <c r="DJ40" s="121"/>
      <c r="DK40" s="121"/>
      <c r="DL40" s="121"/>
      <c r="DM40" s="121"/>
      <c r="DN40" s="121"/>
      <c r="DO40" s="121"/>
      <c r="DP40" s="121"/>
      <c r="DQ40" s="121"/>
      <c r="DR40" s="121"/>
      <c r="DS40" s="121"/>
      <c r="DT40" s="121"/>
      <c r="DU40" s="121"/>
      <c r="DV40" s="121"/>
      <c r="DW40" s="121"/>
      <c r="DX40" s="121"/>
      <c r="DY40" s="121"/>
      <c r="DZ40" s="121"/>
      <c r="EA40" s="121"/>
      <c r="EB40" s="121"/>
      <c r="EC40" s="121"/>
      <c r="ED40" s="121"/>
      <c r="EE40" s="121"/>
      <c r="EF40" s="121"/>
      <c r="EG40" s="121"/>
      <c r="EH40" s="121"/>
      <c r="EI40" s="121"/>
      <c r="EJ40" s="121"/>
      <c r="EK40" s="121"/>
      <c r="EL40" s="121"/>
      <c r="EM40" s="121"/>
      <c r="EN40" s="121"/>
      <c r="EO40" s="121"/>
      <c r="EP40" s="121"/>
      <c r="EQ40" s="121"/>
      <c r="ER40" s="121"/>
      <c r="ES40" s="121"/>
      <c r="ET40" s="121"/>
      <c r="EU40" s="121"/>
      <c r="EV40" s="121"/>
      <c r="EW40" s="121"/>
      <c r="EX40" s="121"/>
      <c r="EY40" s="121"/>
      <c r="EZ40" s="121"/>
      <c r="FA40" s="121"/>
      <c r="FB40" s="121"/>
      <c r="FC40" s="121"/>
      <c r="FD40" s="121"/>
      <c r="FE40" s="121"/>
      <c r="FF40" s="121"/>
      <c r="FG40" s="121"/>
      <c r="FH40" s="121"/>
      <c r="FI40" s="121"/>
      <c r="FJ40" s="121"/>
      <c r="FK40" s="121"/>
      <c r="FL40" s="121"/>
      <c r="FM40" s="121"/>
      <c r="FN40" s="121"/>
      <c r="FO40" s="121"/>
      <c r="FP40" s="121"/>
      <c r="FQ40" s="121"/>
      <c r="FR40" s="121"/>
      <c r="FS40" s="121"/>
      <c r="FT40" s="121"/>
      <c r="FU40" s="121"/>
      <c r="FV40" s="121"/>
      <c r="FW40" s="121"/>
      <c r="FX40" s="121"/>
      <c r="FY40" s="121"/>
      <c r="FZ40" s="121"/>
      <c r="GA40" s="121"/>
      <c r="GB40" s="121"/>
      <c r="GC40" s="121"/>
      <c r="GD40" s="121"/>
      <c r="GE40" s="121"/>
      <c r="GF40" s="121"/>
      <c r="GG40" s="121"/>
      <c r="GH40" s="121"/>
    </row>
    <row r="41" spans="1:190">
      <c r="A41" s="325"/>
      <c r="B41" s="325"/>
      <c r="C41" s="325"/>
      <c r="D41" s="325"/>
      <c r="E41" s="325"/>
      <c r="F41" s="325"/>
      <c r="G41" s="325"/>
      <c r="H41" s="325"/>
      <c r="I41" s="325"/>
      <c r="J41" s="325"/>
      <c r="K41" s="325"/>
      <c r="L41" s="325"/>
      <c r="M41" s="325"/>
      <c r="N41" s="325"/>
      <c r="O41" s="325"/>
      <c r="P41" s="325"/>
      <c r="Q41" s="325"/>
      <c r="R41" s="325"/>
      <c r="S41" s="325"/>
      <c r="T41" s="325"/>
      <c r="U41" s="325"/>
      <c r="V41" s="325"/>
      <c r="W41" s="325"/>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121"/>
      <c r="DO41" s="121"/>
      <c r="DP41" s="121"/>
      <c r="DQ41" s="121"/>
      <c r="DR41" s="121"/>
      <c r="DS41" s="121"/>
      <c r="DT41" s="121"/>
      <c r="DU41" s="121"/>
      <c r="DV41" s="121"/>
      <c r="DW41" s="121"/>
      <c r="DX41" s="121"/>
      <c r="DY41" s="121"/>
      <c r="DZ41" s="121"/>
      <c r="EA41" s="121"/>
      <c r="EB41" s="121"/>
      <c r="EC41" s="121"/>
      <c r="ED41" s="121"/>
      <c r="EE41" s="121"/>
      <c r="EF41" s="121"/>
      <c r="EG41" s="121"/>
      <c r="EH41" s="121"/>
      <c r="EI41" s="121"/>
      <c r="EJ41" s="121"/>
      <c r="EK41" s="121"/>
      <c r="EL41" s="121"/>
      <c r="EM41" s="121"/>
      <c r="EN41" s="121"/>
      <c r="EO41" s="121"/>
      <c r="EP41" s="121"/>
      <c r="EQ41" s="121"/>
      <c r="ER41" s="121"/>
      <c r="ES41" s="121"/>
      <c r="ET41" s="121"/>
      <c r="EU41" s="121"/>
      <c r="EV41" s="121"/>
      <c r="EW41" s="121"/>
      <c r="EX41" s="121"/>
      <c r="EY41" s="121"/>
      <c r="EZ41" s="121"/>
      <c r="FA41" s="121"/>
      <c r="FB41" s="121"/>
      <c r="FC41" s="121"/>
      <c r="FD41" s="121"/>
      <c r="FE41" s="121"/>
      <c r="FF41" s="121"/>
      <c r="FG41" s="121"/>
      <c r="FH41" s="121"/>
      <c r="FI41" s="121"/>
      <c r="FJ41" s="121"/>
      <c r="FK41" s="121"/>
      <c r="FL41" s="121"/>
      <c r="FM41" s="121"/>
      <c r="FN41" s="121"/>
      <c r="FO41" s="121"/>
      <c r="FP41" s="121"/>
      <c r="FQ41" s="121"/>
      <c r="FR41" s="121"/>
      <c r="FS41" s="121"/>
      <c r="FT41" s="121"/>
      <c r="FU41" s="121"/>
      <c r="FV41" s="121"/>
      <c r="FW41" s="121"/>
      <c r="FX41" s="121"/>
      <c r="FY41" s="121"/>
      <c r="FZ41" s="121"/>
      <c r="GA41" s="121"/>
      <c r="GB41" s="121"/>
      <c r="GC41" s="121"/>
      <c r="GD41" s="121"/>
      <c r="GE41" s="121"/>
      <c r="GF41" s="121"/>
      <c r="GG41" s="121"/>
      <c r="GH41" s="121"/>
    </row>
    <row r="42" spans="1:190">
      <c r="A42" s="146"/>
      <c r="B42" s="146"/>
      <c r="C42" s="146"/>
      <c r="D42" s="146"/>
      <c r="E42" s="146"/>
      <c r="F42" s="146"/>
      <c r="G42" s="146"/>
      <c r="H42" s="146"/>
      <c r="I42" s="146"/>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121"/>
      <c r="DJ42" s="121"/>
      <c r="DK42" s="121"/>
      <c r="DL42" s="121"/>
      <c r="DM42" s="121"/>
      <c r="DN42" s="121"/>
      <c r="DO42" s="121"/>
      <c r="DP42" s="121"/>
      <c r="DQ42" s="121"/>
      <c r="DR42" s="121"/>
      <c r="DS42" s="121"/>
      <c r="DT42" s="121"/>
      <c r="DU42" s="121"/>
      <c r="DV42" s="121"/>
      <c r="DW42" s="121"/>
      <c r="DX42" s="121"/>
      <c r="DY42" s="121"/>
      <c r="DZ42" s="121"/>
      <c r="EA42" s="121"/>
      <c r="EB42" s="121"/>
      <c r="EC42" s="121"/>
      <c r="ED42" s="121"/>
      <c r="EE42" s="121"/>
      <c r="EF42" s="121"/>
      <c r="EG42" s="121"/>
      <c r="EH42" s="121"/>
      <c r="EI42" s="121"/>
      <c r="EJ42" s="121"/>
      <c r="EK42" s="121"/>
      <c r="EL42" s="121"/>
      <c r="EM42" s="121"/>
      <c r="EN42" s="121"/>
      <c r="EO42" s="121"/>
      <c r="EP42" s="121"/>
      <c r="EQ42" s="121"/>
      <c r="ER42" s="121"/>
      <c r="ES42" s="121"/>
      <c r="ET42" s="121"/>
      <c r="EU42" s="121"/>
      <c r="EV42" s="121"/>
      <c r="EW42" s="121"/>
      <c r="EX42" s="121"/>
      <c r="EY42" s="121"/>
      <c r="EZ42" s="121"/>
      <c r="FA42" s="121"/>
      <c r="FB42" s="121"/>
      <c r="FC42" s="121"/>
      <c r="FD42" s="121"/>
      <c r="FE42" s="121"/>
      <c r="FF42" s="121"/>
      <c r="FG42" s="121"/>
      <c r="FH42" s="121"/>
      <c r="FI42" s="121"/>
      <c r="FJ42" s="121"/>
      <c r="FK42" s="121"/>
      <c r="FL42" s="121"/>
      <c r="FM42" s="121"/>
      <c r="FN42" s="121"/>
      <c r="FO42" s="121"/>
      <c r="FP42" s="121"/>
      <c r="FQ42" s="121"/>
      <c r="FR42" s="121"/>
      <c r="FS42" s="121"/>
      <c r="FT42" s="121"/>
      <c r="FU42" s="121"/>
      <c r="FV42" s="121"/>
      <c r="FW42" s="121"/>
      <c r="FX42" s="121"/>
      <c r="FY42" s="121"/>
      <c r="FZ42" s="121"/>
      <c r="GA42" s="121"/>
      <c r="GB42" s="121"/>
      <c r="GC42" s="121"/>
      <c r="GD42" s="121"/>
      <c r="GE42" s="121"/>
      <c r="GF42" s="121"/>
      <c r="GG42" s="121"/>
      <c r="GH42" s="121"/>
    </row>
    <row r="43" spans="1:190">
      <c r="A43" s="146"/>
      <c r="B43" s="146"/>
      <c r="C43" s="146"/>
      <c r="D43" s="146"/>
      <c r="E43" s="146"/>
      <c r="F43" s="146"/>
      <c r="G43" s="146"/>
      <c r="H43" s="146"/>
      <c r="I43" s="146"/>
      <c r="J43" s="146"/>
      <c r="K43" s="146"/>
      <c r="L43" s="146"/>
      <c r="M43" s="146"/>
      <c r="N43" s="146"/>
      <c r="O43" s="146"/>
      <c r="P43" s="146"/>
      <c r="Q43" s="146"/>
      <c r="R43" s="146"/>
      <c r="S43" s="146"/>
      <c r="T43" s="146"/>
      <c r="U43" s="146"/>
      <c r="V43" s="146"/>
      <c r="W43" s="146"/>
      <c r="X43" s="146"/>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121"/>
      <c r="DJ43" s="121"/>
      <c r="DK43" s="121"/>
      <c r="DL43" s="121"/>
      <c r="DM43" s="121"/>
      <c r="DN43" s="121"/>
      <c r="DO43" s="121"/>
      <c r="DP43" s="121"/>
      <c r="DQ43" s="121"/>
      <c r="DR43" s="121"/>
      <c r="DS43" s="121"/>
      <c r="DT43" s="121"/>
      <c r="DU43" s="121"/>
      <c r="DV43" s="121"/>
      <c r="DW43" s="121"/>
      <c r="DX43" s="121"/>
      <c r="DY43" s="121"/>
      <c r="DZ43" s="121"/>
      <c r="EA43" s="121"/>
      <c r="EB43" s="121"/>
      <c r="EC43" s="121"/>
      <c r="ED43" s="121"/>
      <c r="EE43" s="121"/>
      <c r="EF43" s="121"/>
      <c r="EG43" s="121"/>
      <c r="EH43" s="121"/>
      <c r="EI43" s="121"/>
      <c r="EJ43" s="121"/>
      <c r="EK43" s="121"/>
      <c r="EL43" s="121"/>
      <c r="EM43" s="121"/>
      <c r="EN43" s="121"/>
      <c r="EO43" s="121"/>
      <c r="EP43" s="121"/>
      <c r="EQ43" s="121"/>
      <c r="ER43" s="121"/>
      <c r="ES43" s="121"/>
      <c r="ET43" s="121"/>
      <c r="EU43" s="121"/>
      <c r="EV43" s="121"/>
      <c r="EW43" s="121"/>
      <c r="EX43" s="121"/>
      <c r="EY43" s="121"/>
      <c r="EZ43" s="121"/>
      <c r="FA43" s="121"/>
      <c r="FB43" s="121"/>
      <c r="FC43" s="121"/>
      <c r="FD43" s="121"/>
      <c r="FE43" s="121"/>
      <c r="FF43" s="121"/>
      <c r="FG43" s="121"/>
      <c r="FH43" s="121"/>
      <c r="FI43" s="121"/>
      <c r="FJ43" s="121"/>
      <c r="FK43" s="121"/>
      <c r="FL43" s="121"/>
      <c r="FM43" s="121"/>
      <c r="FN43" s="121"/>
      <c r="FO43" s="121"/>
      <c r="FP43" s="121"/>
      <c r="FQ43" s="121"/>
      <c r="FR43" s="121"/>
      <c r="FS43" s="121"/>
      <c r="FT43" s="121"/>
      <c r="FU43" s="121"/>
      <c r="FV43" s="121"/>
      <c r="FW43" s="121"/>
      <c r="FX43" s="121"/>
      <c r="FY43" s="121"/>
      <c r="FZ43" s="121"/>
      <c r="GA43" s="121"/>
      <c r="GB43" s="121"/>
      <c r="GC43" s="121"/>
      <c r="GD43" s="121"/>
      <c r="GE43" s="121"/>
      <c r="GF43" s="121"/>
      <c r="GG43" s="121"/>
      <c r="GH43" s="121"/>
    </row>
    <row r="44" spans="1:190">
      <c r="A44" s="146"/>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121"/>
      <c r="DO44" s="121"/>
      <c r="DP44" s="121"/>
      <c r="DQ44" s="121"/>
      <c r="DR44" s="121"/>
      <c r="DS44" s="121"/>
      <c r="DT44" s="121"/>
      <c r="DU44" s="121"/>
      <c r="DV44" s="121"/>
      <c r="DW44" s="121"/>
      <c r="DX44" s="121"/>
      <c r="DY44" s="121"/>
      <c r="DZ44" s="121"/>
      <c r="EA44" s="121"/>
      <c r="EB44" s="121"/>
      <c r="EC44" s="121"/>
      <c r="ED44" s="121"/>
      <c r="EE44" s="121"/>
      <c r="EF44" s="121"/>
      <c r="EG44" s="121"/>
      <c r="EH44" s="121"/>
      <c r="EI44" s="121"/>
      <c r="EJ44" s="121"/>
      <c r="EK44" s="121"/>
      <c r="EL44" s="121"/>
      <c r="EM44" s="121"/>
      <c r="EN44" s="121"/>
      <c r="EO44" s="121"/>
      <c r="EP44" s="121"/>
      <c r="EQ44" s="121"/>
      <c r="ER44" s="121"/>
      <c r="ES44" s="121"/>
      <c r="ET44" s="121"/>
      <c r="EU44" s="121"/>
      <c r="EV44" s="121"/>
      <c r="EW44" s="121"/>
      <c r="EX44" s="121"/>
      <c r="EY44" s="121"/>
      <c r="EZ44" s="121"/>
      <c r="FA44" s="121"/>
      <c r="FB44" s="121"/>
      <c r="FC44" s="121"/>
      <c r="FD44" s="121"/>
      <c r="FE44" s="121"/>
      <c r="FF44" s="121"/>
      <c r="FG44" s="121"/>
      <c r="FH44" s="121"/>
      <c r="FI44" s="121"/>
      <c r="FJ44" s="121"/>
      <c r="FK44" s="121"/>
      <c r="FL44" s="121"/>
      <c r="FM44" s="121"/>
      <c r="FN44" s="121"/>
      <c r="FO44" s="121"/>
      <c r="FP44" s="121"/>
      <c r="FQ44" s="121"/>
      <c r="FR44" s="121"/>
      <c r="FS44" s="121"/>
      <c r="FT44" s="121"/>
      <c r="FU44" s="121"/>
      <c r="FV44" s="121"/>
      <c r="FW44" s="121"/>
      <c r="FX44" s="121"/>
      <c r="FY44" s="121"/>
      <c r="FZ44" s="121"/>
      <c r="GA44" s="121"/>
      <c r="GB44" s="121"/>
      <c r="GC44" s="121"/>
      <c r="GD44" s="121"/>
      <c r="GE44" s="121"/>
      <c r="GF44" s="121"/>
      <c r="GG44" s="121"/>
      <c r="GH44" s="121"/>
    </row>
    <row r="45" spans="1:190">
      <c r="A45" s="146"/>
      <c r="B45" s="146"/>
      <c r="C45" s="146"/>
      <c r="D45" s="146"/>
      <c r="E45" s="146"/>
      <c r="F45" s="146"/>
      <c r="G45" s="146"/>
      <c r="H45" s="146"/>
      <c r="I45" s="146"/>
      <c r="J45" s="146"/>
      <c r="K45" s="146"/>
      <c r="L45" s="146"/>
      <c r="M45" s="146"/>
      <c r="N45" s="146"/>
      <c r="O45" s="146"/>
      <c r="P45" s="146"/>
      <c r="Q45" s="146"/>
      <c r="R45" s="146"/>
      <c r="S45" s="146"/>
      <c r="T45" s="146"/>
      <c r="U45" s="146"/>
      <c r="V45" s="146"/>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121"/>
      <c r="DO45" s="121"/>
      <c r="DP45" s="121"/>
      <c r="DQ45" s="121"/>
      <c r="DR45" s="121"/>
      <c r="DS45" s="121"/>
      <c r="DT45" s="121"/>
      <c r="DU45" s="121"/>
      <c r="DV45" s="121"/>
      <c r="DW45" s="121"/>
      <c r="DX45" s="121"/>
      <c r="DY45" s="121"/>
      <c r="DZ45" s="121"/>
      <c r="EA45" s="121"/>
      <c r="EB45" s="121"/>
      <c r="EC45" s="121"/>
      <c r="ED45" s="121"/>
      <c r="EE45" s="121"/>
      <c r="EF45" s="121"/>
      <c r="EG45" s="121"/>
      <c r="EH45" s="121"/>
      <c r="EI45" s="121"/>
      <c r="EJ45" s="121"/>
      <c r="EK45" s="121"/>
      <c r="EL45" s="121"/>
      <c r="EM45" s="121"/>
      <c r="EN45" s="121"/>
      <c r="EO45" s="121"/>
      <c r="EP45" s="121"/>
      <c r="EQ45" s="121"/>
      <c r="ER45" s="121"/>
      <c r="ES45" s="121"/>
      <c r="ET45" s="121"/>
      <c r="EU45" s="121"/>
      <c r="EV45" s="121"/>
      <c r="EW45" s="121"/>
      <c r="EX45" s="121"/>
      <c r="EY45" s="121"/>
      <c r="EZ45" s="121"/>
      <c r="FA45" s="121"/>
      <c r="FB45" s="121"/>
      <c r="FC45" s="121"/>
      <c r="FD45" s="121"/>
      <c r="FE45" s="121"/>
      <c r="FF45" s="121"/>
      <c r="FG45" s="121"/>
      <c r="FH45" s="121"/>
      <c r="FI45" s="121"/>
      <c r="FJ45" s="121"/>
      <c r="FK45" s="121"/>
      <c r="FL45" s="121"/>
      <c r="FM45" s="121"/>
      <c r="FN45" s="121"/>
      <c r="FO45" s="121"/>
      <c r="FP45" s="121"/>
      <c r="FQ45" s="121"/>
      <c r="FR45" s="121"/>
      <c r="FS45" s="121"/>
      <c r="FT45" s="121"/>
      <c r="FU45" s="121"/>
      <c r="FV45" s="121"/>
      <c r="FW45" s="121"/>
      <c r="FX45" s="121"/>
      <c r="FY45" s="121"/>
      <c r="FZ45" s="121"/>
      <c r="GA45" s="121"/>
      <c r="GB45" s="121"/>
      <c r="GC45" s="121"/>
      <c r="GD45" s="121"/>
      <c r="GE45" s="121"/>
      <c r="GF45" s="121"/>
      <c r="GG45" s="121"/>
      <c r="GH45" s="121"/>
    </row>
    <row r="46" spans="1:190">
      <c r="A46" s="146"/>
      <c r="B46" s="146"/>
      <c r="C46" s="146"/>
      <c r="D46" s="146"/>
      <c r="E46" s="146"/>
      <c r="F46" s="146"/>
      <c r="G46" s="146"/>
      <c r="H46" s="146"/>
      <c r="I46" s="146"/>
      <c r="J46" s="146"/>
      <c r="K46" s="146"/>
      <c r="L46" s="146"/>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121"/>
      <c r="DO46" s="121"/>
      <c r="DP46" s="121"/>
      <c r="DQ46" s="121"/>
      <c r="DR46" s="121"/>
      <c r="DS46" s="121"/>
      <c r="DT46" s="121"/>
      <c r="DU46" s="121"/>
      <c r="DV46" s="121"/>
      <c r="DW46" s="121"/>
      <c r="DX46" s="121"/>
      <c r="DY46" s="121"/>
      <c r="DZ46" s="121"/>
      <c r="EA46" s="121"/>
      <c r="EB46" s="121"/>
      <c r="EC46" s="121"/>
      <c r="ED46" s="121"/>
      <c r="EE46" s="121"/>
      <c r="EF46" s="121"/>
      <c r="EG46" s="121"/>
      <c r="EH46" s="121"/>
      <c r="EI46" s="121"/>
      <c r="EJ46" s="121"/>
      <c r="EK46" s="121"/>
      <c r="EL46" s="121"/>
      <c r="EM46" s="121"/>
      <c r="EN46" s="121"/>
      <c r="EO46" s="121"/>
      <c r="EP46" s="121"/>
      <c r="EQ46" s="121"/>
      <c r="ER46" s="121"/>
      <c r="ES46" s="121"/>
      <c r="ET46" s="121"/>
      <c r="EU46" s="121"/>
      <c r="EV46" s="121"/>
      <c r="EW46" s="121"/>
      <c r="EX46" s="121"/>
      <c r="EY46" s="121"/>
      <c r="EZ46" s="121"/>
      <c r="FA46" s="121"/>
      <c r="FB46" s="121"/>
      <c r="FC46" s="121"/>
      <c r="FD46" s="121"/>
      <c r="FE46" s="121"/>
      <c r="FF46" s="121"/>
      <c r="FG46" s="121"/>
      <c r="FH46" s="121"/>
      <c r="FI46" s="121"/>
      <c r="FJ46" s="121"/>
      <c r="FK46" s="121"/>
      <c r="FL46" s="121"/>
      <c r="FM46" s="121"/>
      <c r="FN46" s="121"/>
      <c r="FO46" s="121"/>
      <c r="FP46" s="121"/>
      <c r="FQ46" s="121"/>
      <c r="FR46" s="121"/>
      <c r="FS46" s="121"/>
      <c r="FT46" s="121"/>
      <c r="FU46" s="121"/>
      <c r="FV46" s="121"/>
      <c r="FW46" s="121"/>
      <c r="FX46" s="121"/>
      <c r="FY46" s="121"/>
      <c r="FZ46" s="121"/>
      <c r="GA46" s="121"/>
      <c r="GB46" s="121"/>
      <c r="GC46" s="121"/>
      <c r="GD46" s="121"/>
      <c r="GE46" s="121"/>
      <c r="GF46" s="121"/>
      <c r="GG46" s="121"/>
      <c r="GH46" s="121"/>
    </row>
    <row r="47" spans="1:190">
      <c r="A47" s="146"/>
      <c r="B47" s="146"/>
      <c r="C47" s="146"/>
      <c r="D47" s="146"/>
      <c r="E47" s="146"/>
      <c r="F47" s="146"/>
      <c r="G47" s="146"/>
      <c r="H47" s="146"/>
      <c r="I47" s="146"/>
      <c r="J47" s="146"/>
      <c r="K47" s="146"/>
      <c r="L47" s="146"/>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21"/>
      <c r="CT47" s="121"/>
      <c r="CU47" s="121"/>
      <c r="CV47" s="121"/>
      <c r="CW47" s="121"/>
      <c r="CX47" s="121"/>
      <c r="CY47" s="121"/>
      <c r="CZ47" s="121"/>
      <c r="DA47" s="121"/>
      <c r="DB47" s="121"/>
      <c r="DC47" s="121"/>
      <c r="DD47" s="121"/>
      <c r="DE47" s="121"/>
      <c r="DF47" s="121"/>
      <c r="DG47" s="121"/>
      <c r="DH47" s="121"/>
      <c r="DI47" s="121"/>
      <c r="DJ47" s="121"/>
      <c r="DK47" s="121"/>
      <c r="DL47" s="121"/>
      <c r="DM47" s="121"/>
      <c r="DN47" s="121"/>
      <c r="DO47" s="121"/>
      <c r="DP47" s="121"/>
      <c r="DQ47" s="121"/>
      <c r="DR47" s="121"/>
      <c r="DS47" s="121"/>
      <c r="DT47" s="121"/>
      <c r="DU47" s="121"/>
      <c r="DV47" s="121"/>
      <c r="DW47" s="121"/>
      <c r="DX47" s="121"/>
      <c r="DY47" s="121"/>
      <c r="DZ47" s="121"/>
      <c r="EA47" s="121"/>
      <c r="EB47" s="121"/>
      <c r="EC47" s="121"/>
      <c r="ED47" s="121"/>
      <c r="EE47" s="121"/>
      <c r="EF47" s="121"/>
      <c r="EG47" s="121"/>
      <c r="EH47" s="121"/>
      <c r="EI47" s="121"/>
      <c r="EJ47" s="121"/>
      <c r="EK47" s="121"/>
      <c r="EL47" s="121"/>
      <c r="EM47" s="121"/>
      <c r="EN47" s="121"/>
      <c r="EO47" s="121"/>
      <c r="EP47" s="121"/>
      <c r="EQ47" s="121"/>
      <c r="ER47" s="121"/>
      <c r="ES47" s="121"/>
      <c r="ET47" s="121"/>
      <c r="EU47" s="121"/>
      <c r="EV47" s="121"/>
      <c r="EW47" s="121"/>
      <c r="EX47" s="121"/>
      <c r="EY47" s="121"/>
      <c r="EZ47" s="121"/>
      <c r="FA47" s="121"/>
      <c r="FB47" s="121"/>
      <c r="FC47" s="121"/>
      <c r="FD47" s="121"/>
      <c r="FE47" s="121"/>
      <c r="FF47" s="121"/>
      <c r="FG47" s="121"/>
      <c r="FH47" s="121"/>
      <c r="FI47" s="121"/>
      <c r="FJ47" s="121"/>
      <c r="FK47" s="121"/>
      <c r="FL47" s="121"/>
      <c r="FM47" s="121"/>
      <c r="FN47" s="121"/>
      <c r="FO47" s="121"/>
      <c r="FP47" s="121"/>
      <c r="FQ47" s="121"/>
      <c r="FR47" s="121"/>
      <c r="FS47" s="121"/>
      <c r="FT47" s="121"/>
      <c r="FU47" s="121"/>
      <c r="FV47" s="121"/>
      <c r="FW47" s="121"/>
      <c r="FX47" s="121"/>
      <c r="FY47" s="121"/>
      <c r="FZ47" s="121"/>
      <c r="GA47" s="121"/>
      <c r="GB47" s="121"/>
      <c r="GC47" s="121"/>
      <c r="GD47" s="121"/>
      <c r="GE47" s="121"/>
      <c r="GF47" s="121"/>
      <c r="GG47" s="121"/>
      <c r="GH47" s="121"/>
    </row>
    <row r="48" spans="1:190">
      <c r="A48" s="146"/>
      <c r="B48" s="146"/>
      <c r="C48" s="146"/>
      <c r="D48" s="146"/>
      <c r="E48" s="146"/>
      <c r="F48" s="146"/>
      <c r="G48" s="146"/>
      <c r="H48" s="146"/>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121"/>
      <c r="DO48" s="121"/>
      <c r="DP48" s="121"/>
      <c r="DQ48" s="121"/>
      <c r="DR48" s="121"/>
      <c r="DS48" s="121"/>
      <c r="DT48" s="121"/>
      <c r="DU48" s="121"/>
      <c r="DV48" s="121"/>
      <c r="DW48" s="121"/>
      <c r="DX48" s="121"/>
      <c r="DY48" s="121"/>
      <c r="DZ48" s="121"/>
      <c r="EA48" s="121"/>
      <c r="EB48" s="121"/>
      <c r="EC48" s="121"/>
      <c r="ED48" s="121"/>
      <c r="EE48" s="121"/>
      <c r="EF48" s="121"/>
      <c r="EG48" s="121"/>
      <c r="EH48" s="121"/>
      <c r="EI48" s="121"/>
      <c r="EJ48" s="121"/>
      <c r="EK48" s="121"/>
      <c r="EL48" s="121"/>
      <c r="EM48" s="121"/>
      <c r="EN48" s="121"/>
      <c r="EO48" s="121"/>
      <c r="EP48" s="121"/>
      <c r="EQ48" s="121"/>
      <c r="ER48" s="121"/>
      <c r="ES48" s="121"/>
      <c r="ET48" s="121"/>
      <c r="EU48" s="121"/>
      <c r="EV48" s="121"/>
      <c r="EW48" s="121"/>
      <c r="EX48" s="121"/>
      <c r="EY48" s="121"/>
      <c r="EZ48" s="121"/>
      <c r="FA48" s="121"/>
      <c r="FB48" s="121"/>
      <c r="FC48" s="121"/>
      <c r="FD48" s="121"/>
      <c r="FE48" s="121"/>
      <c r="FF48" s="121"/>
      <c r="FG48" s="121"/>
      <c r="FH48" s="121"/>
      <c r="FI48" s="121"/>
      <c r="FJ48" s="121"/>
      <c r="FK48" s="121"/>
      <c r="FL48" s="121"/>
      <c r="FM48" s="121"/>
      <c r="FN48" s="121"/>
      <c r="FO48" s="121"/>
      <c r="FP48" s="121"/>
      <c r="FQ48" s="121"/>
      <c r="FR48" s="121"/>
      <c r="FS48" s="121"/>
      <c r="FT48" s="121"/>
      <c r="FU48" s="121"/>
      <c r="FV48" s="121"/>
      <c r="FW48" s="121"/>
      <c r="FX48" s="121"/>
      <c r="FY48" s="121"/>
      <c r="FZ48" s="121"/>
      <c r="GA48" s="121"/>
      <c r="GB48" s="121"/>
      <c r="GC48" s="121"/>
      <c r="GD48" s="121"/>
      <c r="GE48" s="121"/>
      <c r="GF48" s="121"/>
      <c r="GG48" s="121"/>
      <c r="GH48" s="121"/>
    </row>
    <row r="49" spans="1:190">
      <c r="A49" s="146"/>
      <c r="B49" s="146"/>
      <c r="C49" s="146"/>
      <c r="D49" s="146"/>
      <c r="E49" s="146"/>
      <c r="F49" s="146"/>
      <c r="G49" s="146"/>
      <c r="H49" s="146"/>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c r="AW49" s="146"/>
      <c r="AX49" s="146"/>
      <c r="AY49" s="146"/>
      <c r="AZ49" s="146"/>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121"/>
      <c r="DO49" s="121"/>
      <c r="DP49" s="121"/>
      <c r="DQ49" s="121"/>
      <c r="DR49" s="121"/>
      <c r="DS49" s="121"/>
      <c r="DT49" s="121"/>
      <c r="DU49" s="121"/>
      <c r="DV49" s="121"/>
      <c r="DW49" s="121"/>
      <c r="DX49" s="121"/>
      <c r="DY49" s="121"/>
      <c r="DZ49" s="121"/>
      <c r="EA49" s="121"/>
      <c r="EB49" s="121"/>
      <c r="EC49" s="121"/>
      <c r="ED49" s="121"/>
      <c r="EE49" s="121"/>
      <c r="EF49" s="121"/>
      <c r="EG49" s="121"/>
      <c r="EH49" s="121"/>
      <c r="EI49" s="121"/>
      <c r="EJ49" s="121"/>
      <c r="EK49" s="121"/>
      <c r="EL49" s="121"/>
      <c r="EM49" s="121"/>
      <c r="EN49" s="121"/>
      <c r="EO49" s="121"/>
      <c r="EP49" s="121"/>
      <c r="EQ49" s="121"/>
      <c r="ER49" s="121"/>
      <c r="ES49" s="121"/>
      <c r="ET49" s="121"/>
      <c r="EU49" s="121"/>
      <c r="EV49" s="121"/>
      <c r="EW49" s="121"/>
      <c r="EX49" s="121"/>
      <c r="EY49" s="121"/>
      <c r="EZ49" s="121"/>
      <c r="FA49" s="121"/>
      <c r="FB49" s="121"/>
      <c r="FC49" s="121"/>
      <c r="FD49" s="121"/>
      <c r="FE49" s="121"/>
      <c r="FF49" s="121"/>
      <c r="FG49" s="121"/>
      <c r="FH49" s="121"/>
      <c r="FI49" s="121"/>
      <c r="FJ49" s="121"/>
      <c r="FK49" s="121"/>
      <c r="FL49" s="121"/>
      <c r="FM49" s="121"/>
      <c r="FN49" s="121"/>
      <c r="FO49" s="121"/>
      <c r="FP49" s="121"/>
      <c r="FQ49" s="121"/>
      <c r="FR49" s="121"/>
      <c r="FS49" s="121"/>
      <c r="FT49" s="121"/>
      <c r="FU49" s="121"/>
      <c r="FV49" s="121"/>
      <c r="FW49" s="121"/>
      <c r="FX49" s="121"/>
      <c r="FY49" s="121"/>
      <c r="FZ49" s="121"/>
      <c r="GA49" s="121"/>
      <c r="GB49" s="121"/>
      <c r="GC49" s="121"/>
      <c r="GD49" s="121"/>
      <c r="GE49" s="121"/>
      <c r="GF49" s="121"/>
      <c r="GG49" s="121"/>
      <c r="GH49" s="121"/>
    </row>
    <row r="50" spans="1:190">
      <c r="A50" s="146"/>
      <c r="B50" s="146"/>
      <c r="C50" s="146"/>
      <c r="D50" s="146"/>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121"/>
      <c r="DO50" s="121"/>
      <c r="DP50" s="121"/>
      <c r="DQ50" s="121"/>
      <c r="DR50" s="121"/>
      <c r="DS50" s="121"/>
      <c r="DT50" s="121"/>
      <c r="DU50" s="121"/>
      <c r="DV50" s="121"/>
      <c r="DW50" s="121"/>
      <c r="DX50" s="121"/>
      <c r="DY50" s="121"/>
      <c r="DZ50" s="121"/>
      <c r="EA50" s="121"/>
      <c r="EB50" s="121"/>
      <c r="EC50" s="121"/>
      <c r="ED50" s="121"/>
      <c r="EE50" s="121"/>
      <c r="EF50" s="121"/>
      <c r="EG50" s="121"/>
      <c r="EH50" s="121"/>
      <c r="EI50" s="121"/>
      <c r="EJ50" s="121"/>
      <c r="EK50" s="121"/>
      <c r="EL50" s="121"/>
      <c r="EM50" s="121"/>
      <c r="EN50" s="121"/>
      <c r="EO50" s="121"/>
      <c r="EP50" s="121"/>
      <c r="EQ50" s="121"/>
      <c r="ER50" s="121"/>
      <c r="ES50" s="121"/>
      <c r="ET50" s="121"/>
      <c r="EU50" s="121"/>
      <c r="EV50" s="121"/>
      <c r="EW50" s="121"/>
      <c r="EX50" s="121"/>
      <c r="EY50" s="121"/>
      <c r="EZ50" s="121"/>
      <c r="FA50" s="121"/>
      <c r="FB50" s="121"/>
      <c r="FC50" s="121"/>
      <c r="FD50" s="121"/>
      <c r="FE50" s="121"/>
      <c r="FF50" s="121"/>
      <c r="FG50" s="121"/>
      <c r="FH50" s="121"/>
      <c r="FI50" s="121"/>
      <c r="FJ50" s="121"/>
      <c r="FK50" s="121"/>
      <c r="FL50" s="121"/>
      <c r="FM50" s="121"/>
      <c r="FN50" s="121"/>
      <c r="FO50" s="121"/>
      <c r="FP50" s="121"/>
      <c r="FQ50" s="121"/>
      <c r="FR50" s="121"/>
      <c r="FS50" s="121"/>
      <c r="FT50" s="121"/>
      <c r="FU50" s="121"/>
      <c r="FV50" s="121"/>
      <c r="FW50" s="121"/>
      <c r="FX50" s="121"/>
      <c r="FY50" s="121"/>
      <c r="FZ50" s="121"/>
      <c r="GA50" s="121"/>
      <c r="GB50" s="121"/>
      <c r="GC50" s="121"/>
      <c r="GD50" s="121"/>
      <c r="GE50" s="121"/>
      <c r="GF50" s="121"/>
      <c r="GG50" s="121"/>
      <c r="GH50" s="121"/>
    </row>
    <row r="51" spans="1:190">
      <c r="A51" s="146"/>
      <c r="B51" s="146"/>
      <c r="C51" s="146"/>
      <c r="D51" s="146"/>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c r="CN51" s="121"/>
      <c r="CO51" s="121"/>
      <c r="CP51" s="121"/>
      <c r="CQ51" s="121"/>
      <c r="CR51" s="121"/>
      <c r="CS51" s="121"/>
      <c r="CT51" s="121"/>
      <c r="CU51" s="121"/>
      <c r="CV51" s="121"/>
      <c r="CW51" s="121"/>
      <c r="CX51" s="121"/>
      <c r="CY51" s="121"/>
      <c r="CZ51" s="121"/>
      <c r="DA51" s="121"/>
      <c r="DB51" s="121"/>
      <c r="DC51" s="121"/>
      <c r="DD51" s="121"/>
      <c r="DE51" s="121"/>
      <c r="DF51" s="121"/>
      <c r="DG51" s="121"/>
      <c r="DH51" s="121"/>
      <c r="DI51" s="121"/>
      <c r="DJ51" s="121"/>
      <c r="DK51" s="121"/>
      <c r="DL51" s="121"/>
      <c r="DM51" s="121"/>
      <c r="DN51" s="121"/>
      <c r="DO51" s="121"/>
      <c r="DP51" s="121"/>
      <c r="DQ51" s="121"/>
      <c r="DR51" s="121"/>
      <c r="DS51" s="121"/>
      <c r="DT51" s="121"/>
      <c r="DU51" s="121"/>
      <c r="DV51" s="121"/>
      <c r="DW51" s="121"/>
      <c r="DX51" s="121"/>
      <c r="DY51" s="121"/>
      <c r="DZ51" s="121"/>
      <c r="EA51" s="121"/>
      <c r="EB51" s="121"/>
      <c r="EC51" s="121"/>
      <c r="ED51" s="121"/>
      <c r="EE51" s="121"/>
      <c r="EF51" s="121"/>
      <c r="EG51" s="121"/>
      <c r="EH51" s="121"/>
      <c r="EI51" s="121"/>
      <c r="EJ51" s="121"/>
      <c r="EK51" s="121"/>
      <c r="EL51" s="121"/>
      <c r="EM51" s="121"/>
      <c r="EN51" s="121"/>
      <c r="EO51" s="121"/>
      <c r="EP51" s="121"/>
      <c r="EQ51" s="121"/>
      <c r="ER51" s="121"/>
      <c r="ES51" s="121"/>
      <c r="ET51" s="121"/>
      <c r="EU51" s="121"/>
      <c r="EV51" s="121"/>
      <c r="EW51" s="121"/>
      <c r="EX51" s="121"/>
      <c r="EY51" s="121"/>
      <c r="EZ51" s="121"/>
      <c r="FA51" s="121"/>
      <c r="FB51" s="121"/>
      <c r="FC51" s="121"/>
      <c r="FD51" s="121"/>
      <c r="FE51" s="121"/>
      <c r="FF51" s="121"/>
      <c r="FG51" s="121"/>
      <c r="FH51" s="121"/>
      <c r="FI51" s="121"/>
      <c r="FJ51" s="121"/>
      <c r="FK51" s="121"/>
      <c r="FL51" s="121"/>
      <c r="FM51" s="121"/>
      <c r="FN51" s="121"/>
      <c r="FO51" s="121"/>
      <c r="FP51" s="121"/>
      <c r="FQ51" s="121"/>
      <c r="FR51" s="121"/>
      <c r="FS51" s="121"/>
      <c r="FT51" s="121"/>
      <c r="FU51" s="121"/>
      <c r="FV51" s="121"/>
      <c r="FW51" s="121"/>
      <c r="FX51" s="121"/>
      <c r="FY51" s="121"/>
      <c r="FZ51" s="121"/>
      <c r="GA51" s="121"/>
      <c r="GB51" s="121"/>
      <c r="GC51" s="121"/>
      <c r="GD51" s="121"/>
      <c r="GE51" s="121"/>
      <c r="GF51" s="121"/>
      <c r="GG51" s="121"/>
      <c r="GH51" s="121"/>
    </row>
    <row r="52" spans="1:190">
      <c r="A52" s="146"/>
      <c r="B52" s="146"/>
      <c r="C52" s="146"/>
      <c r="D52" s="146"/>
      <c r="E52" s="146"/>
      <c r="F52" s="146"/>
      <c r="G52" s="146"/>
      <c r="H52" s="146"/>
      <c r="I52" s="146"/>
      <c r="J52" s="146"/>
      <c r="K52" s="146"/>
      <c r="L52" s="146"/>
      <c r="M52" s="146"/>
      <c r="N52" s="146"/>
      <c r="O52" s="146"/>
      <c r="P52" s="146"/>
      <c r="Q52" s="146"/>
      <c r="R52" s="146"/>
      <c r="S52" s="146"/>
      <c r="T52" s="146"/>
      <c r="U52" s="146"/>
      <c r="V52" s="146"/>
      <c r="W52" s="146"/>
      <c r="X52" s="146"/>
      <c r="Y52" s="146"/>
      <c r="Z52" s="146"/>
      <c r="AA52" s="146"/>
      <c r="AB52" s="146"/>
      <c r="AC52" s="146"/>
      <c r="AD52" s="146"/>
      <c r="AE52" s="146"/>
      <c r="AF52" s="146"/>
      <c r="AG52" s="146"/>
      <c r="AH52" s="146"/>
      <c r="AI52" s="146"/>
      <c r="AJ52" s="146"/>
      <c r="AK52" s="146"/>
      <c r="AL52" s="146"/>
      <c r="AM52" s="146"/>
      <c r="AN52" s="146"/>
      <c r="AO52" s="146"/>
      <c r="AP52" s="146"/>
      <c r="AQ52" s="146"/>
      <c r="AR52" s="146"/>
      <c r="AS52" s="146"/>
      <c r="AT52" s="146"/>
      <c r="AU52" s="146"/>
      <c r="AV52" s="146"/>
      <c r="AW52" s="146"/>
      <c r="AX52" s="146"/>
      <c r="AY52" s="146"/>
      <c r="AZ52" s="146"/>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c r="BX52" s="121"/>
      <c r="BY52" s="121"/>
      <c r="BZ52" s="121"/>
      <c r="CA52" s="121"/>
      <c r="CB52" s="121"/>
      <c r="CC52" s="121"/>
      <c r="CD52" s="121"/>
      <c r="CE52" s="121"/>
      <c r="CF52" s="121"/>
      <c r="CG52" s="121"/>
      <c r="CH52" s="121"/>
      <c r="CI52" s="121"/>
      <c r="CJ52" s="121"/>
      <c r="CK52" s="121"/>
      <c r="CL52" s="121"/>
      <c r="CM52" s="121"/>
      <c r="CN52" s="121"/>
      <c r="CO52" s="121"/>
      <c r="CP52" s="121"/>
      <c r="CQ52" s="121"/>
      <c r="CR52" s="121"/>
      <c r="CS52" s="121"/>
      <c r="CT52" s="121"/>
      <c r="CU52" s="121"/>
      <c r="CV52" s="121"/>
      <c r="CW52" s="121"/>
      <c r="CX52" s="121"/>
      <c r="CY52" s="121"/>
      <c r="CZ52" s="121"/>
      <c r="DA52" s="121"/>
      <c r="DB52" s="121"/>
      <c r="DC52" s="121"/>
      <c r="DD52" s="121"/>
      <c r="DE52" s="121"/>
      <c r="DF52" s="121"/>
      <c r="DG52" s="121"/>
      <c r="DH52" s="121"/>
      <c r="DI52" s="121"/>
      <c r="DJ52" s="121"/>
      <c r="DK52" s="121"/>
      <c r="DL52" s="121"/>
      <c r="DM52" s="121"/>
      <c r="DN52" s="121"/>
      <c r="DO52" s="121"/>
      <c r="DP52" s="121"/>
      <c r="DQ52" s="121"/>
      <c r="DR52" s="121"/>
      <c r="DS52" s="121"/>
      <c r="DT52" s="121"/>
      <c r="DU52" s="121"/>
      <c r="DV52" s="121"/>
      <c r="DW52" s="121"/>
      <c r="DX52" s="121"/>
      <c r="DY52" s="121"/>
      <c r="DZ52" s="121"/>
      <c r="EA52" s="121"/>
      <c r="EB52" s="121"/>
      <c r="EC52" s="121"/>
      <c r="ED52" s="121"/>
      <c r="EE52" s="121"/>
      <c r="EF52" s="121"/>
      <c r="EG52" s="121"/>
      <c r="EH52" s="121"/>
      <c r="EI52" s="121"/>
      <c r="EJ52" s="121"/>
      <c r="EK52" s="121"/>
      <c r="EL52" s="121"/>
      <c r="EM52" s="121"/>
      <c r="EN52" s="121"/>
      <c r="EO52" s="121"/>
      <c r="EP52" s="121"/>
      <c r="EQ52" s="121"/>
      <c r="ER52" s="121"/>
      <c r="ES52" s="121"/>
      <c r="ET52" s="121"/>
      <c r="EU52" s="121"/>
      <c r="EV52" s="121"/>
      <c r="EW52" s="121"/>
      <c r="EX52" s="121"/>
      <c r="EY52" s="121"/>
      <c r="EZ52" s="121"/>
      <c r="FA52" s="121"/>
      <c r="FB52" s="121"/>
      <c r="FC52" s="121"/>
      <c r="FD52" s="121"/>
      <c r="FE52" s="121"/>
      <c r="FF52" s="121"/>
      <c r="FG52" s="121"/>
      <c r="FH52" s="121"/>
      <c r="FI52" s="121"/>
      <c r="FJ52" s="121"/>
      <c r="FK52" s="121"/>
      <c r="FL52" s="121"/>
      <c r="FM52" s="121"/>
      <c r="FN52" s="121"/>
      <c r="FO52" s="121"/>
      <c r="FP52" s="121"/>
      <c r="FQ52" s="121"/>
      <c r="FR52" s="121"/>
      <c r="FS52" s="121"/>
      <c r="FT52" s="121"/>
      <c r="FU52" s="121"/>
      <c r="FV52" s="121"/>
      <c r="FW52" s="121"/>
      <c r="FX52" s="121"/>
      <c r="FY52" s="121"/>
      <c r="FZ52" s="121"/>
      <c r="GA52" s="121"/>
      <c r="GB52" s="121"/>
      <c r="GC52" s="121"/>
      <c r="GD52" s="121"/>
      <c r="GE52" s="121"/>
      <c r="GF52" s="121"/>
      <c r="GG52" s="121"/>
      <c r="GH52" s="121"/>
    </row>
    <row r="53" spans="1:190">
      <c r="A53" s="146"/>
      <c r="B53" s="146"/>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c r="CL53" s="121"/>
      <c r="CM53" s="121"/>
      <c r="CN53" s="121"/>
      <c r="CO53" s="121"/>
      <c r="CP53" s="121"/>
      <c r="CQ53" s="121"/>
      <c r="CR53" s="121"/>
      <c r="CS53" s="121"/>
      <c r="CT53" s="121"/>
      <c r="CU53" s="121"/>
      <c r="CV53" s="121"/>
      <c r="CW53" s="121"/>
      <c r="CX53" s="121"/>
      <c r="CY53" s="121"/>
      <c r="CZ53" s="121"/>
      <c r="DA53" s="121"/>
      <c r="DB53" s="121"/>
      <c r="DC53" s="121"/>
      <c r="DD53" s="121"/>
      <c r="DE53" s="121"/>
      <c r="DF53" s="121"/>
      <c r="DG53" s="121"/>
      <c r="DH53" s="121"/>
      <c r="DI53" s="121"/>
      <c r="DJ53" s="121"/>
      <c r="DK53" s="121"/>
      <c r="DL53" s="121"/>
      <c r="DM53" s="121"/>
      <c r="DN53" s="121"/>
      <c r="DO53" s="121"/>
      <c r="DP53" s="121"/>
      <c r="DQ53" s="121"/>
      <c r="DR53" s="121"/>
      <c r="DS53" s="121"/>
      <c r="DT53" s="121"/>
      <c r="DU53" s="121"/>
      <c r="DV53" s="121"/>
      <c r="DW53" s="121"/>
      <c r="DX53" s="121"/>
      <c r="DY53" s="121"/>
      <c r="DZ53" s="121"/>
      <c r="EA53" s="121"/>
      <c r="EB53" s="121"/>
      <c r="EC53" s="121"/>
      <c r="ED53" s="121"/>
      <c r="EE53" s="121"/>
      <c r="EF53" s="121"/>
      <c r="EG53" s="121"/>
      <c r="EH53" s="121"/>
      <c r="EI53" s="121"/>
      <c r="EJ53" s="121"/>
      <c r="EK53" s="121"/>
      <c r="EL53" s="121"/>
      <c r="EM53" s="121"/>
      <c r="EN53" s="121"/>
      <c r="EO53" s="121"/>
      <c r="EP53" s="121"/>
      <c r="EQ53" s="121"/>
      <c r="ER53" s="121"/>
      <c r="ES53" s="121"/>
      <c r="ET53" s="121"/>
      <c r="EU53" s="121"/>
      <c r="EV53" s="121"/>
      <c r="EW53" s="121"/>
      <c r="EX53" s="121"/>
      <c r="EY53" s="121"/>
      <c r="EZ53" s="121"/>
      <c r="FA53" s="121"/>
      <c r="FB53" s="121"/>
      <c r="FC53" s="121"/>
      <c r="FD53" s="121"/>
      <c r="FE53" s="121"/>
      <c r="FF53" s="121"/>
      <c r="FG53" s="121"/>
      <c r="FH53" s="121"/>
      <c r="FI53" s="121"/>
      <c r="FJ53" s="121"/>
      <c r="FK53" s="121"/>
      <c r="FL53" s="121"/>
      <c r="FM53" s="121"/>
      <c r="FN53" s="121"/>
      <c r="FO53" s="121"/>
      <c r="FP53" s="121"/>
      <c r="FQ53" s="121"/>
      <c r="FR53" s="121"/>
      <c r="FS53" s="121"/>
      <c r="FT53" s="121"/>
      <c r="FU53" s="121"/>
      <c r="FV53" s="121"/>
      <c r="FW53" s="121"/>
      <c r="FX53" s="121"/>
      <c r="FY53" s="121"/>
      <c r="FZ53" s="121"/>
      <c r="GA53" s="121"/>
      <c r="GB53" s="121"/>
      <c r="GC53" s="121"/>
      <c r="GD53" s="121"/>
      <c r="GE53" s="121"/>
      <c r="GF53" s="121"/>
      <c r="GG53" s="121"/>
      <c r="GH53" s="121"/>
    </row>
    <row r="54" spans="1:190">
      <c r="A54" s="146"/>
      <c r="B54" s="146"/>
      <c r="C54" s="146"/>
      <c r="D54" s="146"/>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21"/>
      <c r="BB54" s="121"/>
      <c r="BC54" s="121"/>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c r="CA54" s="121"/>
      <c r="CB54" s="121"/>
      <c r="CC54" s="121"/>
      <c r="CD54" s="121"/>
      <c r="CE54" s="121"/>
      <c r="CF54" s="121"/>
      <c r="CG54" s="121"/>
      <c r="CH54" s="121"/>
      <c r="CI54" s="121"/>
      <c r="CJ54" s="121"/>
      <c r="CK54" s="121"/>
      <c r="CL54" s="121"/>
      <c r="CM54" s="121"/>
      <c r="CN54" s="121"/>
      <c r="CO54" s="121"/>
      <c r="CP54" s="121"/>
      <c r="CQ54" s="121"/>
      <c r="CR54" s="121"/>
      <c r="CS54" s="121"/>
      <c r="CT54" s="121"/>
      <c r="CU54" s="121"/>
      <c r="CV54" s="121"/>
      <c r="CW54" s="121"/>
      <c r="CX54" s="121"/>
      <c r="CY54" s="121"/>
      <c r="CZ54" s="121"/>
      <c r="DA54" s="121"/>
      <c r="DB54" s="121"/>
      <c r="DC54" s="121"/>
      <c r="DD54" s="121"/>
      <c r="DE54" s="121"/>
      <c r="DF54" s="121"/>
      <c r="DG54" s="121"/>
      <c r="DH54" s="121"/>
      <c r="DI54" s="121"/>
      <c r="DJ54" s="121"/>
      <c r="DK54" s="121"/>
      <c r="DL54" s="121"/>
      <c r="DM54" s="121"/>
      <c r="DN54" s="121"/>
      <c r="DO54" s="121"/>
      <c r="DP54" s="121"/>
      <c r="DQ54" s="121"/>
      <c r="DR54" s="121"/>
      <c r="DS54" s="121"/>
      <c r="DT54" s="121"/>
      <c r="DU54" s="121"/>
      <c r="DV54" s="121"/>
      <c r="DW54" s="121"/>
      <c r="DX54" s="121"/>
      <c r="DY54" s="121"/>
      <c r="DZ54" s="121"/>
      <c r="EA54" s="121"/>
      <c r="EB54" s="121"/>
      <c r="EC54" s="121"/>
      <c r="ED54" s="121"/>
      <c r="EE54" s="121"/>
      <c r="EF54" s="121"/>
      <c r="EG54" s="121"/>
      <c r="EH54" s="121"/>
      <c r="EI54" s="121"/>
      <c r="EJ54" s="121"/>
      <c r="EK54" s="121"/>
      <c r="EL54" s="121"/>
      <c r="EM54" s="121"/>
      <c r="EN54" s="121"/>
      <c r="EO54" s="121"/>
      <c r="EP54" s="121"/>
      <c r="EQ54" s="121"/>
      <c r="ER54" s="121"/>
      <c r="ES54" s="121"/>
      <c r="ET54" s="121"/>
      <c r="EU54" s="121"/>
      <c r="EV54" s="121"/>
      <c r="EW54" s="121"/>
      <c r="EX54" s="121"/>
      <c r="EY54" s="121"/>
      <c r="EZ54" s="121"/>
      <c r="FA54" s="121"/>
      <c r="FB54" s="121"/>
      <c r="FC54" s="121"/>
      <c r="FD54" s="121"/>
      <c r="FE54" s="121"/>
      <c r="FF54" s="121"/>
      <c r="FG54" s="121"/>
      <c r="FH54" s="121"/>
      <c r="FI54" s="121"/>
      <c r="FJ54" s="121"/>
      <c r="FK54" s="121"/>
      <c r="FL54" s="121"/>
      <c r="FM54" s="121"/>
      <c r="FN54" s="121"/>
      <c r="FO54" s="121"/>
      <c r="FP54" s="121"/>
      <c r="FQ54" s="121"/>
      <c r="FR54" s="121"/>
      <c r="FS54" s="121"/>
      <c r="FT54" s="121"/>
      <c r="FU54" s="121"/>
      <c r="FV54" s="121"/>
      <c r="FW54" s="121"/>
      <c r="FX54" s="121"/>
      <c r="FY54" s="121"/>
      <c r="FZ54" s="121"/>
      <c r="GA54" s="121"/>
      <c r="GB54" s="121"/>
      <c r="GC54" s="121"/>
      <c r="GD54" s="121"/>
      <c r="GE54" s="121"/>
      <c r="GF54" s="121"/>
      <c r="GG54" s="121"/>
      <c r="GH54" s="121"/>
    </row>
    <row r="55" spans="1:190">
      <c r="A55" s="146"/>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c r="CN55" s="121"/>
      <c r="CO55" s="121"/>
      <c r="CP55" s="121"/>
      <c r="CQ55" s="121"/>
      <c r="CR55" s="121"/>
      <c r="CS55" s="121"/>
      <c r="CT55" s="121"/>
      <c r="CU55" s="121"/>
      <c r="CV55" s="121"/>
      <c r="CW55" s="121"/>
      <c r="CX55" s="121"/>
      <c r="CY55" s="121"/>
      <c r="CZ55" s="121"/>
      <c r="DA55" s="121"/>
      <c r="DB55" s="121"/>
      <c r="DC55" s="121"/>
      <c r="DD55" s="121"/>
      <c r="DE55" s="121"/>
      <c r="DF55" s="121"/>
      <c r="DG55" s="121"/>
      <c r="DH55" s="121"/>
      <c r="DI55" s="121"/>
      <c r="DJ55" s="121"/>
      <c r="DK55" s="121"/>
      <c r="DL55" s="121"/>
      <c r="DM55" s="121"/>
      <c r="DN55" s="121"/>
      <c r="DO55" s="121"/>
      <c r="DP55" s="121"/>
      <c r="DQ55" s="121"/>
      <c r="DR55" s="121"/>
      <c r="DS55" s="121"/>
      <c r="DT55" s="121"/>
      <c r="DU55" s="121"/>
      <c r="DV55" s="121"/>
      <c r="DW55" s="121"/>
      <c r="DX55" s="121"/>
      <c r="DY55" s="121"/>
      <c r="DZ55" s="121"/>
      <c r="EA55" s="121"/>
      <c r="EB55" s="121"/>
      <c r="EC55" s="121"/>
      <c r="ED55" s="121"/>
      <c r="EE55" s="121"/>
      <c r="EF55" s="121"/>
      <c r="EG55" s="121"/>
      <c r="EH55" s="121"/>
      <c r="EI55" s="121"/>
      <c r="EJ55" s="121"/>
      <c r="EK55" s="121"/>
      <c r="EL55" s="121"/>
      <c r="EM55" s="121"/>
      <c r="EN55" s="121"/>
      <c r="EO55" s="121"/>
      <c r="EP55" s="121"/>
      <c r="EQ55" s="121"/>
      <c r="ER55" s="121"/>
      <c r="ES55" s="121"/>
      <c r="ET55" s="121"/>
      <c r="EU55" s="121"/>
      <c r="EV55" s="121"/>
      <c r="EW55" s="121"/>
      <c r="EX55" s="121"/>
      <c r="EY55" s="121"/>
      <c r="EZ55" s="121"/>
      <c r="FA55" s="121"/>
      <c r="FB55" s="121"/>
      <c r="FC55" s="121"/>
      <c r="FD55" s="121"/>
      <c r="FE55" s="121"/>
      <c r="FF55" s="121"/>
      <c r="FG55" s="121"/>
      <c r="FH55" s="121"/>
      <c r="FI55" s="121"/>
      <c r="FJ55" s="121"/>
      <c r="FK55" s="121"/>
      <c r="FL55" s="121"/>
      <c r="FM55" s="121"/>
      <c r="FN55" s="121"/>
      <c r="FO55" s="121"/>
      <c r="FP55" s="121"/>
      <c r="FQ55" s="121"/>
      <c r="FR55" s="121"/>
      <c r="FS55" s="121"/>
      <c r="FT55" s="121"/>
      <c r="FU55" s="121"/>
      <c r="FV55" s="121"/>
      <c r="FW55" s="121"/>
      <c r="FX55" s="121"/>
      <c r="FY55" s="121"/>
      <c r="FZ55" s="121"/>
      <c r="GA55" s="121"/>
      <c r="GB55" s="121"/>
      <c r="GC55" s="121"/>
      <c r="GD55" s="121"/>
      <c r="GE55" s="121"/>
      <c r="GF55" s="121"/>
      <c r="GG55" s="121"/>
      <c r="GH55" s="121"/>
    </row>
    <row r="56" spans="1:190">
      <c r="A56" s="146"/>
      <c r="B56" s="146"/>
      <c r="C56" s="146"/>
      <c r="D56" s="146"/>
      <c r="E56" s="146"/>
      <c r="F56" s="146"/>
      <c r="G56" s="146"/>
      <c r="H56" s="146"/>
      <c r="I56" s="146"/>
      <c r="J56" s="146"/>
      <c r="K56" s="146"/>
      <c r="L56" s="146"/>
      <c r="M56" s="146"/>
      <c r="N56" s="146"/>
      <c r="O56" s="146"/>
      <c r="P56" s="146"/>
      <c r="Q56" s="146"/>
      <c r="R56" s="146"/>
      <c r="S56" s="146"/>
      <c r="T56" s="146"/>
      <c r="U56" s="146"/>
      <c r="V56" s="146"/>
      <c r="W56" s="146"/>
      <c r="X56" s="146"/>
      <c r="Y56" s="146"/>
      <c r="Z56" s="146"/>
      <c r="AA56" s="146"/>
      <c r="AB56" s="146"/>
      <c r="AC56" s="146"/>
      <c r="AD56" s="146"/>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c r="CG56" s="121"/>
      <c r="CH56" s="121"/>
      <c r="CI56" s="121"/>
      <c r="CJ56" s="121"/>
      <c r="CK56" s="121"/>
      <c r="CL56" s="121"/>
      <c r="CM56" s="121"/>
      <c r="CN56" s="121"/>
      <c r="CO56" s="121"/>
      <c r="CP56" s="121"/>
      <c r="CQ56" s="121"/>
      <c r="CR56" s="121"/>
      <c r="CS56" s="121"/>
      <c r="CT56" s="121"/>
      <c r="CU56" s="121"/>
      <c r="CV56" s="121"/>
      <c r="CW56" s="121"/>
      <c r="CX56" s="121"/>
      <c r="CY56" s="121"/>
      <c r="CZ56" s="121"/>
      <c r="DA56" s="121"/>
      <c r="DB56" s="121"/>
      <c r="DC56" s="121"/>
      <c r="DD56" s="121"/>
      <c r="DE56" s="121"/>
      <c r="DF56" s="121"/>
      <c r="DG56" s="121"/>
      <c r="DH56" s="121"/>
      <c r="DI56" s="121"/>
      <c r="DJ56" s="121"/>
      <c r="DK56" s="121"/>
      <c r="DL56" s="121"/>
      <c r="DM56" s="121"/>
      <c r="DN56" s="121"/>
      <c r="DO56" s="121"/>
      <c r="DP56" s="121"/>
      <c r="DQ56" s="121"/>
      <c r="DR56" s="121"/>
      <c r="DS56" s="121"/>
      <c r="DT56" s="121"/>
      <c r="DU56" s="121"/>
      <c r="DV56" s="121"/>
      <c r="DW56" s="121"/>
      <c r="DX56" s="121"/>
      <c r="DY56" s="121"/>
      <c r="DZ56" s="121"/>
      <c r="EA56" s="121"/>
      <c r="EB56" s="121"/>
      <c r="EC56" s="121"/>
      <c r="ED56" s="121"/>
      <c r="EE56" s="121"/>
      <c r="EF56" s="121"/>
      <c r="EG56" s="121"/>
      <c r="EH56" s="121"/>
      <c r="EI56" s="121"/>
      <c r="EJ56" s="121"/>
      <c r="EK56" s="121"/>
      <c r="EL56" s="121"/>
      <c r="EM56" s="121"/>
      <c r="EN56" s="121"/>
      <c r="EO56" s="121"/>
      <c r="EP56" s="121"/>
      <c r="EQ56" s="121"/>
      <c r="ER56" s="121"/>
      <c r="ES56" s="121"/>
      <c r="ET56" s="121"/>
      <c r="EU56" s="121"/>
      <c r="EV56" s="121"/>
      <c r="EW56" s="121"/>
      <c r="EX56" s="121"/>
      <c r="EY56" s="121"/>
      <c r="EZ56" s="121"/>
      <c r="FA56" s="121"/>
      <c r="FB56" s="121"/>
      <c r="FC56" s="121"/>
      <c r="FD56" s="121"/>
      <c r="FE56" s="121"/>
      <c r="FF56" s="121"/>
      <c r="FG56" s="121"/>
      <c r="FH56" s="121"/>
      <c r="FI56" s="121"/>
      <c r="FJ56" s="121"/>
      <c r="FK56" s="121"/>
      <c r="FL56" s="121"/>
      <c r="FM56" s="121"/>
      <c r="FN56" s="121"/>
      <c r="FO56" s="121"/>
      <c r="FP56" s="121"/>
      <c r="FQ56" s="121"/>
      <c r="FR56" s="121"/>
      <c r="FS56" s="121"/>
      <c r="FT56" s="121"/>
      <c r="FU56" s="121"/>
      <c r="FV56" s="121"/>
      <c r="FW56" s="121"/>
      <c r="FX56" s="121"/>
      <c r="FY56" s="121"/>
      <c r="FZ56" s="121"/>
      <c r="GA56" s="121"/>
      <c r="GB56" s="121"/>
      <c r="GC56" s="121"/>
      <c r="GD56" s="121"/>
      <c r="GE56" s="121"/>
      <c r="GF56" s="121"/>
      <c r="GG56" s="121"/>
      <c r="GH56" s="121"/>
    </row>
    <row r="57" spans="1:190">
      <c r="A57" s="146"/>
      <c r="B57" s="146"/>
      <c r="C57" s="146"/>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c r="CA57" s="121"/>
      <c r="CB57" s="121"/>
      <c r="CC57" s="121"/>
      <c r="CD57" s="121"/>
      <c r="CE57" s="121"/>
      <c r="CF57" s="121"/>
      <c r="CG57" s="121"/>
      <c r="CH57" s="121"/>
      <c r="CI57" s="121"/>
      <c r="CJ57" s="121"/>
      <c r="CK57" s="121"/>
      <c r="CL57" s="121"/>
      <c r="CM57" s="121"/>
      <c r="CN57" s="121"/>
      <c r="CO57" s="121"/>
      <c r="CP57" s="121"/>
      <c r="CQ57" s="121"/>
      <c r="CR57" s="121"/>
      <c r="CS57" s="121"/>
      <c r="CT57" s="121"/>
      <c r="CU57" s="121"/>
      <c r="CV57" s="121"/>
      <c r="CW57" s="121"/>
      <c r="CX57" s="121"/>
      <c r="CY57" s="121"/>
      <c r="CZ57" s="121"/>
      <c r="DA57" s="121"/>
      <c r="DB57" s="121"/>
      <c r="DC57" s="121"/>
      <c r="DD57" s="121"/>
      <c r="DE57" s="121"/>
      <c r="DF57" s="121"/>
      <c r="DG57" s="121"/>
      <c r="DH57" s="121"/>
      <c r="DI57" s="121"/>
      <c r="DJ57" s="121"/>
      <c r="DK57" s="121"/>
      <c r="DL57" s="121"/>
      <c r="DM57" s="121"/>
      <c r="DN57" s="121"/>
      <c r="DO57" s="121"/>
      <c r="DP57" s="121"/>
      <c r="DQ57" s="121"/>
      <c r="DR57" s="121"/>
      <c r="DS57" s="121"/>
      <c r="DT57" s="121"/>
      <c r="DU57" s="121"/>
      <c r="DV57" s="121"/>
      <c r="DW57" s="121"/>
      <c r="DX57" s="121"/>
      <c r="DY57" s="121"/>
      <c r="DZ57" s="121"/>
      <c r="EA57" s="121"/>
      <c r="EB57" s="121"/>
      <c r="EC57" s="121"/>
      <c r="ED57" s="121"/>
      <c r="EE57" s="121"/>
      <c r="EF57" s="121"/>
      <c r="EG57" s="121"/>
      <c r="EH57" s="121"/>
      <c r="EI57" s="121"/>
      <c r="EJ57" s="121"/>
      <c r="EK57" s="121"/>
      <c r="EL57" s="121"/>
      <c r="EM57" s="121"/>
      <c r="EN57" s="121"/>
      <c r="EO57" s="121"/>
      <c r="EP57" s="121"/>
      <c r="EQ57" s="121"/>
      <c r="ER57" s="121"/>
      <c r="ES57" s="121"/>
      <c r="ET57" s="121"/>
      <c r="EU57" s="121"/>
      <c r="EV57" s="121"/>
      <c r="EW57" s="121"/>
      <c r="EX57" s="121"/>
      <c r="EY57" s="121"/>
      <c r="EZ57" s="121"/>
      <c r="FA57" s="121"/>
      <c r="FB57" s="121"/>
      <c r="FC57" s="121"/>
      <c r="FD57" s="121"/>
      <c r="FE57" s="121"/>
      <c r="FF57" s="121"/>
      <c r="FG57" s="121"/>
      <c r="FH57" s="121"/>
      <c r="FI57" s="121"/>
      <c r="FJ57" s="121"/>
      <c r="FK57" s="121"/>
      <c r="FL57" s="121"/>
      <c r="FM57" s="121"/>
      <c r="FN57" s="121"/>
      <c r="FO57" s="121"/>
      <c r="FP57" s="121"/>
      <c r="FQ57" s="121"/>
      <c r="FR57" s="121"/>
      <c r="FS57" s="121"/>
      <c r="FT57" s="121"/>
      <c r="FU57" s="121"/>
      <c r="FV57" s="121"/>
      <c r="FW57" s="121"/>
      <c r="FX57" s="121"/>
      <c r="FY57" s="121"/>
      <c r="FZ57" s="121"/>
      <c r="GA57" s="121"/>
      <c r="GB57" s="121"/>
      <c r="GC57" s="121"/>
      <c r="GD57" s="121"/>
      <c r="GE57" s="121"/>
      <c r="GF57" s="121"/>
      <c r="GG57" s="121"/>
      <c r="GH57" s="121"/>
    </row>
    <row r="58" spans="1:190">
      <c r="A58" s="146"/>
      <c r="B58" s="146"/>
      <c r="C58" s="146"/>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c r="BX58" s="121"/>
      <c r="BY58" s="121"/>
      <c r="BZ58" s="121"/>
      <c r="CA58" s="121"/>
      <c r="CB58" s="121"/>
      <c r="CC58" s="121"/>
      <c r="CD58" s="121"/>
      <c r="CE58" s="121"/>
      <c r="CF58" s="121"/>
      <c r="CG58" s="121"/>
      <c r="CH58" s="121"/>
      <c r="CI58" s="121"/>
      <c r="CJ58" s="121"/>
      <c r="CK58" s="121"/>
      <c r="CL58" s="121"/>
      <c r="CM58" s="121"/>
      <c r="CN58" s="121"/>
      <c r="CO58" s="121"/>
      <c r="CP58" s="121"/>
      <c r="CQ58" s="121"/>
      <c r="CR58" s="121"/>
      <c r="CS58" s="121"/>
      <c r="CT58" s="121"/>
      <c r="CU58" s="121"/>
      <c r="CV58" s="121"/>
      <c r="CW58" s="121"/>
      <c r="CX58" s="121"/>
      <c r="CY58" s="121"/>
      <c r="CZ58" s="121"/>
      <c r="DA58" s="121"/>
      <c r="DB58" s="121"/>
      <c r="DC58" s="121"/>
      <c r="DD58" s="121"/>
      <c r="DE58" s="121"/>
      <c r="DF58" s="121"/>
      <c r="DG58" s="121"/>
      <c r="DH58" s="121"/>
      <c r="DI58" s="121"/>
      <c r="DJ58" s="121"/>
      <c r="DK58" s="121"/>
      <c r="DL58" s="121"/>
      <c r="DM58" s="121"/>
      <c r="DN58" s="121"/>
      <c r="DO58" s="121"/>
      <c r="DP58" s="121"/>
      <c r="DQ58" s="121"/>
      <c r="DR58" s="121"/>
      <c r="DS58" s="121"/>
      <c r="DT58" s="121"/>
      <c r="DU58" s="121"/>
      <c r="DV58" s="121"/>
      <c r="DW58" s="121"/>
      <c r="DX58" s="121"/>
      <c r="DY58" s="121"/>
      <c r="DZ58" s="121"/>
      <c r="EA58" s="121"/>
      <c r="EB58" s="121"/>
      <c r="EC58" s="121"/>
      <c r="ED58" s="121"/>
      <c r="EE58" s="121"/>
      <c r="EF58" s="121"/>
      <c r="EG58" s="121"/>
      <c r="EH58" s="121"/>
      <c r="EI58" s="121"/>
      <c r="EJ58" s="121"/>
      <c r="EK58" s="121"/>
      <c r="EL58" s="121"/>
      <c r="EM58" s="121"/>
      <c r="EN58" s="121"/>
      <c r="EO58" s="121"/>
      <c r="EP58" s="121"/>
      <c r="EQ58" s="121"/>
      <c r="ER58" s="121"/>
      <c r="ES58" s="121"/>
      <c r="ET58" s="121"/>
      <c r="EU58" s="121"/>
      <c r="EV58" s="121"/>
      <c r="EW58" s="121"/>
      <c r="EX58" s="121"/>
      <c r="EY58" s="121"/>
      <c r="EZ58" s="121"/>
      <c r="FA58" s="121"/>
      <c r="FB58" s="121"/>
      <c r="FC58" s="121"/>
      <c r="FD58" s="121"/>
      <c r="FE58" s="121"/>
      <c r="FF58" s="121"/>
      <c r="FG58" s="121"/>
      <c r="FH58" s="121"/>
      <c r="FI58" s="121"/>
      <c r="FJ58" s="121"/>
      <c r="FK58" s="121"/>
      <c r="FL58" s="121"/>
      <c r="FM58" s="121"/>
      <c r="FN58" s="121"/>
      <c r="FO58" s="121"/>
      <c r="FP58" s="121"/>
      <c r="FQ58" s="121"/>
      <c r="FR58" s="121"/>
      <c r="FS58" s="121"/>
      <c r="FT58" s="121"/>
      <c r="FU58" s="121"/>
      <c r="FV58" s="121"/>
      <c r="FW58" s="121"/>
      <c r="FX58" s="121"/>
      <c r="FY58" s="121"/>
      <c r="FZ58" s="121"/>
      <c r="GA58" s="121"/>
      <c r="GB58" s="121"/>
      <c r="GC58" s="121"/>
      <c r="GD58" s="121"/>
      <c r="GE58" s="121"/>
      <c r="GF58" s="121"/>
      <c r="GG58" s="121"/>
      <c r="GH58" s="121"/>
    </row>
    <row r="59" spans="1:190">
      <c r="A59" s="146"/>
      <c r="B59" s="146"/>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21"/>
      <c r="BB59" s="121"/>
      <c r="BC59" s="121"/>
      <c r="BD59" s="121"/>
      <c r="BE59" s="121"/>
      <c r="BF59" s="121"/>
      <c r="BG59" s="121"/>
      <c r="BH59" s="121"/>
      <c r="BI59" s="121"/>
      <c r="BJ59" s="121"/>
      <c r="BK59" s="121"/>
      <c r="BL59" s="121"/>
      <c r="BM59" s="121"/>
      <c r="BN59" s="121"/>
      <c r="BO59" s="121"/>
      <c r="BP59" s="121"/>
      <c r="BQ59" s="121"/>
      <c r="BR59" s="121"/>
      <c r="BS59" s="121"/>
      <c r="BT59" s="121"/>
      <c r="BU59" s="121"/>
      <c r="BV59" s="121"/>
      <c r="BW59" s="121"/>
      <c r="BX59" s="121"/>
      <c r="BY59" s="121"/>
      <c r="BZ59" s="121"/>
      <c r="CA59" s="121"/>
      <c r="CB59" s="121"/>
      <c r="CC59" s="121"/>
      <c r="CD59" s="121"/>
      <c r="CE59" s="121"/>
      <c r="CF59" s="121"/>
      <c r="CG59" s="121"/>
      <c r="CH59" s="121"/>
      <c r="CI59" s="121"/>
      <c r="CJ59" s="121"/>
      <c r="CK59" s="121"/>
      <c r="CL59" s="121"/>
      <c r="CM59" s="121"/>
      <c r="CN59" s="121"/>
      <c r="CO59" s="121"/>
      <c r="CP59" s="121"/>
      <c r="CQ59" s="121"/>
      <c r="CR59" s="121"/>
      <c r="CS59" s="121"/>
      <c r="CT59" s="121"/>
      <c r="CU59" s="121"/>
      <c r="CV59" s="121"/>
      <c r="CW59" s="121"/>
      <c r="CX59" s="121"/>
      <c r="CY59" s="121"/>
      <c r="CZ59" s="121"/>
      <c r="DA59" s="121"/>
      <c r="DB59" s="121"/>
      <c r="DC59" s="121"/>
      <c r="DD59" s="121"/>
      <c r="DE59" s="121"/>
      <c r="DF59" s="121"/>
      <c r="DG59" s="121"/>
      <c r="DH59" s="121"/>
      <c r="DI59" s="121"/>
      <c r="DJ59" s="121"/>
      <c r="DK59" s="121"/>
      <c r="DL59" s="121"/>
      <c r="DM59" s="121"/>
      <c r="DN59" s="121"/>
      <c r="DO59" s="121"/>
      <c r="DP59" s="121"/>
      <c r="DQ59" s="121"/>
      <c r="DR59" s="121"/>
      <c r="DS59" s="121"/>
      <c r="DT59" s="121"/>
      <c r="DU59" s="121"/>
      <c r="DV59" s="121"/>
      <c r="DW59" s="121"/>
      <c r="DX59" s="121"/>
      <c r="DY59" s="121"/>
      <c r="DZ59" s="121"/>
      <c r="EA59" s="121"/>
      <c r="EB59" s="121"/>
      <c r="EC59" s="121"/>
      <c r="ED59" s="121"/>
      <c r="EE59" s="121"/>
      <c r="EF59" s="121"/>
      <c r="EG59" s="121"/>
      <c r="EH59" s="121"/>
      <c r="EI59" s="121"/>
      <c r="EJ59" s="121"/>
      <c r="EK59" s="121"/>
      <c r="EL59" s="121"/>
      <c r="EM59" s="121"/>
      <c r="EN59" s="121"/>
      <c r="EO59" s="121"/>
      <c r="EP59" s="121"/>
      <c r="EQ59" s="121"/>
      <c r="ER59" s="121"/>
      <c r="ES59" s="121"/>
      <c r="ET59" s="121"/>
      <c r="EU59" s="121"/>
      <c r="EV59" s="121"/>
      <c r="EW59" s="121"/>
      <c r="EX59" s="121"/>
      <c r="EY59" s="121"/>
      <c r="EZ59" s="121"/>
      <c r="FA59" s="121"/>
      <c r="FB59" s="121"/>
      <c r="FC59" s="121"/>
      <c r="FD59" s="121"/>
      <c r="FE59" s="121"/>
      <c r="FF59" s="121"/>
      <c r="FG59" s="121"/>
      <c r="FH59" s="121"/>
      <c r="FI59" s="121"/>
      <c r="FJ59" s="121"/>
      <c r="FK59" s="121"/>
      <c r="FL59" s="121"/>
      <c r="FM59" s="121"/>
      <c r="FN59" s="121"/>
      <c r="FO59" s="121"/>
      <c r="FP59" s="121"/>
      <c r="FQ59" s="121"/>
      <c r="FR59" s="121"/>
      <c r="FS59" s="121"/>
      <c r="FT59" s="121"/>
      <c r="FU59" s="121"/>
      <c r="FV59" s="121"/>
      <c r="FW59" s="121"/>
      <c r="FX59" s="121"/>
      <c r="FY59" s="121"/>
      <c r="FZ59" s="121"/>
      <c r="GA59" s="121"/>
      <c r="GB59" s="121"/>
      <c r="GC59" s="121"/>
      <c r="GD59" s="121"/>
      <c r="GE59" s="121"/>
      <c r="GF59" s="121"/>
      <c r="GG59" s="121"/>
      <c r="GH59" s="121"/>
    </row>
    <row r="60" spans="1:190">
      <c r="A60" s="146"/>
      <c r="B60" s="146"/>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21"/>
      <c r="BB60" s="121"/>
      <c r="BC60" s="121"/>
      <c r="BD60" s="121"/>
      <c r="BE60" s="121"/>
      <c r="BF60" s="121"/>
      <c r="BG60" s="121"/>
      <c r="BH60" s="121"/>
      <c r="BI60" s="121"/>
      <c r="BJ60" s="121"/>
      <c r="BK60" s="121"/>
      <c r="BL60" s="121"/>
      <c r="BM60" s="121"/>
      <c r="BN60" s="121"/>
      <c r="BO60" s="121"/>
      <c r="BP60" s="121"/>
      <c r="BQ60" s="121"/>
      <c r="BR60" s="121"/>
      <c r="BS60" s="121"/>
      <c r="BT60" s="121"/>
      <c r="BU60" s="121"/>
      <c r="BV60" s="121"/>
      <c r="BW60" s="121"/>
      <c r="BX60" s="121"/>
      <c r="BY60" s="121"/>
      <c r="BZ60" s="121"/>
      <c r="CA60" s="121"/>
      <c r="CB60" s="121"/>
      <c r="CC60" s="121"/>
      <c r="CD60" s="121"/>
      <c r="CE60" s="121"/>
      <c r="CF60" s="121"/>
      <c r="CG60" s="121"/>
      <c r="CH60" s="121"/>
      <c r="CI60" s="121"/>
      <c r="CJ60" s="121"/>
      <c r="CK60" s="121"/>
      <c r="CL60" s="121"/>
      <c r="CM60" s="121"/>
      <c r="CN60" s="121"/>
      <c r="CO60" s="121"/>
      <c r="CP60" s="121"/>
      <c r="CQ60" s="121"/>
      <c r="CR60" s="121"/>
      <c r="CS60" s="121"/>
      <c r="CT60" s="121"/>
      <c r="CU60" s="121"/>
      <c r="CV60" s="121"/>
      <c r="CW60" s="121"/>
      <c r="CX60" s="121"/>
      <c r="CY60" s="121"/>
      <c r="CZ60" s="121"/>
      <c r="DA60" s="121"/>
      <c r="DB60" s="121"/>
      <c r="DC60" s="121"/>
      <c r="DD60" s="121"/>
      <c r="DE60" s="121"/>
      <c r="DF60" s="121"/>
      <c r="DG60" s="121"/>
      <c r="DH60" s="121"/>
      <c r="DI60" s="121"/>
      <c r="DJ60" s="121"/>
      <c r="DK60" s="121"/>
      <c r="DL60" s="121"/>
      <c r="DM60" s="121"/>
      <c r="DN60" s="121"/>
      <c r="DO60" s="121"/>
      <c r="DP60" s="121"/>
      <c r="DQ60" s="121"/>
      <c r="DR60" s="121"/>
      <c r="DS60" s="121"/>
      <c r="DT60" s="121"/>
      <c r="DU60" s="121"/>
      <c r="DV60" s="121"/>
      <c r="DW60" s="121"/>
      <c r="DX60" s="121"/>
      <c r="DY60" s="121"/>
      <c r="DZ60" s="121"/>
      <c r="EA60" s="121"/>
      <c r="EB60" s="121"/>
      <c r="EC60" s="121"/>
      <c r="ED60" s="121"/>
      <c r="EE60" s="121"/>
      <c r="EF60" s="121"/>
      <c r="EG60" s="121"/>
      <c r="EH60" s="121"/>
      <c r="EI60" s="121"/>
      <c r="EJ60" s="121"/>
      <c r="EK60" s="121"/>
      <c r="EL60" s="121"/>
      <c r="EM60" s="121"/>
      <c r="EN60" s="121"/>
      <c r="EO60" s="121"/>
      <c r="EP60" s="121"/>
      <c r="EQ60" s="121"/>
      <c r="ER60" s="121"/>
      <c r="ES60" s="121"/>
      <c r="ET60" s="121"/>
      <c r="EU60" s="121"/>
      <c r="EV60" s="121"/>
      <c r="EW60" s="121"/>
      <c r="EX60" s="121"/>
      <c r="EY60" s="121"/>
      <c r="EZ60" s="121"/>
      <c r="FA60" s="121"/>
      <c r="FB60" s="121"/>
      <c r="FC60" s="121"/>
      <c r="FD60" s="121"/>
      <c r="FE60" s="121"/>
      <c r="FF60" s="121"/>
      <c r="FG60" s="121"/>
      <c r="FH60" s="121"/>
      <c r="FI60" s="121"/>
      <c r="FJ60" s="121"/>
      <c r="FK60" s="121"/>
      <c r="FL60" s="121"/>
      <c r="FM60" s="121"/>
      <c r="FN60" s="121"/>
      <c r="FO60" s="121"/>
      <c r="FP60" s="121"/>
      <c r="FQ60" s="121"/>
      <c r="FR60" s="121"/>
      <c r="FS60" s="121"/>
      <c r="FT60" s="121"/>
      <c r="FU60" s="121"/>
      <c r="FV60" s="121"/>
      <c r="FW60" s="121"/>
      <c r="FX60" s="121"/>
      <c r="FY60" s="121"/>
      <c r="FZ60" s="121"/>
      <c r="GA60" s="121"/>
      <c r="GB60" s="121"/>
      <c r="GC60" s="121"/>
      <c r="GD60" s="121"/>
      <c r="GE60" s="121"/>
      <c r="GF60" s="121"/>
      <c r="GG60" s="121"/>
      <c r="GH60" s="121"/>
    </row>
    <row r="61" spans="1:190">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1"/>
      <c r="BS61" s="121"/>
      <c r="BT61" s="121"/>
      <c r="BU61" s="121"/>
      <c r="BV61" s="121"/>
      <c r="BW61" s="121"/>
      <c r="BX61" s="121"/>
      <c r="BY61" s="121"/>
      <c r="BZ61" s="121"/>
      <c r="CA61" s="121"/>
      <c r="CB61" s="121"/>
      <c r="CC61" s="121"/>
      <c r="CD61" s="121"/>
      <c r="CE61" s="121"/>
      <c r="CF61" s="121"/>
      <c r="CG61" s="121"/>
      <c r="CH61" s="121"/>
      <c r="CI61" s="121"/>
      <c r="CJ61" s="121"/>
      <c r="CK61" s="121"/>
      <c r="CL61" s="121"/>
      <c r="CM61" s="121"/>
      <c r="CN61" s="121"/>
      <c r="CO61" s="121"/>
      <c r="CP61" s="121"/>
      <c r="CQ61" s="121"/>
      <c r="CR61" s="121"/>
      <c r="CS61" s="121"/>
      <c r="CT61" s="121"/>
      <c r="CU61" s="121"/>
      <c r="CV61" s="121"/>
      <c r="CW61" s="121"/>
      <c r="CX61" s="121"/>
      <c r="CY61" s="121"/>
      <c r="CZ61" s="121"/>
      <c r="DA61" s="121"/>
      <c r="DB61" s="121"/>
      <c r="DC61" s="121"/>
      <c r="DD61" s="121"/>
      <c r="DE61" s="121"/>
      <c r="DF61" s="121"/>
      <c r="DG61" s="121"/>
      <c r="DH61" s="121"/>
      <c r="DI61" s="121"/>
      <c r="DJ61" s="121"/>
      <c r="DK61" s="121"/>
      <c r="DL61" s="121"/>
      <c r="DM61" s="121"/>
      <c r="DN61" s="121"/>
      <c r="DO61" s="121"/>
      <c r="DP61" s="121"/>
      <c r="DQ61" s="121"/>
      <c r="DR61" s="121"/>
      <c r="DS61" s="121"/>
      <c r="DT61" s="121"/>
      <c r="DU61" s="121"/>
      <c r="DV61" s="121"/>
      <c r="DW61" s="121"/>
      <c r="DX61" s="121"/>
      <c r="DY61" s="121"/>
      <c r="DZ61" s="121"/>
      <c r="EA61" s="121"/>
      <c r="EB61" s="121"/>
      <c r="EC61" s="121"/>
      <c r="ED61" s="121"/>
      <c r="EE61" s="121"/>
      <c r="EF61" s="121"/>
      <c r="EG61" s="121"/>
      <c r="EH61" s="121"/>
      <c r="EI61" s="121"/>
      <c r="EJ61" s="121"/>
      <c r="EK61" s="121"/>
      <c r="EL61" s="121"/>
      <c r="EM61" s="121"/>
      <c r="EN61" s="121"/>
      <c r="EO61" s="121"/>
      <c r="EP61" s="121"/>
      <c r="EQ61" s="121"/>
      <c r="ER61" s="121"/>
      <c r="ES61" s="121"/>
      <c r="ET61" s="121"/>
      <c r="EU61" s="121"/>
      <c r="EV61" s="121"/>
      <c r="EW61" s="121"/>
      <c r="EX61" s="121"/>
      <c r="EY61" s="121"/>
      <c r="EZ61" s="121"/>
      <c r="FA61" s="121"/>
      <c r="FB61" s="121"/>
      <c r="FC61" s="121"/>
      <c r="FD61" s="121"/>
      <c r="FE61" s="121"/>
      <c r="FF61" s="121"/>
      <c r="FG61" s="121"/>
      <c r="FH61" s="121"/>
      <c r="FI61" s="121"/>
      <c r="FJ61" s="121"/>
      <c r="FK61" s="121"/>
      <c r="FL61" s="121"/>
      <c r="FM61" s="121"/>
      <c r="FN61" s="121"/>
      <c r="FO61" s="121"/>
      <c r="FP61" s="121"/>
      <c r="FQ61" s="121"/>
      <c r="FR61" s="121"/>
      <c r="FS61" s="121"/>
      <c r="FT61" s="121"/>
      <c r="FU61" s="121"/>
      <c r="FV61" s="121"/>
      <c r="FW61" s="121"/>
      <c r="FX61" s="121"/>
      <c r="FY61" s="121"/>
      <c r="FZ61" s="121"/>
      <c r="GA61" s="121"/>
      <c r="GB61" s="121"/>
      <c r="GC61" s="121"/>
      <c r="GD61" s="121"/>
      <c r="GE61" s="121"/>
      <c r="GF61" s="121"/>
      <c r="GG61" s="121"/>
      <c r="GH61" s="121"/>
    </row>
    <row r="62" spans="1:190">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c r="BR62" s="121"/>
      <c r="BS62" s="121"/>
      <c r="BT62" s="121"/>
      <c r="BU62" s="121"/>
      <c r="BV62" s="121"/>
      <c r="BW62" s="121"/>
      <c r="BX62" s="121"/>
      <c r="BY62" s="121"/>
      <c r="BZ62" s="121"/>
      <c r="CA62" s="121"/>
      <c r="CB62" s="121"/>
      <c r="CC62" s="121"/>
      <c r="CD62" s="121"/>
      <c r="CE62" s="121"/>
      <c r="CF62" s="121"/>
      <c r="CG62" s="121"/>
      <c r="CH62" s="121"/>
      <c r="CI62" s="121"/>
      <c r="CJ62" s="121"/>
      <c r="CK62" s="121"/>
      <c r="CL62" s="121"/>
      <c r="CM62" s="121"/>
      <c r="CN62" s="121"/>
      <c r="CO62" s="121"/>
      <c r="CP62" s="121"/>
      <c r="CQ62" s="121"/>
      <c r="CR62" s="121"/>
      <c r="CS62" s="121"/>
      <c r="CT62" s="121"/>
      <c r="CU62" s="121"/>
      <c r="CV62" s="121"/>
      <c r="CW62" s="121"/>
      <c r="CX62" s="121"/>
      <c r="CY62" s="121"/>
      <c r="CZ62" s="121"/>
      <c r="DA62" s="121"/>
      <c r="DB62" s="121"/>
      <c r="DC62" s="121"/>
      <c r="DD62" s="121"/>
      <c r="DE62" s="121"/>
      <c r="DF62" s="121"/>
      <c r="DG62" s="121"/>
      <c r="DH62" s="121"/>
      <c r="DI62" s="121"/>
      <c r="DJ62" s="121"/>
      <c r="DK62" s="121"/>
      <c r="DL62" s="121"/>
      <c r="DM62" s="121"/>
      <c r="DN62" s="121"/>
      <c r="DO62" s="121"/>
      <c r="DP62" s="121"/>
      <c r="DQ62" s="121"/>
      <c r="DR62" s="121"/>
      <c r="DS62" s="121"/>
      <c r="DT62" s="121"/>
      <c r="DU62" s="121"/>
      <c r="DV62" s="121"/>
      <c r="DW62" s="121"/>
      <c r="DX62" s="121"/>
      <c r="DY62" s="121"/>
      <c r="DZ62" s="121"/>
      <c r="EA62" s="121"/>
      <c r="EB62" s="121"/>
      <c r="EC62" s="121"/>
      <c r="ED62" s="121"/>
      <c r="EE62" s="121"/>
      <c r="EF62" s="121"/>
      <c r="EG62" s="121"/>
      <c r="EH62" s="121"/>
      <c r="EI62" s="121"/>
      <c r="EJ62" s="121"/>
      <c r="EK62" s="121"/>
      <c r="EL62" s="121"/>
      <c r="EM62" s="121"/>
      <c r="EN62" s="121"/>
      <c r="EO62" s="121"/>
      <c r="EP62" s="121"/>
      <c r="EQ62" s="121"/>
      <c r="ER62" s="121"/>
      <c r="ES62" s="121"/>
      <c r="ET62" s="121"/>
      <c r="EU62" s="121"/>
      <c r="EV62" s="121"/>
      <c r="EW62" s="121"/>
      <c r="EX62" s="121"/>
      <c r="EY62" s="121"/>
      <c r="EZ62" s="121"/>
      <c r="FA62" s="121"/>
      <c r="FB62" s="121"/>
      <c r="FC62" s="121"/>
      <c r="FD62" s="121"/>
      <c r="FE62" s="121"/>
      <c r="FF62" s="121"/>
      <c r="FG62" s="121"/>
      <c r="FH62" s="121"/>
      <c r="FI62" s="121"/>
      <c r="FJ62" s="121"/>
      <c r="FK62" s="121"/>
      <c r="FL62" s="121"/>
      <c r="FM62" s="121"/>
      <c r="FN62" s="121"/>
      <c r="FO62" s="121"/>
      <c r="FP62" s="121"/>
      <c r="FQ62" s="121"/>
      <c r="FR62" s="121"/>
      <c r="FS62" s="121"/>
      <c r="FT62" s="121"/>
      <c r="FU62" s="121"/>
      <c r="FV62" s="121"/>
      <c r="FW62" s="121"/>
      <c r="FX62" s="121"/>
      <c r="FY62" s="121"/>
      <c r="FZ62" s="121"/>
      <c r="GA62" s="121"/>
      <c r="GB62" s="121"/>
      <c r="GC62" s="121"/>
      <c r="GD62" s="121"/>
      <c r="GE62" s="121"/>
      <c r="GF62" s="121"/>
      <c r="GG62" s="121"/>
      <c r="GH62" s="121"/>
    </row>
    <row r="63" spans="1:190">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c r="BG63" s="121"/>
      <c r="BH63" s="121"/>
      <c r="BI63" s="121"/>
      <c r="BJ63" s="121"/>
      <c r="BK63" s="121"/>
      <c r="BL63" s="121"/>
      <c r="BM63" s="121"/>
      <c r="BN63" s="121"/>
      <c r="BO63" s="121"/>
      <c r="BP63" s="121"/>
      <c r="BQ63" s="121"/>
      <c r="BR63" s="121"/>
      <c r="BS63" s="121"/>
      <c r="BT63" s="121"/>
      <c r="BU63" s="121"/>
      <c r="BV63" s="121"/>
      <c r="BW63" s="121"/>
      <c r="BX63" s="121"/>
      <c r="BY63" s="121"/>
      <c r="BZ63" s="121"/>
      <c r="CA63" s="121"/>
      <c r="CB63" s="121"/>
      <c r="CC63" s="121"/>
      <c r="CD63" s="121"/>
      <c r="CE63" s="121"/>
      <c r="CF63" s="121"/>
      <c r="CG63" s="121"/>
      <c r="CH63" s="121"/>
      <c r="CI63" s="121"/>
      <c r="CJ63" s="121"/>
      <c r="CK63" s="121"/>
      <c r="CL63" s="121"/>
      <c r="CM63" s="121"/>
      <c r="CN63" s="121"/>
      <c r="CO63" s="121"/>
      <c r="CP63" s="121"/>
      <c r="CQ63" s="121"/>
      <c r="CR63" s="121"/>
      <c r="CS63" s="121"/>
      <c r="CT63" s="121"/>
      <c r="CU63" s="121"/>
      <c r="CV63" s="121"/>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X63" s="121"/>
      <c r="FY63" s="121"/>
      <c r="FZ63" s="121"/>
      <c r="GA63" s="121"/>
      <c r="GB63" s="121"/>
      <c r="GC63" s="121"/>
      <c r="GD63" s="121"/>
      <c r="GE63" s="121"/>
      <c r="GF63" s="121"/>
      <c r="GG63" s="121"/>
      <c r="GH63" s="121"/>
    </row>
    <row r="64" spans="1:190">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21"/>
      <c r="BR64" s="121"/>
      <c r="BS64" s="121"/>
      <c r="BT64" s="121"/>
      <c r="BU64" s="121"/>
      <c r="BV64" s="121"/>
      <c r="BW64" s="121"/>
      <c r="BX64" s="121"/>
      <c r="BY64" s="121"/>
      <c r="BZ64" s="121"/>
      <c r="CA64" s="121"/>
      <c r="CB64" s="121"/>
      <c r="CC64" s="121"/>
      <c r="CD64" s="121"/>
      <c r="CE64" s="121"/>
      <c r="CF64" s="121"/>
      <c r="CG64" s="121"/>
      <c r="CH64" s="121"/>
      <c r="CI64" s="121"/>
      <c r="CJ64" s="121"/>
      <c r="CK64" s="121"/>
      <c r="CL64" s="121"/>
      <c r="CM64" s="121"/>
      <c r="CN64" s="121"/>
      <c r="CO64" s="121"/>
      <c r="CP64" s="121"/>
      <c r="CQ64" s="121"/>
      <c r="CR64" s="121"/>
      <c r="CS64" s="121"/>
      <c r="CT64" s="121"/>
      <c r="CU64" s="121"/>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X64" s="121"/>
      <c r="FY64" s="121"/>
      <c r="FZ64" s="121"/>
      <c r="GA64" s="121"/>
      <c r="GB64" s="121"/>
      <c r="GC64" s="121"/>
      <c r="GD64" s="121"/>
      <c r="GE64" s="121"/>
      <c r="GF64" s="121"/>
      <c r="GG64" s="121"/>
      <c r="GH64" s="121"/>
    </row>
    <row r="65" spans="1:190">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c r="BR65" s="121"/>
      <c r="BS65" s="121"/>
      <c r="BT65" s="121"/>
      <c r="BU65" s="121"/>
      <c r="BV65" s="121"/>
      <c r="BW65" s="121"/>
      <c r="BX65" s="121"/>
      <c r="BY65" s="121"/>
      <c r="BZ65" s="121"/>
      <c r="CA65" s="121"/>
      <c r="CB65" s="121"/>
      <c r="CC65" s="121"/>
      <c r="CD65" s="121"/>
      <c r="CE65" s="121"/>
      <c r="CF65" s="121"/>
      <c r="CG65" s="121"/>
      <c r="CH65" s="121"/>
      <c r="CI65" s="121"/>
      <c r="CJ65" s="121"/>
      <c r="CK65" s="121"/>
      <c r="CL65" s="121"/>
      <c r="CM65" s="121"/>
      <c r="CN65" s="121"/>
      <c r="CO65" s="121"/>
      <c r="CP65" s="121"/>
      <c r="CQ65" s="121"/>
      <c r="CR65" s="121"/>
      <c r="CS65" s="121"/>
      <c r="CT65" s="121"/>
      <c r="CU65" s="121"/>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X65" s="121"/>
      <c r="FY65" s="121"/>
      <c r="FZ65" s="121"/>
      <c r="GA65" s="121"/>
      <c r="GB65" s="121"/>
      <c r="GC65" s="121"/>
      <c r="GD65" s="121"/>
      <c r="GE65" s="121"/>
      <c r="GF65" s="121"/>
      <c r="GG65" s="121"/>
      <c r="GH65" s="121"/>
    </row>
    <row r="66" spans="1:190">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1"/>
      <c r="BG66" s="121"/>
      <c r="BH66" s="121"/>
      <c r="BI66" s="121"/>
      <c r="BJ66" s="121"/>
      <c r="BK66" s="121"/>
      <c r="BL66" s="121"/>
      <c r="BM66" s="121"/>
      <c r="BN66" s="121"/>
      <c r="BO66" s="121"/>
      <c r="BP66" s="121"/>
      <c r="BQ66" s="121"/>
      <c r="BR66" s="121"/>
      <c r="BS66" s="121"/>
      <c r="BT66" s="121"/>
      <c r="BU66" s="121"/>
      <c r="BV66" s="121"/>
      <c r="BW66" s="121"/>
      <c r="BX66" s="121"/>
      <c r="BY66" s="121"/>
      <c r="BZ66" s="121"/>
      <c r="CA66" s="121"/>
      <c r="CB66" s="121"/>
      <c r="CC66" s="121"/>
      <c r="CD66" s="121"/>
      <c r="CE66" s="121"/>
      <c r="CF66" s="121"/>
      <c r="CG66" s="121"/>
      <c r="CH66" s="121"/>
      <c r="CI66" s="121"/>
      <c r="CJ66" s="121"/>
      <c r="CK66" s="121"/>
      <c r="CL66" s="121"/>
      <c r="CM66" s="121"/>
      <c r="CN66" s="121"/>
      <c r="CO66" s="121"/>
      <c r="CP66" s="121"/>
      <c r="CQ66" s="121"/>
      <c r="CR66" s="121"/>
      <c r="CS66" s="121"/>
      <c r="CT66" s="121"/>
      <c r="CU66" s="121"/>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X66" s="121"/>
      <c r="FY66" s="121"/>
      <c r="FZ66" s="121"/>
      <c r="GA66" s="121"/>
      <c r="GB66" s="121"/>
      <c r="GC66" s="121"/>
      <c r="GD66" s="121"/>
      <c r="GE66" s="121"/>
      <c r="GF66" s="121"/>
      <c r="GG66" s="121"/>
      <c r="GH66" s="121"/>
    </row>
    <row r="67" spans="1:190">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c r="CT67" s="121"/>
      <c r="CU67" s="121"/>
      <c r="CV67" s="121"/>
      <c r="CW67" s="121"/>
      <c r="CX67" s="121"/>
      <c r="CY67" s="121"/>
      <c r="CZ67" s="121"/>
      <c r="DA67" s="121"/>
      <c r="DB67" s="121"/>
      <c r="DC67" s="121"/>
      <c r="DD67" s="121"/>
      <c r="DE67" s="121"/>
      <c r="DF67" s="121"/>
      <c r="DG67" s="121"/>
      <c r="DH67" s="121"/>
      <c r="DI67" s="121"/>
      <c r="DJ67" s="121"/>
      <c r="DK67" s="121"/>
      <c r="DL67" s="121"/>
      <c r="DM67" s="121"/>
      <c r="DN67" s="121"/>
      <c r="DO67" s="121"/>
      <c r="DP67" s="121"/>
      <c r="DQ67" s="121"/>
      <c r="DR67" s="121"/>
      <c r="DS67" s="121"/>
      <c r="DT67" s="121"/>
      <c r="DU67" s="121"/>
      <c r="DV67" s="121"/>
      <c r="DW67" s="121"/>
      <c r="DX67" s="121"/>
      <c r="DY67" s="121"/>
      <c r="DZ67" s="121"/>
      <c r="EA67" s="121"/>
      <c r="EB67" s="121"/>
      <c r="EC67" s="121"/>
      <c r="ED67" s="121"/>
      <c r="EE67" s="121"/>
      <c r="EF67" s="121"/>
      <c r="EG67" s="121"/>
      <c r="EH67" s="121"/>
      <c r="EI67" s="121"/>
      <c r="EJ67" s="121"/>
      <c r="EK67" s="121"/>
      <c r="EL67" s="121"/>
      <c r="EM67" s="121"/>
      <c r="EN67" s="121"/>
      <c r="EO67" s="121"/>
      <c r="EP67" s="121"/>
      <c r="EQ67" s="121"/>
      <c r="ER67" s="121"/>
      <c r="ES67" s="121"/>
      <c r="ET67" s="121"/>
      <c r="EU67" s="121"/>
      <c r="EV67" s="121"/>
      <c r="EW67" s="121"/>
      <c r="EX67" s="121"/>
      <c r="EY67" s="121"/>
      <c r="EZ67" s="121"/>
      <c r="FA67" s="121"/>
      <c r="FB67" s="121"/>
      <c r="FC67" s="121"/>
      <c r="FD67" s="121"/>
      <c r="FE67" s="121"/>
      <c r="FF67" s="121"/>
      <c r="FG67" s="121"/>
      <c r="FH67" s="121"/>
      <c r="FI67" s="121"/>
      <c r="FJ67" s="121"/>
      <c r="FK67" s="121"/>
      <c r="FL67" s="121"/>
      <c r="FM67" s="121"/>
      <c r="FN67" s="121"/>
      <c r="FO67" s="121"/>
      <c r="FP67" s="121"/>
      <c r="FQ67" s="121"/>
      <c r="FR67" s="121"/>
      <c r="FS67" s="121"/>
      <c r="FT67" s="121"/>
      <c r="FU67" s="121"/>
      <c r="FV67" s="121"/>
      <c r="FW67" s="121"/>
      <c r="FX67" s="121"/>
      <c r="FY67" s="121"/>
      <c r="FZ67" s="121"/>
      <c r="GA67" s="121"/>
      <c r="GB67" s="121"/>
      <c r="GC67" s="121"/>
      <c r="GD67" s="121"/>
      <c r="GE67" s="121"/>
      <c r="GF67" s="121"/>
      <c r="GG67" s="121"/>
      <c r="GH67" s="121"/>
    </row>
    <row r="68" spans="1:190">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c r="BO68" s="121"/>
      <c r="BP68" s="121"/>
      <c r="BQ68" s="121"/>
      <c r="BR68" s="121"/>
      <c r="BS68" s="121"/>
      <c r="BT68" s="121"/>
      <c r="BU68" s="121"/>
      <c r="BV68" s="121"/>
      <c r="BW68" s="121"/>
      <c r="BX68" s="121"/>
      <c r="BY68" s="121"/>
      <c r="BZ68" s="121"/>
      <c r="CA68" s="121"/>
      <c r="CB68" s="121"/>
      <c r="CC68" s="121"/>
      <c r="CD68" s="121"/>
      <c r="CE68" s="121"/>
      <c r="CF68" s="121"/>
      <c r="CG68" s="121"/>
      <c r="CH68" s="121"/>
      <c r="CI68" s="121"/>
      <c r="CJ68" s="121"/>
      <c r="CK68" s="121"/>
      <c r="CL68" s="121"/>
      <c r="CM68" s="121"/>
      <c r="CN68" s="121"/>
      <c r="CO68" s="121"/>
      <c r="CP68" s="121"/>
      <c r="CQ68" s="121"/>
      <c r="CR68" s="121"/>
      <c r="CS68" s="121"/>
      <c r="CT68" s="121"/>
      <c r="CU68" s="121"/>
      <c r="CV68" s="121"/>
      <c r="CW68" s="121"/>
      <c r="CX68" s="121"/>
      <c r="CY68" s="121"/>
      <c r="CZ68" s="121"/>
      <c r="DA68" s="121"/>
      <c r="DB68" s="121"/>
      <c r="DC68" s="121"/>
      <c r="DD68" s="121"/>
      <c r="DE68" s="121"/>
      <c r="DF68" s="121"/>
      <c r="DG68" s="121"/>
      <c r="DH68" s="121"/>
      <c r="DI68" s="121"/>
      <c r="DJ68" s="121"/>
      <c r="DK68" s="121"/>
      <c r="DL68" s="121"/>
      <c r="DM68" s="121"/>
      <c r="DN68" s="121"/>
      <c r="DO68" s="121"/>
      <c r="DP68" s="121"/>
      <c r="DQ68" s="121"/>
      <c r="DR68" s="121"/>
      <c r="DS68" s="121"/>
      <c r="DT68" s="121"/>
      <c r="DU68" s="121"/>
      <c r="DV68" s="121"/>
      <c r="DW68" s="121"/>
      <c r="DX68" s="121"/>
      <c r="DY68" s="121"/>
      <c r="DZ68" s="121"/>
      <c r="EA68" s="121"/>
      <c r="EB68" s="121"/>
      <c r="EC68" s="121"/>
      <c r="ED68" s="121"/>
      <c r="EE68" s="121"/>
      <c r="EF68" s="121"/>
      <c r="EG68" s="121"/>
      <c r="EH68" s="121"/>
      <c r="EI68" s="121"/>
      <c r="EJ68" s="121"/>
      <c r="EK68" s="121"/>
      <c r="EL68" s="121"/>
      <c r="EM68" s="121"/>
      <c r="EN68" s="121"/>
      <c r="EO68" s="121"/>
      <c r="EP68" s="121"/>
      <c r="EQ68" s="121"/>
      <c r="ER68" s="121"/>
      <c r="ES68" s="121"/>
      <c r="ET68" s="121"/>
      <c r="EU68" s="121"/>
      <c r="EV68" s="121"/>
      <c r="EW68" s="121"/>
      <c r="EX68" s="121"/>
      <c r="EY68" s="121"/>
      <c r="EZ68" s="121"/>
      <c r="FA68" s="121"/>
      <c r="FB68" s="121"/>
      <c r="FC68" s="121"/>
      <c r="FD68" s="121"/>
      <c r="FE68" s="121"/>
      <c r="FF68" s="121"/>
      <c r="FG68" s="121"/>
      <c r="FH68" s="121"/>
      <c r="FI68" s="121"/>
      <c r="FJ68" s="121"/>
      <c r="FK68" s="121"/>
      <c r="FL68" s="121"/>
      <c r="FM68" s="121"/>
      <c r="FN68" s="121"/>
      <c r="FO68" s="121"/>
      <c r="FP68" s="121"/>
      <c r="FQ68" s="121"/>
      <c r="FR68" s="121"/>
      <c r="FS68" s="121"/>
      <c r="FT68" s="121"/>
      <c r="FU68" s="121"/>
      <c r="FV68" s="121"/>
      <c r="FW68" s="121"/>
      <c r="FX68" s="121"/>
      <c r="FY68" s="121"/>
      <c r="FZ68" s="121"/>
      <c r="GA68" s="121"/>
      <c r="GB68" s="121"/>
      <c r="GC68" s="121"/>
      <c r="GD68" s="121"/>
      <c r="GE68" s="121"/>
      <c r="GF68" s="121"/>
      <c r="GG68" s="121"/>
      <c r="GH68" s="121"/>
    </row>
    <row r="69" spans="1:190">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O69" s="121"/>
      <c r="BP69" s="121"/>
      <c r="BQ69" s="121"/>
      <c r="BR69" s="121"/>
      <c r="BS69" s="121"/>
      <c r="BT69" s="121"/>
      <c r="BU69" s="121"/>
      <c r="BV69" s="121"/>
      <c r="BW69" s="121"/>
      <c r="BX69" s="121"/>
      <c r="BY69" s="121"/>
      <c r="BZ69" s="121"/>
      <c r="CA69" s="121"/>
      <c r="CB69" s="121"/>
      <c r="CC69" s="121"/>
      <c r="CD69" s="121"/>
      <c r="CE69" s="121"/>
      <c r="CF69" s="121"/>
      <c r="CG69" s="121"/>
      <c r="CH69" s="121"/>
      <c r="CI69" s="121"/>
      <c r="CJ69" s="121"/>
      <c r="CK69" s="121"/>
      <c r="CL69" s="121"/>
      <c r="CM69" s="121"/>
      <c r="CN69" s="121"/>
      <c r="CO69" s="121"/>
      <c r="CP69" s="121"/>
      <c r="CQ69" s="121"/>
      <c r="CR69" s="121"/>
      <c r="CS69" s="121"/>
      <c r="CT69" s="121"/>
      <c r="CU69" s="121"/>
      <c r="CV69" s="121"/>
      <c r="CW69" s="121"/>
      <c r="CX69" s="121"/>
      <c r="CY69" s="121"/>
      <c r="CZ69" s="121"/>
      <c r="DA69" s="121"/>
      <c r="DB69" s="121"/>
      <c r="DC69" s="121"/>
      <c r="DD69" s="121"/>
      <c r="DE69" s="121"/>
      <c r="DF69" s="121"/>
      <c r="DG69" s="121"/>
      <c r="DH69" s="121"/>
      <c r="DI69" s="121"/>
      <c r="DJ69" s="121"/>
      <c r="DK69" s="121"/>
      <c r="DL69" s="121"/>
      <c r="DM69" s="121"/>
      <c r="DN69" s="121"/>
      <c r="DO69" s="121"/>
      <c r="DP69" s="121"/>
      <c r="DQ69" s="121"/>
      <c r="DR69" s="121"/>
      <c r="DS69" s="121"/>
      <c r="DT69" s="121"/>
      <c r="DU69" s="121"/>
      <c r="DV69" s="121"/>
      <c r="DW69" s="121"/>
      <c r="DX69" s="121"/>
      <c r="DY69" s="121"/>
      <c r="DZ69" s="121"/>
      <c r="EA69" s="121"/>
      <c r="EB69" s="121"/>
      <c r="EC69" s="121"/>
      <c r="ED69" s="121"/>
      <c r="EE69" s="121"/>
      <c r="EF69" s="121"/>
      <c r="EG69" s="121"/>
      <c r="EH69" s="121"/>
      <c r="EI69" s="121"/>
      <c r="EJ69" s="121"/>
      <c r="EK69" s="121"/>
      <c r="EL69" s="121"/>
      <c r="EM69" s="121"/>
      <c r="EN69" s="121"/>
      <c r="EO69" s="121"/>
      <c r="EP69" s="121"/>
      <c r="EQ69" s="121"/>
      <c r="ER69" s="121"/>
      <c r="ES69" s="121"/>
      <c r="ET69" s="121"/>
      <c r="EU69" s="121"/>
      <c r="EV69" s="121"/>
      <c r="EW69" s="121"/>
      <c r="EX69" s="121"/>
      <c r="EY69" s="121"/>
      <c r="EZ69" s="121"/>
      <c r="FA69" s="121"/>
      <c r="FB69" s="121"/>
      <c r="FC69" s="121"/>
      <c r="FD69" s="121"/>
      <c r="FE69" s="121"/>
      <c r="FF69" s="121"/>
      <c r="FG69" s="121"/>
      <c r="FH69" s="121"/>
      <c r="FI69" s="121"/>
      <c r="FJ69" s="121"/>
      <c r="FK69" s="121"/>
      <c r="FL69" s="121"/>
      <c r="FM69" s="121"/>
      <c r="FN69" s="121"/>
      <c r="FO69" s="121"/>
      <c r="FP69" s="121"/>
      <c r="FQ69" s="121"/>
      <c r="FR69" s="121"/>
      <c r="FS69" s="121"/>
      <c r="FT69" s="121"/>
      <c r="FU69" s="121"/>
      <c r="FV69" s="121"/>
      <c r="FW69" s="121"/>
      <c r="FX69" s="121"/>
      <c r="FY69" s="121"/>
      <c r="FZ69" s="121"/>
      <c r="GA69" s="121"/>
      <c r="GB69" s="121"/>
      <c r="GC69" s="121"/>
      <c r="GD69" s="121"/>
      <c r="GE69" s="121"/>
      <c r="GF69" s="121"/>
      <c r="GG69" s="121"/>
      <c r="GH69" s="121"/>
    </row>
    <row r="70" spans="1:190">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c r="BO70" s="121"/>
      <c r="BP70" s="121"/>
      <c r="BQ70" s="121"/>
      <c r="BR70" s="121"/>
      <c r="BS70" s="121"/>
      <c r="BT70" s="121"/>
      <c r="BU70" s="121"/>
      <c r="BV70" s="121"/>
      <c r="BW70" s="121"/>
      <c r="BX70" s="121"/>
      <c r="BY70" s="121"/>
      <c r="BZ70" s="121"/>
      <c r="CA70" s="121"/>
      <c r="CB70" s="121"/>
      <c r="CC70" s="121"/>
      <c r="CD70" s="121"/>
      <c r="CE70" s="121"/>
      <c r="CF70" s="121"/>
      <c r="CG70" s="121"/>
      <c r="CH70" s="121"/>
      <c r="CI70" s="121"/>
      <c r="CJ70" s="121"/>
      <c r="CK70" s="121"/>
      <c r="CL70" s="121"/>
      <c r="CM70" s="121"/>
      <c r="CN70" s="121"/>
      <c r="CO70" s="121"/>
      <c r="CP70" s="121"/>
      <c r="CQ70" s="121"/>
      <c r="CR70" s="121"/>
      <c r="CS70" s="121"/>
      <c r="CT70" s="121"/>
      <c r="CU70" s="121"/>
      <c r="CV70" s="121"/>
      <c r="CW70" s="121"/>
      <c r="CX70" s="121"/>
      <c r="CY70" s="121"/>
      <c r="CZ70" s="121"/>
      <c r="DA70" s="121"/>
      <c r="DB70" s="121"/>
      <c r="DC70" s="121"/>
      <c r="DD70" s="121"/>
      <c r="DE70" s="121"/>
      <c r="DF70" s="121"/>
      <c r="DG70" s="121"/>
      <c r="DH70" s="121"/>
      <c r="DI70" s="121"/>
      <c r="DJ70" s="121"/>
      <c r="DK70" s="121"/>
      <c r="DL70" s="121"/>
      <c r="DM70" s="121"/>
      <c r="DN70" s="121"/>
      <c r="DO70" s="121"/>
      <c r="DP70" s="121"/>
      <c r="DQ70" s="121"/>
      <c r="DR70" s="121"/>
      <c r="DS70" s="121"/>
      <c r="DT70" s="121"/>
      <c r="DU70" s="121"/>
      <c r="DV70" s="121"/>
      <c r="DW70" s="121"/>
      <c r="DX70" s="121"/>
      <c r="DY70" s="121"/>
      <c r="DZ70" s="121"/>
      <c r="EA70" s="121"/>
      <c r="EB70" s="121"/>
      <c r="EC70" s="121"/>
      <c r="ED70" s="121"/>
      <c r="EE70" s="121"/>
      <c r="EF70" s="121"/>
      <c r="EG70" s="121"/>
      <c r="EH70" s="121"/>
      <c r="EI70" s="121"/>
      <c r="EJ70" s="121"/>
      <c r="EK70" s="121"/>
      <c r="EL70" s="121"/>
      <c r="EM70" s="121"/>
      <c r="EN70" s="121"/>
      <c r="EO70" s="121"/>
      <c r="EP70" s="121"/>
      <c r="EQ70" s="121"/>
      <c r="ER70" s="121"/>
      <c r="ES70" s="121"/>
      <c r="ET70" s="121"/>
      <c r="EU70" s="121"/>
      <c r="EV70" s="121"/>
      <c r="EW70" s="121"/>
      <c r="EX70" s="121"/>
      <c r="EY70" s="121"/>
      <c r="EZ70" s="121"/>
      <c r="FA70" s="121"/>
      <c r="FB70" s="121"/>
      <c r="FC70" s="121"/>
      <c r="FD70" s="121"/>
      <c r="FE70" s="121"/>
      <c r="FF70" s="121"/>
      <c r="FG70" s="121"/>
      <c r="FH70" s="121"/>
      <c r="FI70" s="121"/>
      <c r="FJ70" s="121"/>
      <c r="FK70" s="121"/>
      <c r="FL70" s="121"/>
      <c r="FM70" s="121"/>
      <c r="FN70" s="121"/>
      <c r="FO70" s="121"/>
      <c r="FP70" s="121"/>
      <c r="FQ70" s="121"/>
      <c r="FR70" s="121"/>
      <c r="FS70" s="121"/>
      <c r="FT70" s="121"/>
      <c r="FU70" s="121"/>
      <c r="FV70" s="121"/>
      <c r="FW70" s="121"/>
      <c r="FX70" s="121"/>
      <c r="FY70" s="121"/>
      <c r="FZ70" s="121"/>
      <c r="GA70" s="121"/>
      <c r="GB70" s="121"/>
      <c r="GC70" s="121"/>
      <c r="GD70" s="121"/>
      <c r="GE70" s="121"/>
      <c r="GF70" s="121"/>
      <c r="GG70" s="121"/>
      <c r="GH70" s="121"/>
    </row>
    <row r="71" spans="1:190">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c r="BO71" s="121"/>
      <c r="BP71" s="121"/>
      <c r="BQ71" s="121"/>
      <c r="BR71" s="121"/>
      <c r="BS71" s="121"/>
      <c r="BT71" s="121"/>
      <c r="BU71" s="121"/>
      <c r="BV71" s="121"/>
      <c r="BW71" s="121"/>
      <c r="BX71" s="121"/>
      <c r="BY71" s="121"/>
      <c r="BZ71" s="121"/>
      <c r="CA71" s="121"/>
      <c r="CB71" s="121"/>
      <c r="CC71" s="121"/>
      <c r="CD71" s="121"/>
      <c r="CE71" s="121"/>
      <c r="CF71" s="121"/>
      <c r="CG71" s="121"/>
      <c r="CH71" s="121"/>
      <c r="CI71" s="121"/>
      <c r="CJ71" s="121"/>
      <c r="CK71" s="121"/>
      <c r="CL71" s="121"/>
      <c r="CM71" s="121"/>
      <c r="CN71" s="121"/>
      <c r="CO71" s="121"/>
      <c r="CP71" s="121"/>
      <c r="CQ71" s="121"/>
      <c r="CR71" s="121"/>
      <c r="CS71" s="121"/>
      <c r="CT71" s="121"/>
      <c r="CU71" s="121"/>
      <c r="CV71" s="121"/>
      <c r="CW71" s="121"/>
      <c r="CX71" s="121"/>
      <c r="CY71" s="121"/>
      <c r="CZ71" s="121"/>
      <c r="DA71" s="121"/>
      <c r="DB71" s="121"/>
      <c r="DC71" s="121"/>
      <c r="DD71" s="121"/>
      <c r="DE71" s="121"/>
      <c r="DF71" s="121"/>
      <c r="DG71" s="121"/>
      <c r="DH71" s="121"/>
      <c r="DI71" s="121"/>
      <c r="DJ71" s="121"/>
      <c r="DK71" s="121"/>
      <c r="DL71" s="121"/>
      <c r="DM71" s="121"/>
      <c r="DN71" s="121"/>
      <c r="DO71" s="121"/>
      <c r="DP71" s="121"/>
      <c r="DQ71" s="121"/>
      <c r="DR71" s="121"/>
      <c r="DS71" s="121"/>
      <c r="DT71" s="121"/>
      <c r="DU71" s="121"/>
      <c r="DV71" s="121"/>
      <c r="DW71" s="121"/>
      <c r="DX71" s="121"/>
      <c r="DY71" s="121"/>
      <c r="DZ71" s="121"/>
      <c r="EA71" s="121"/>
      <c r="EB71" s="121"/>
      <c r="EC71" s="121"/>
      <c r="ED71" s="121"/>
      <c r="EE71" s="121"/>
      <c r="EF71" s="121"/>
      <c r="EG71" s="121"/>
      <c r="EH71" s="121"/>
      <c r="EI71" s="121"/>
      <c r="EJ71" s="121"/>
      <c r="EK71" s="121"/>
      <c r="EL71" s="121"/>
      <c r="EM71" s="121"/>
      <c r="EN71" s="121"/>
      <c r="EO71" s="121"/>
      <c r="EP71" s="121"/>
      <c r="EQ71" s="121"/>
      <c r="ER71" s="121"/>
      <c r="ES71" s="121"/>
      <c r="ET71" s="121"/>
      <c r="EU71" s="121"/>
      <c r="EV71" s="121"/>
      <c r="EW71" s="121"/>
      <c r="EX71" s="121"/>
      <c r="EY71" s="121"/>
      <c r="EZ71" s="121"/>
      <c r="FA71" s="121"/>
      <c r="FB71" s="121"/>
      <c r="FC71" s="121"/>
      <c r="FD71" s="121"/>
      <c r="FE71" s="121"/>
      <c r="FF71" s="121"/>
      <c r="FG71" s="121"/>
      <c r="FH71" s="121"/>
      <c r="FI71" s="121"/>
      <c r="FJ71" s="121"/>
      <c r="FK71" s="121"/>
      <c r="FL71" s="121"/>
      <c r="FM71" s="121"/>
      <c r="FN71" s="121"/>
      <c r="FO71" s="121"/>
      <c r="FP71" s="121"/>
      <c r="FQ71" s="121"/>
      <c r="FR71" s="121"/>
      <c r="FS71" s="121"/>
      <c r="FT71" s="121"/>
      <c r="FU71" s="121"/>
      <c r="FV71" s="121"/>
      <c r="FW71" s="121"/>
      <c r="FX71" s="121"/>
      <c r="FY71" s="121"/>
      <c r="FZ71" s="121"/>
      <c r="GA71" s="121"/>
      <c r="GB71" s="121"/>
      <c r="GC71" s="121"/>
      <c r="GD71" s="121"/>
      <c r="GE71" s="121"/>
      <c r="GF71" s="121"/>
      <c r="GG71" s="121"/>
      <c r="GH71" s="121"/>
    </row>
    <row r="72" spans="1:190">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c r="BJ72" s="121"/>
      <c r="BK72" s="121"/>
      <c r="BL72" s="121"/>
      <c r="BM72" s="121"/>
      <c r="BN72" s="121"/>
      <c r="BO72" s="121"/>
      <c r="BP72" s="121"/>
      <c r="BQ72" s="121"/>
      <c r="BR72" s="121"/>
      <c r="BS72" s="121"/>
      <c r="BT72" s="121"/>
      <c r="BU72" s="121"/>
      <c r="BV72" s="121"/>
      <c r="BW72" s="121"/>
      <c r="BX72" s="121"/>
      <c r="BY72" s="121"/>
      <c r="BZ72" s="121"/>
      <c r="CA72" s="121"/>
      <c r="CB72" s="121"/>
      <c r="CC72" s="121"/>
      <c r="CD72" s="121"/>
      <c r="CE72" s="121"/>
      <c r="CF72" s="121"/>
      <c r="CG72" s="121"/>
      <c r="CH72" s="121"/>
      <c r="CI72" s="121"/>
      <c r="CJ72" s="121"/>
      <c r="CK72" s="121"/>
      <c r="CL72" s="121"/>
      <c r="CM72" s="121"/>
      <c r="CN72" s="121"/>
      <c r="CO72" s="121"/>
      <c r="CP72" s="121"/>
      <c r="CQ72" s="121"/>
      <c r="CR72" s="121"/>
      <c r="CS72" s="121"/>
      <c r="CT72" s="121"/>
      <c r="CU72" s="121"/>
      <c r="CV72" s="121"/>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X72" s="121"/>
      <c r="FY72" s="121"/>
      <c r="FZ72" s="121"/>
      <c r="GA72" s="121"/>
      <c r="GB72" s="121"/>
      <c r="GC72" s="121"/>
      <c r="GD72" s="121"/>
      <c r="GE72" s="121"/>
      <c r="GF72" s="121"/>
      <c r="GG72" s="121"/>
      <c r="GH72" s="121"/>
    </row>
    <row r="73" spans="1:190">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1"/>
      <c r="BN73" s="121"/>
      <c r="BO73" s="121"/>
      <c r="BP73" s="121"/>
      <c r="BQ73" s="121"/>
      <c r="BR73" s="121"/>
      <c r="BS73" s="121"/>
      <c r="BT73" s="121"/>
      <c r="BU73" s="121"/>
      <c r="BV73" s="121"/>
      <c r="BW73" s="121"/>
      <c r="BX73" s="121"/>
      <c r="BY73" s="121"/>
      <c r="BZ73" s="121"/>
      <c r="CA73" s="121"/>
      <c r="CB73" s="121"/>
      <c r="CC73" s="121"/>
      <c r="CD73" s="121"/>
      <c r="CE73" s="121"/>
      <c r="CF73" s="121"/>
      <c r="CG73" s="121"/>
      <c r="CH73" s="121"/>
      <c r="CI73" s="121"/>
      <c r="CJ73" s="121"/>
      <c r="CK73" s="121"/>
      <c r="CL73" s="121"/>
      <c r="CM73" s="121"/>
      <c r="CN73" s="121"/>
      <c r="CO73" s="121"/>
      <c r="CP73" s="121"/>
      <c r="CQ73" s="121"/>
      <c r="CR73" s="121"/>
      <c r="CS73" s="121"/>
      <c r="CT73" s="121"/>
      <c r="CU73" s="121"/>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X73" s="121"/>
      <c r="FY73" s="121"/>
      <c r="FZ73" s="121"/>
      <c r="GA73" s="121"/>
      <c r="GB73" s="121"/>
      <c r="GC73" s="121"/>
      <c r="GD73" s="121"/>
      <c r="GE73" s="121"/>
      <c r="GF73" s="121"/>
      <c r="GG73" s="121"/>
      <c r="GH73" s="121"/>
    </row>
    <row r="74" spans="1:190">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c r="AW74" s="121"/>
      <c r="AX74" s="121"/>
      <c r="AY74" s="121"/>
      <c r="AZ74" s="121"/>
      <c r="BA74" s="121"/>
      <c r="BB74" s="121"/>
      <c r="BC74" s="121"/>
      <c r="BD74" s="121"/>
      <c r="BE74" s="121"/>
      <c r="BF74" s="121"/>
      <c r="BG74" s="121"/>
      <c r="BH74" s="121"/>
      <c r="BI74" s="121"/>
      <c r="BJ74" s="121"/>
      <c r="BK74" s="121"/>
      <c r="BL74" s="121"/>
      <c r="BM74" s="121"/>
      <c r="BN74" s="121"/>
      <c r="BO74" s="121"/>
      <c r="BP74" s="121"/>
      <c r="BQ74" s="121"/>
      <c r="BR74" s="121"/>
      <c r="BS74" s="121"/>
      <c r="BT74" s="121"/>
      <c r="BU74" s="121"/>
      <c r="BV74" s="121"/>
      <c r="BW74" s="121"/>
      <c r="BX74" s="121"/>
      <c r="BY74" s="121"/>
      <c r="BZ74" s="121"/>
      <c r="CA74" s="121"/>
      <c r="CB74" s="121"/>
      <c r="CC74" s="121"/>
      <c r="CD74" s="121"/>
      <c r="CE74" s="121"/>
      <c r="CF74" s="121"/>
      <c r="CG74" s="121"/>
      <c r="CH74" s="121"/>
      <c r="CI74" s="121"/>
      <c r="CJ74" s="121"/>
      <c r="CK74" s="121"/>
      <c r="CL74" s="121"/>
      <c r="CM74" s="121"/>
      <c r="CN74" s="121"/>
      <c r="CO74" s="121"/>
      <c r="CP74" s="121"/>
      <c r="CQ74" s="121"/>
      <c r="CR74" s="121"/>
      <c r="CS74" s="121"/>
      <c r="CT74" s="121"/>
      <c r="CU74" s="121"/>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X74" s="121"/>
      <c r="FY74" s="121"/>
      <c r="FZ74" s="121"/>
      <c r="GA74" s="121"/>
      <c r="GB74" s="121"/>
      <c r="GC74" s="121"/>
      <c r="GD74" s="121"/>
      <c r="GE74" s="121"/>
      <c r="GF74" s="121"/>
      <c r="GG74" s="121"/>
      <c r="GH74" s="121"/>
    </row>
    <row r="75" spans="1:190">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O75" s="121"/>
      <c r="BP75" s="121"/>
      <c r="BQ75" s="121"/>
      <c r="BR75" s="121"/>
      <c r="BS75" s="121"/>
      <c r="BT75" s="121"/>
      <c r="BU75" s="121"/>
      <c r="BV75" s="121"/>
      <c r="BW75" s="121"/>
      <c r="BX75" s="121"/>
      <c r="BY75" s="121"/>
      <c r="BZ75" s="121"/>
      <c r="CA75" s="121"/>
      <c r="CB75" s="121"/>
      <c r="CC75" s="121"/>
      <c r="CD75" s="121"/>
      <c r="CE75" s="121"/>
      <c r="CF75" s="121"/>
      <c r="CG75" s="121"/>
      <c r="CH75" s="121"/>
      <c r="CI75" s="121"/>
      <c r="CJ75" s="121"/>
      <c r="CK75" s="121"/>
      <c r="CL75" s="121"/>
      <c r="CM75" s="121"/>
      <c r="CN75" s="121"/>
      <c r="CO75" s="121"/>
      <c r="CP75" s="121"/>
      <c r="CQ75" s="121"/>
      <c r="CR75" s="121"/>
      <c r="CS75" s="121"/>
      <c r="CT75" s="121"/>
      <c r="CU75" s="121"/>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X75" s="121"/>
      <c r="FY75" s="121"/>
      <c r="FZ75" s="121"/>
      <c r="GA75" s="121"/>
      <c r="GB75" s="121"/>
      <c r="GC75" s="121"/>
      <c r="GD75" s="121"/>
      <c r="GE75" s="121"/>
      <c r="GF75" s="121"/>
      <c r="GG75" s="121"/>
      <c r="GH75" s="121"/>
    </row>
    <row r="76" spans="1:190">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1"/>
      <c r="BI76" s="121"/>
      <c r="BJ76" s="121"/>
      <c r="BK76" s="121"/>
      <c r="BL76" s="121"/>
      <c r="BM76" s="121"/>
      <c r="BN76" s="121"/>
      <c r="BO76" s="121"/>
      <c r="BP76" s="121"/>
      <c r="BQ76" s="121"/>
      <c r="BR76" s="121"/>
      <c r="BS76" s="121"/>
      <c r="BT76" s="121"/>
      <c r="BU76" s="121"/>
      <c r="BV76" s="121"/>
      <c r="BW76" s="121"/>
      <c r="BX76" s="121"/>
      <c r="BY76" s="121"/>
      <c r="BZ76" s="121"/>
      <c r="CA76" s="121"/>
      <c r="CB76" s="121"/>
      <c r="CC76" s="121"/>
      <c r="CD76" s="121"/>
      <c r="CE76" s="121"/>
      <c r="CF76" s="121"/>
      <c r="CG76" s="121"/>
      <c r="CH76" s="121"/>
      <c r="CI76" s="121"/>
      <c r="CJ76" s="121"/>
      <c r="CK76" s="121"/>
      <c r="CL76" s="121"/>
      <c r="CM76" s="121"/>
      <c r="CN76" s="121"/>
      <c r="CO76" s="121"/>
      <c r="CP76" s="121"/>
      <c r="CQ76" s="121"/>
      <c r="CR76" s="121"/>
      <c r="CS76" s="121"/>
      <c r="CT76" s="121"/>
      <c r="CU76" s="121"/>
      <c r="CV76" s="121"/>
      <c r="CW76" s="121"/>
      <c r="CX76" s="121"/>
      <c r="CY76" s="121"/>
      <c r="CZ76" s="121"/>
      <c r="DA76" s="121"/>
      <c r="DB76" s="121"/>
      <c r="DC76" s="121"/>
      <c r="DD76" s="121"/>
      <c r="DE76" s="121"/>
      <c r="DF76" s="121"/>
      <c r="DG76" s="121"/>
      <c r="DH76" s="121"/>
      <c r="DI76" s="121"/>
      <c r="DJ76" s="121"/>
      <c r="DK76" s="121"/>
      <c r="DL76" s="121"/>
      <c r="DM76" s="121"/>
      <c r="DN76" s="121"/>
      <c r="DO76" s="121"/>
      <c r="DP76" s="121"/>
      <c r="DQ76" s="121"/>
      <c r="DR76" s="121"/>
      <c r="DS76" s="121"/>
      <c r="DT76" s="121"/>
      <c r="DU76" s="121"/>
      <c r="DV76" s="121"/>
      <c r="DW76" s="121"/>
      <c r="DX76" s="121"/>
      <c r="DY76" s="121"/>
      <c r="DZ76" s="121"/>
      <c r="EA76" s="121"/>
      <c r="EB76" s="121"/>
      <c r="EC76" s="121"/>
      <c r="ED76" s="121"/>
      <c r="EE76" s="121"/>
      <c r="EF76" s="121"/>
      <c r="EG76" s="121"/>
      <c r="EH76" s="121"/>
      <c r="EI76" s="121"/>
      <c r="EJ76" s="121"/>
      <c r="EK76" s="121"/>
      <c r="EL76" s="121"/>
      <c r="EM76" s="121"/>
      <c r="EN76" s="121"/>
      <c r="EO76" s="121"/>
      <c r="EP76" s="121"/>
      <c r="EQ76" s="121"/>
      <c r="ER76" s="121"/>
      <c r="ES76" s="121"/>
      <c r="ET76" s="121"/>
      <c r="EU76" s="121"/>
      <c r="EV76" s="121"/>
      <c r="EW76" s="121"/>
      <c r="EX76" s="121"/>
      <c r="EY76" s="121"/>
      <c r="EZ76" s="121"/>
      <c r="FA76" s="121"/>
      <c r="FB76" s="121"/>
      <c r="FC76" s="121"/>
      <c r="FD76" s="121"/>
      <c r="FE76" s="121"/>
      <c r="FF76" s="121"/>
      <c r="FG76" s="121"/>
      <c r="FH76" s="121"/>
      <c r="FI76" s="121"/>
      <c r="FJ76" s="121"/>
      <c r="FK76" s="121"/>
      <c r="FL76" s="121"/>
      <c r="FM76" s="121"/>
      <c r="FN76" s="121"/>
      <c r="FO76" s="121"/>
      <c r="FP76" s="121"/>
      <c r="FQ76" s="121"/>
      <c r="FR76" s="121"/>
      <c r="FS76" s="121"/>
      <c r="FT76" s="121"/>
      <c r="FU76" s="121"/>
      <c r="FV76" s="121"/>
      <c r="FW76" s="121"/>
      <c r="FX76" s="121"/>
      <c r="FY76" s="121"/>
      <c r="FZ76" s="121"/>
      <c r="GA76" s="121"/>
      <c r="GB76" s="121"/>
      <c r="GC76" s="121"/>
      <c r="GD76" s="121"/>
      <c r="GE76" s="121"/>
      <c r="GF76" s="121"/>
      <c r="GG76" s="121"/>
      <c r="GH76" s="121"/>
    </row>
    <row r="77" spans="1:190">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c r="BJ77" s="121"/>
      <c r="BK77" s="121"/>
      <c r="BL77" s="121"/>
      <c r="BM77" s="121"/>
      <c r="BN77" s="121"/>
      <c r="BO77" s="121"/>
      <c r="BP77" s="121"/>
      <c r="BQ77" s="121"/>
      <c r="BR77" s="121"/>
      <c r="BS77" s="121"/>
      <c r="BT77" s="121"/>
      <c r="BU77" s="121"/>
      <c r="BV77" s="121"/>
      <c r="BW77" s="121"/>
      <c r="BX77" s="121"/>
      <c r="BY77" s="121"/>
      <c r="BZ77" s="121"/>
      <c r="CA77" s="121"/>
      <c r="CB77" s="121"/>
      <c r="CC77" s="121"/>
      <c r="CD77" s="121"/>
      <c r="CE77" s="121"/>
      <c r="CF77" s="121"/>
      <c r="CG77" s="121"/>
      <c r="CH77" s="121"/>
      <c r="CI77" s="121"/>
      <c r="CJ77" s="121"/>
      <c r="CK77" s="121"/>
      <c r="CL77" s="121"/>
      <c r="CM77" s="121"/>
      <c r="CN77" s="121"/>
      <c r="CO77" s="121"/>
      <c r="CP77" s="121"/>
      <c r="CQ77" s="121"/>
      <c r="CR77" s="121"/>
      <c r="CS77" s="121"/>
      <c r="CT77" s="121"/>
      <c r="CU77" s="121"/>
      <c r="CV77" s="121"/>
      <c r="CW77" s="121"/>
      <c r="CX77" s="121"/>
      <c r="CY77" s="121"/>
      <c r="CZ77" s="121"/>
      <c r="DA77" s="121"/>
      <c r="DB77" s="121"/>
      <c r="DC77" s="121"/>
      <c r="DD77" s="121"/>
      <c r="DE77" s="121"/>
      <c r="DF77" s="121"/>
      <c r="DG77" s="121"/>
      <c r="DH77" s="121"/>
      <c r="DI77" s="121"/>
      <c r="DJ77" s="121"/>
      <c r="DK77" s="121"/>
      <c r="DL77" s="121"/>
      <c r="DM77" s="121"/>
      <c r="DN77" s="121"/>
      <c r="DO77" s="121"/>
      <c r="DP77" s="121"/>
      <c r="DQ77" s="121"/>
      <c r="DR77" s="121"/>
      <c r="DS77" s="121"/>
      <c r="DT77" s="121"/>
      <c r="DU77" s="121"/>
      <c r="DV77" s="121"/>
      <c r="DW77" s="121"/>
      <c r="DX77" s="121"/>
      <c r="DY77" s="121"/>
      <c r="DZ77" s="121"/>
      <c r="EA77" s="121"/>
      <c r="EB77" s="121"/>
      <c r="EC77" s="121"/>
      <c r="ED77" s="121"/>
      <c r="EE77" s="121"/>
      <c r="EF77" s="121"/>
      <c r="EG77" s="121"/>
      <c r="EH77" s="121"/>
      <c r="EI77" s="121"/>
      <c r="EJ77" s="121"/>
      <c r="EK77" s="121"/>
      <c r="EL77" s="121"/>
      <c r="EM77" s="121"/>
      <c r="EN77" s="121"/>
      <c r="EO77" s="121"/>
      <c r="EP77" s="121"/>
      <c r="EQ77" s="121"/>
      <c r="ER77" s="121"/>
      <c r="ES77" s="121"/>
      <c r="ET77" s="121"/>
      <c r="EU77" s="121"/>
      <c r="EV77" s="121"/>
      <c r="EW77" s="121"/>
      <c r="EX77" s="121"/>
      <c r="EY77" s="121"/>
      <c r="EZ77" s="121"/>
      <c r="FA77" s="121"/>
      <c r="FB77" s="121"/>
      <c r="FC77" s="121"/>
      <c r="FD77" s="121"/>
      <c r="FE77" s="121"/>
      <c r="FF77" s="121"/>
      <c r="FG77" s="121"/>
      <c r="FH77" s="121"/>
      <c r="FI77" s="121"/>
      <c r="FJ77" s="121"/>
      <c r="FK77" s="121"/>
      <c r="FL77" s="121"/>
      <c r="FM77" s="121"/>
      <c r="FN77" s="121"/>
      <c r="FO77" s="121"/>
      <c r="FP77" s="121"/>
      <c r="FQ77" s="121"/>
      <c r="FR77" s="121"/>
      <c r="FS77" s="121"/>
      <c r="FT77" s="121"/>
      <c r="FU77" s="121"/>
      <c r="FV77" s="121"/>
      <c r="FW77" s="121"/>
      <c r="FX77" s="121"/>
      <c r="FY77" s="121"/>
      <c r="FZ77" s="121"/>
      <c r="GA77" s="121"/>
      <c r="GB77" s="121"/>
      <c r="GC77" s="121"/>
      <c r="GD77" s="121"/>
      <c r="GE77" s="121"/>
      <c r="GF77" s="121"/>
      <c r="GG77" s="121"/>
      <c r="GH77" s="121"/>
    </row>
    <row r="78" spans="1:190">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c r="BJ78" s="121"/>
      <c r="BK78" s="121"/>
      <c r="BL78" s="121"/>
      <c r="BM78" s="121"/>
      <c r="BN78" s="121"/>
      <c r="BO78" s="121"/>
      <c r="BP78" s="121"/>
      <c r="BQ78" s="121"/>
      <c r="BR78" s="121"/>
      <c r="BS78" s="121"/>
      <c r="BT78" s="121"/>
      <c r="BU78" s="121"/>
      <c r="BV78" s="121"/>
      <c r="BW78" s="121"/>
      <c r="BX78" s="121"/>
      <c r="BY78" s="121"/>
      <c r="BZ78" s="121"/>
      <c r="CA78" s="121"/>
      <c r="CB78" s="121"/>
      <c r="CC78" s="121"/>
      <c r="CD78" s="121"/>
      <c r="CE78" s="121"/>
      <c r="CF78" s="121"/>
      <c r="CG78" s="121"/>
      <c r="CH78" s="121"/>
      <c r="CI78" s="121"/>
      <c r="CJ78" s="121"/>
      <c r="CK78" s="121"/>
      <c r="CL78" s="121"/>
      <c r="CM78" s="121"/>
      <c r="CN78" s="121"/>
      <c r="CO78" s="121"/>
      <c r="CP78" s="121"/>
      <c r="CQ78" s="121"/>
      <c r="CR78" s="121"/>
      <c r="CS78" s="121"/>
      <c r="CT78" s="121"/>
      <c r="CU78" s="121"/>
      <c r="CV78" s="121"/>
      <c r="CW78" s="121"/>
      <c r="CX78" s="121"/>
      <c r="CY78" s="121"/>
      <c r="CZ78" s="121"/>
      <c r="DA78" s="121"/>
      <c r="DB78" s="121"/>
      <c r="DC78" s="121"/>
      <c r="DD78" s="121"/>
      <c r="DE78" s="121"/>
      <c r="DF78" s="121"/>
      <c r="DG78" s="121"/>
      <c r="DH78" s="121"/>
      <c r="DI78" s="121"/>
      <c r="DJ78" s="121"/>
      <c r="DK78" s="121"/>
      <c r="DL78" s="121"/>
      <c r="DM78" s="121"/>
      <c r="DN78" s="121"/>
      <c r="DO78" s="121"/>
      <c r="DP78" s="121"/>
      <c r="DQ78" s="121"/>
      <c r="DR78" s="121"/>
      <c r="DS78" s="121"/>
      <c r="DT78" s="121"/>
      <c r="DU78" s="121"/>
      <c r="DV78" s="121"/>
      <c r="DW78" s="121"/>
      <c r="DX78" s="121"/>
      <c r="DY78" s="121"/>
      <c r="DZ78" s="121"/>
      <c r="EA78" s="121"/>
      <c r="EB78" s="121"/>
      <c r="EC78" s="121"/>
      <c r="ED78" s="121"/>
      <c r="EE78" s="121"/>
      <c r="EF78" s="121"/>
      <c r="EG78" s="121"/>
      <c r="EH78" s="121"/>
      <c r="EI78" s="121"/>
      <c r="EJ78" s="121"/>
      <c r="EK78" s="121"/>
      <c r="EL78" s="121"/>
      <c r="EM78" s="121"/>
      <c r="EN78" s="121"/>
      <c r="EO78" s="121"/>
      <c r="EP78" s="121"/>
      <c r="EQ78" s="121"/>
      <c r="ER78" s="121"/>
      <c r="ES78" s="121"/>
      <c r="ET78" s="121"/>
      <c r="EU78" s="121"/>
      <c r="EV78" s="121"/>
      <c r="EW78" s="121"/>
      <c r="EX78" s="121"/>
      <c r="EY78" s="121"/>
      <c r="EZ78" s="121"/>
      <c r="FA78" s="121"/>
      <c r="FB78" s="121"/>
      <c r="FC78" s="121"/>
      <c r="FD78" s="121"/>
      <c r="FE78" s="121"/>
      <c r="FF78" s="121"/>
      <c r="FG78" s="121"/>
      <c r="FH78" s="121"/>
      <c r="FI78" s="121"/>
      <c r="FJ78" s="121"/>
      <c r="FK78" s="121"/>
      <c r="FL78" s="121"/>
      <c r="FM78" s="121"/>
      <c r="FN78" s="121"/>
      <c r="FO78" s="121"/>
      <c r="FP78" s="121"/>
      <c r="FQ78" s="121"/>
      <c r="FR78" s="121"/>
      <c r="FS78" s="121"/>
      <c r="FT78" s="121"/>
      <c r="FU78" s="121"/>
      <c r="FV78" s="121"/>
      <c r="FW78" s="121"/>
      <c r="FX78" s="121"/>
      <c r="FY78" s="121"/>
      <c r="FZ78" s="121"/>
      <c r="GA78" s="121"/>
      <c r="GB78" s="121"/>
      <c r="GC78" s="121"/>
      <c r="GD78" s="121"/>
      <c r="GE78" s="121"/>
      <c r="GF78" s="121"/>
      <c r="GG78" s="121"/>
      <c r="GH78" s="121"/>
    </row>
    <row r="79" spans="1:190">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c r="AW79" s="121"/>
      <c r="AX79" s="121"/>
      <c r="AY79" s="121"/>
      <c r="AZ79" s="121"/>
      <c r="BA79" s="121"/>
      <c r="BB79" s="121"/>
      <c r="BC79" s="121"/>
      <c r="BD79" s="121"/>
      <c r="BE79" s="121"/>
      <c r="BF79" s="121"/>
      <c r="BG79" s="121"/>
      <c r="BH79" s="121"/>
      <c r="BI79" s="121"/>
      <c r="BJ79" s="121"/>
      <c r="BK79" s="121"/>
      <c r="BL79" s="121"/>
      <c r="BM79" s="121"/>
      <c r="BN79" s="121"/>
      <c r="BO79" s="121"/>
      <c r="BP79" s="121"/>
      <c r="BQ79" s="121"/>
      <c r="BR79" s="121"/>
      <c r="BS79" s="121"/>
      <c r="BT79" s="121"/>
      <c r="BU79" s="121"/>
      <c r="BV79" s="121"/>
      <c r="BW79" s="121"/>
      <c r="BX79" s="121"/>
      <c r="BY79" s="121"/>
      <c r="BZ79" s="121"/>
      <c r="CA79" s="121"/>
      <c r="CB79" s="121"/>
      <c r="CC79" s="121"/>
      <c r="CD79" s="121"/>
      <c r="CE79" s="121"/>
      <c r="CF79" s="121"/>
      <c r="CG79" s="121"/>
      <c r="CH79" s="121"/>
      <c r="CI79" s="121"/>
      <c r="CJ79" s="121"/>
      <c r="CK79" s="121"/>
      <c r="CL79" s="121"/>
      <c r="CM79" s="121"/>
      <c r="CN79" s="121"/>
      <c r="CO79" s="121"/>
      <c r="CP79" s="121"/>
      <c r="CQ79" s="121"/>
      <c r="CR79" s="121"/>
      <c r="CS79" s="121"/>
      <c r="CT79" s="121"/>
      <c r="CU79" s="121"/>
      <c r="CV79" s="121"/>
      <c r="CW79" s="121"/>
      <c r="CX79" s="121"/>
      <c r="CY79" s="121"/>
      <c r="CZ79" s="121"/>
      <c r="DA79" s="121"/>
      <c r="DB79" s="121"/>
      <c r="DC79" s="121"/>
      <c r="DD79" s="121"/>
      <c r="DE79" s="121"/>
      <c r="DF79" s="121"/>
      <c r="DG79" s="121"/>
      <c r="DH79" s="121"/>
      <c r="DI79" s="121"/>
      <c r="DJ79" s="121"/>
      <c r="DK79" s="121"/>
      <c r="DL79" s="121"/>
      <c r="DM79" s="121"/>
      <c r="DN79" s="121"/>
      <c r="DO79" s="121"/>
      <c r="DP79" s="121"/>
      <c r="DQ79" s="121"/>
      <c r="DR79" s="121"/>
      <c r="DS79" s="121"/>
      <c r="DT79" s="121"/>
      <c r="DU79" s="121"/>
      <c r="DV79" s="121"/>
      <c r="DW79" s="121"/>
      <c r="DX79" s="121"/>
      <c r="DY79" s="121"/>
      <c r="DZ79" s="121"/>
      <c r="EA79" s="121"/>
      <c r="EB79" s="121"/>
      <c r="EC79" s="121"/>
      <c r="ED79" s="121"/>
      <c r="EE79" s="121"/>
      <c r="EF79" s="121"/>
      <c r="EG79" s="121"/>
      <c r="EH79" s="121"/>
      <c r="EI79" s="121"/>
      <c r="EJ79" s="121"/>
      <c r="EK79" s="121"/>
      <c r="EL79" s="121"/>
      <c r="EM79" s="121"/>
      <c r="EN79" s="121"/>
      <c r="EO79" s="121"/>
      <c r="EP79" s="121"/>
      <c r="EQ79" s="121"/>
      <c r="ER79" s="121"/>
      <c r="ES79" s="121"/>
      <c r="ET79" s="121"/>
      <c r="EU79" s="121"/>
      <c r="EV79" s="121"/>
      <c r="EW79" s="121"/>
      <c r="EX79" s="121"/>
      <c r="EY79" s="121"/>
      <c r="EZ79" s="121"/>
      <c r="FA79" s="121"/>
      <c r="FB79" s="121"/>
      <c r="FC79" s="121"/>
      <c r="FD79" s="121"/>
      <c r="FE79" s="121"/>
      <c r="FF79" s="121"/>
      <c r="FG79" s="121"/>
      <c r="FH79" s="121"/>
      <c r="FI79" s="121"/>
      <c r="FJ79" s="121"/>
      <c r="FK79" s="121"/>
      <c r="FL79" s="121"/>
      <c r="FM79" s="121"/>
      <c r="FN79" s="121"/>
      <c r="FO79" s="121"/>
      <c r="FP79" s="121"/>
      <c r="FQ79" s="121"/>
      <c r="FR79" s="121"/>
      <c r="FS79" s="121"/>
      <c r="FT79" s="121"/>
      <c r="FU79" s="121"/>
      <c r="FV79" s="121"/>
      <c r="FW79" s="121"/>
      <c r="FX79" s="121"/>
      <c r="FY79" s="121"/>
      <c r="FZ79" s="121"/>
      <c r="GA79" s="121"/>
      <c r="GB79" s="121"/>
      <c r="GC79" s="121"/>
      <c r="GD79" s="121"/>
      <c r="GE79" s="121"/>
      <c r="GF79" s="121"/>
      <c r="GG79" s="121"/>
      <c r="GH79" s="121"/>
    </row>
    <row r="80" spans="1:190">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c r="CA80" s="121"/>
      <c r="CB80" s="121"/>
      <c r="CC80" s="121"/>
      <c r="CD80" s="121"/>
      <c r="CE80" s="121"/>
      <c r="CF80" s="121"/>
      <c r="CG80" s="121"/>
      <c r="CH80" s="121"/>
      <c r="CI80" s="121"/>
      <c r="CJ80" s="121"/>
      <c r="CK80" s="121"/>
      <c r="CL80" s="121"/>
      <c r="CM80" s="121"/>
      <c r="CN80" s="121"/>
      <c r="CO80" s="121"/>
      <c r="CP80" s="121"/>
      <c r="CQ80" s="121"/>
      <c r="CR80" s="121"/>
      <c r="CS80" s="121"/>
      <c r="CT80" s="121"/>
      <c r="CU80" s="121"/>
      <c r="CV80" s="121"/>
      <c r="CW80" s="121"/>
      <c r="CX80" s="121"/>
      <c r="CY80" s="121"/>
      <c r="CZ80" s="121"/>
      <c r="DA80" s="121"/>
      <c r="DB80" s="121"/>
      <c r="DC80" s="121"/>
      <c r="DD80" s="121"/>
      <c r="DE80" s="121"/>
      <c r="DF80" s="121"/>
      <c r="DG80" s="121"/>
      <c r="DH80" s="121"/>
      <c r="DI80" s="121"/>
      <c r="DJ80" s="121"/>
      <c r="DK80" s="121"/>
      <c r="DL80" s="121"/>
      <c r="DM80" s="121"/>
      <c r="DN80" s="121"/>
      <c r="DO80" s="121"/>
      <c r="DP80" s="121"/>
      <c r="DQ80" s="121"/>
      <c r="DR80" s="121"/>
      <c r="DS80" s="121"/>
      <c r="DT80" s="121"/>
      <c r="DU80" s="121"/>
      <c r="DV80" s="121"/>
      <c r="DW80" s="121"/>
      <c r="DX80" s="121"/>
      <c r="DY80" s="121"/>
      <c r="DZ80" s="121"/>
      <c r="EA80" s="121"/>
      <c r="EB80" s="121"/>
      <c r="EC80" s="121"/>
      <c r="ED80" s="121"/>
      <c r="EE80" s="121"/>
      <c r="EF80" s="121"/>
      <c r="EG80" s="121"/>
      <c r="EH80" s="121"/>
      <c r="EI80" s="121"/>
      <c r="EJ80" s="121"/>
      <c r="EK80" s="121"/>
      <c r="EL80" s="121"/>
      <c r="EM80" s="121"/>
      <c r="EN80" s="121"/>
      <c r="EO80" s="121"/>
      <c r="EP80" s="121"/>
      <c r="EQ80" s="121"/>
      <c r="ER80" s="121"/>
      <c r="ES80" s="121"/>
      <c r="ET80" s="121"/>
      <c r="EU80" s="121"/>
      <c r="EV80" s="121"/>
      <c r="EW80" s="121"/>
      <c r="EX80" s="121"/>
      <c r="EY80" s="121"/>
      <c r="EZ80" s="121"/>
      <c r="FA80" s="121"/>
      <c r="FB80" s="121"/>
      <c r="FC80" s="121"/>
      <c r="FD80" s="121"/>
      <c r="FE80" s="121"/>
      <c r="FF80" s="121"/>
      <c r="FG80" s="121"/>
      <c r="FH80" s="121"/>
      <c r="FI80" s="121"/>
      <c r="FJ80" s="121"/>
      <c r="FK80" s="121"/>
      <c r="FL80" s="121"/>
      <c r="FM80" s="121"/>
      <c r="FN80" s="121"/>
      <c r="FO80" s="121"/>
      <c r="FP80" s="121"/>
      <c r="FQ80" s="121"/>
      <c r="FR80" s="121"/>
      <c r="FS80" s="121"/>
      <c r="FT80" s="121"/>
      <c r="FU80" s="121"/>
      <c r="FV80" s="121"/>
      <c r="FW80" s="121"/>
      <c r="FX80" s="121"/>
      <c r="FY80" s="121"/>
      <c r="FZ80" s="121"/>
      <c r="GA80" s="121"/>
      <c r="GB80" s="121"/>
      <c r="GC80" s="121"/>
      <c r="GD80" s="121"/>
      <c r="GE80" s="121"/>
      <c r="GF80" s="121"/>
      <c r="GG80" s="121"/>
      <c r="GH80" s="121"/>
    </row>
    <row r="81" spans="1:190">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c r="BO81" s="121"/>
      <c r="BP81" s="121"/>
      <c r="BQ81" s="121"/>
      <c r="BR81" s="121"/>
      <c r="BS81" s="121"/>
      <c r="BT81" s="121"/>
      <c r="BU81" s="121"/>
      <c r="BV81" s="121"/>
      <c r="BW81" s="121"/>
      <c r="BX81" s="121"/>
      <c r="BY81" s="121"/>
      <c r="BZ81" s="121"/>
      <c r="CA81" s="121"/>
      <c r="CB81" s="121"/>
      <c r="CC81" s="121"/>
      <c r="CD81" s="121"/>
      <c r="CE81" s="121"/>
      <c r="CF81" s="121"/>
      <c r="CG81" s="121"/>
      <c r="CH81" s="121"/>
      <c r="CI81" s="121"/>
      <c r="CJ81" s="121"/>
      <c r="CK81" s="121"/>
      <c r="CL81" s="121"/>
      <c r="CM81" s="121"/>
      <c r="CN81" s="121"/>
      <c r="CO81" s="121"/>
      <c r="CP81" s="121"/>
      <c r="CQ81" s="121"/>
      <c r="CR81" s="121"/>
      <c r="CS81" s="121"/>
      <c r="CT81" s="121"/>
      <c r="CU81" s="121"/>
      <c r="CV81" s="121"/>
      <c r="CW81" s="121"/>
      <c r="CX81" s="121"/>
      <c r="CY81" s="121"/>
      <c r="CZ81" s="121"/>
      <c r="DA81" s="121"/>
      <c r="DB81" s="121"/>
      <c r="DC81" s="121"/>
      <c r="DD81" s="121"/>
      <c r="DE81" s="121"/>
      <c r="DF81" s="121"/>
      <c r="DG81" s="121"/>
      <c r="DH81" s="121"/>
      <c r="DI81" s="121"/>
      <c r="DJ81" s="121"/>
      <c r="DK81" s="121"/>
      <c r="DL81" s="121"/>
      <c r="DM81" s="121"/>
      <c r="DN81" s="121"/>
      <c r="DO81" s="121"/>
      <c r="DP81" s="121"/>
      <c r="DQ81" s="121"/>
      <c r="DR81" s="121"/>
      <c r="DS81" s="121"/>
      <c r="DT81" s="121"/>
      <c r="DU81" s="121"/>
      <c r="DV81" s="121"/>
      <c r="DW81" s="121"/>
      <c r="DX81" s="121"/>
      <c r="DY81" s="121"/>
      <c r="DZ81" s="121"/>
      <c r="EA81" s="121"/>
      <c r="EB81" s="121"/>
      <c r="EC81" s="121"/>
      <c r="ED81" s="121"/>
      <c r="EE81" s="121"/>
      <c r="EF81" s="121"/>
      <c r="EG81" s="121"/>
      <c r="EH81" s="121"/>
      <c r="EI81" s="121"/>
      <c r="EJ81" s="121"/>
      <c r="EK81" s="121"/>
      <c r="EL81" s="121"/>
      <c r="EM81" s="121"/>
      <c r="EN81" s="121"/>
      <c r="EO81" s="121"/>
      <c r="EP81" s="121"/>
      <c r="EQ81" s="121"/>
      <c r="ER81" s="121"/>
      <c r="ES81" s="121"/>
      <c r="ET81" s="121"/>
      <c r="EU81" s="121"/>
      <c r="EV81" s="121"/>
      <c r="EW81" s="121"/>
      <c r="EX81" s="121"/>
      <c r="EY81" s="121"/>
      <c r="EZ81" s="121"/>
      <c r="FA81" s="121"/>
      <c r="FB81" s="121"/>
      <c r="FC81" s="121"/>
      <c r="FD81" s="121"/>
      <c r="FE81" s="121"/>
      <c r="FF81" s="121"/>
      <c r="FG81" s="121"/>
      <c r="FH81" s="121"/>
      <c r="FI81" s="121"/>
      <c r="FJ81" s="121"/>
      <c r="FK81" s="121"/>
      <c r="FL81" s="121"/>
      <c r="FM81" s="121"/>
      <c r="FN81" s="121"/>
      <c r="FO81" s="121"/>
      <c r="FP81" s="121"/>
      <c r="FQ81" s="121"/>
      <c r="FR81" s="121"/>
      <c r="FS81" s="121"/>
      <c r="FT81" s="121"/>
      <c r="FU81" s="121"/>
      <c r="FV81" s="121"/>
      <c r="FW81" s="121"/>
      <c r="FX81" s="121"/>
      <c r="FY81" s="121"/>
      <c r="FZ81" s="121"/>
      <c r="GA81" s="121"/>
      <c r="GB81" s="121"/>
      <c r="GC81" s="121"/>
      <c r="GD81" s="121"/>
      <c r="GE81" s="121"/>
      <c r="GF81" s="121"/>
      <c r="GG81" s="121"/>
      <c r="GH81" s="121"/>
    </row>
    <row r="82" spans="1:190">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J82" s="121"/>
      <c r="AK82" s="121"/>
      <c r="AL82" s="121"/>
      <c r="AM82" s="121"/>
      <c r="AN82" s="121"/>
      <c r="AO82" s="121"/>
      <c r="AP82" s="121"/>
      <c r="AQ82" s="121"/>
      <c r="AR82" s="121"/>
      <c r="AS82" s="121"/>
      <c r="AT82" s="121"/>
      <c r="AU82" s="121"/>
      <c r="AV82" s="121"/>
      <c r="AW82" s="121"/>
      <c r="AX82" s="121"/>
      <c r="AY82" s="121"/>
      <c r="AZ82" s="121"/>
      <c r="BA82" s="121"/>
      <c r="BB82" s="121"/>
      <c r="BC82" s="121"/>
      <c r="BD82" s="121"/>
      <c r="BE82" s="121"/>
      <c r="BF82" s="121"/>
      <c r="BG82" s="121"/>
      <c r="BH82" s="121"/>
      <c r="BI82" s="121"/>
      <c r="BJ82" s="121"/>
      <c r="BK82" s="121"/>
      <c r="BL82" s="121"/>
      <c r="BM82" s="121"/>
      <c r="BN82" s="121"/>
      <c r="BO82" s="121"/>
      <c r="BP82" s="121"/>
      <c r="BQ82" s="121"/>
      <c r="BR82" s="121"/>
      <c r="BS82" s="121"/>
      <c r="BT82" s="121"/>
      <c r="BU82" s="121"/>
      <c r="BV82" s="121"/>
      <c r="BW82" s="121"/>
      <c r="BX82" s="121"/>
      <c r="BY82" s="121"/>
      <c r="BZ82" s="121"/>
      <c r="CA82" s="121"/>
      <c r="CB82" s="121"/>
      <c r="CC82" s="121"/>
      <c r="CD82" s="121"/>
      <c r="CE82" s="121"/>
      <c r="CF82" s="121"/>
      <c r="CG82" s="121"/>
      <c r="CH82" s="121"/>
      <c r="CI82" s="121"/>
      <c r="CJ82" s="121"/>
      <c r="CK82" s="121"/>
      <c r="CL82" s="121"/>
      <c r="CM82" s="121"/>
      <c r="CN82" s="121"/>
      <c r="CO82" s="121"/>
      <c r="CP82" s="121"/>
      <c r="CQ82" s="121"/>
      <c r="CR82" s="121"/>
      <c r="CS82" s="121"/>
      <c r="CT82" s="121"/>
      <c r="CU82" s="121"/>
      <c r="CV82" s="121"/>
      <c r="CW82" s="121"/>
      <c r="CX82" s="121"/>
      <c r="CY82" s="121"/>
      <c r="CZ82" s="121"/>
      <c r="DA82" s="121"/>
      <c r="DB82" s="121"/>
      <c r="DC82" s="121"/>
      <c r="DD82" s="121"/>
      <c r="DE82" s="121"/>
      <c r="DF82" s="121"/>
      <c r="DG82" s="121"/>
      <c r="DH82" s="121"/>
      <c r="DI82" s="121"/>
      <c r="DJ82" s="121"/>
      <c r="DK82" s="121"/>
      <c r="DL82" s="121"/>
      <c r="DM82" s="121"/>
      <c r="DN82" s="121"/>
      <c r="DO82" s="121"/>
      <c r="DP82" s="121"/>
      <c r="DQ82" s="121"/>
      <c r="DR82" s="121"/>
      <c r="DS82" s="121"/>
      <c r="DT82" s="121"/>
      <c r="DU82" s="121"/>
      <c r="DV82" s="121"/>
      <c r="DW82" s="121"/>
      <c r="DX82" s="121"/>
      <c r="DY82" s="121"/>
      <c r="DZ82" s="121"/>
      <c r="EA82" s="121"/>
      <c r="EB82" s="121"/>
      <c r="EC82" s="121"/>
      <c r="ED82" s="121"/>
      <c r="EE82" s="121"/>
      <c r="EF82" s="121"/>
      <c r="EG82" s="121"/>
      <c r="EH82" s="121"/>
      <c r="EI82" s="121"/>
      <c r="EJ82" s="121"/>
      <c r="EK82" s="121"/>
      <c r="EL82" s="121"/>
      <c r="EM82" s="121"/>
      <c r="EN82" s="121"/>
      <c r="EO82" s="121"/>
      <c r="EP82" s="121"/>
      <c r="EQ82" s="121"/>
      <c r="ER82" s="121"/>
      <c r="ES82" s="121"/>
      <c r="ET82" s="121"/>
      <c r="EU82" s="121"/>
      <c r="EV82" s="121"/>
      <c r="EW82" s="121"/>
      <c r="EX82" s="121"/>
      <c r="EY82" s="121"/>
      <c r="EZ82" s="121"/>
      <c r="FA82" s="121"/>
      <c r="FB82" s="121"/>
      <c r="FC82" s="121"/>
      <c r="FD82" s="121"/>
      <c r="FE82" s="121"/>
      <c r="FF82" s="121"/>
      <c r="FG82" s="121"/>
      <c r="FH82" s="121"/>
      <c r="FI82" s="121"/>
      <c r="FJ82" s="121"/>
      <c r="FK82" s="121"/>
      <c r="FL82" s="121"/>
      <c r="FM82" s="121"/>
      <c r="FN82" s="121"/>
      <c r="FO82" s="121"/>
      <c r="FP82" s="121"/>
      <c r="FQ82" s="121"/>
      <c r="FR82" s="121"/>
      <c r="FS82" s="121"/>
      <c r="FT82" s="121"/>
      <c r="FU82" s="121"/>
      <c r="FV82" s="121"/>
      <c r="FW82" s="121"/>
      <c r="FX82" s="121"/>
      <c r="FY82" s="121"/>
      <c r="FZ82" s="121"/>
      <c r="GA82" s="121"/>
      <c r="GB82" s="121"/>
      <c r="GC82" s="121"/>
      <c r="GD82" s="121"/>
      <c r="GE82" s="121"/>
      <c r="GF82" s="121"/>
      <c r="GG82" s="121"/>
      <c r="GH82" s="121"/>
    </row>
    <row r="83" spans="1:190">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J83" s="121"/>
      <c r="AK83" s="121"/>
      <c r="AL83" s="121"/>
      <c r="AM83" s="121"/>
      <c r="AN83" s="121"/>
      <c r="AO83" s="121"/>
      <c r="AP83" s="121"/>
      <c r="AQ83" s="121"/>
      <c r="AR83" s="121"/>
      <c r="AS83" s="121"/>
      <c r="AT83" s="121"/>
      <c r="AU83" s="121"/>
      <c r="AV83" s="121"/>
      <c r="AW83" s="121"/>
      <c r="AX83" s="121"/>
      <c r="AY83" s="121"/>
      <c r="AZ83" s="121"/>
      <c r="BA83" s="121"/>
      <c r="BB83" s="121"/>
      <c r="BC83" s="121"/>
      <c r="BD83" s="121"/>
      <c r="BE83" s="121"/>
      <c r="BF83" s="121"/>
      <c r="BG83" s="121"/>
      <c r="BH83" s="121"/>
      <c r="BI83" s="121"/>
      <c r="BJ83" s="121"/>
      <c r="BK83" s="121"/>
      <c r="BL83" s="121"/>
      <c r="BM83" s="121"/>
      <c r="BN83" s="121"/>
      <c r="BO83" s="121"/>
      <c r="BP83" s="121"/>
      <c r="BQ83" s="121"/>
      <c r="BR83" s="121"/>
      <c r="BS83" s="121"/>
      <c r="BT83" s="121"/>
      <c r="BU83" s="121"/>
      <c r="BV83" s="121"/>
      <c r="BW83" s="121"/>
      <c r="BX83" s="121"/>
      <c r="BY83" s="121"/>
      <c r="BZ83" s="121"/>
      <c r="CA83" s="121"/>
      <c r="CB83" s="121"/>
      <c r="CC83" s="121"/>
      <c r="CD83" s="121"/>
      <c r="CE83" s="121"/>
      <c r="CF83" s="121"/>
      <c r="CG83" s="121"/>
      <c r="CH83" s="121"/>
      <c r="CI83" s="121"/>
      <c r="CJ83" s="121"/>
      <c r="CK83" s="121"/>
      <c r="CL83" s="121"/>
      <c r="CM83" s="121"/>
      <c r="CN83" s="121"/>
      <c r="CO83" s="121"/>
      <c r="CP83" s="121"/>
      <c r="CQ83" s="121"/>
      <c r="CR83" s="121"/>
      <c r="CS83" s="121"/>
      <c r="CT83" s="121"/>
      <c r="CU83" s="121"/>
      <c r="CV83" s="121"/>
      <c r="CW83" s="121"/>
      <c r="CX83" s="121"/>
      <c r="CY83" s="121"/>
      <c r="CZ83" s="121"/>
      <c r="DA83" s="121"/>
      <c r="DB83" s="121"/>
      <c r="DC83" s="121"/>
      <c r="DD83" s="121"/>
      <c r="DE83" s="121"/>
      <c r="DF83" s="121"/>
      <c r="DG83" s="121"/>
      <c r="DH83" s="121"/>
      <c r="DI83" s="121"/>
      <c r="DJ83" s="121"/>
      <c r="DK83" s="121"/>
      <c r="DL83" s="121"/>
      <c r="DM83" s="121"/>
      <c r="DN83" s="121"/>
      <c r="DO83" s="121"/>
      <c r="DP83" s="121"/>
      <c r="DQ83" s="121"/>
      <c r="DR83" s="121"/>
      <c r="DS83" s="121"/>
      <c r="DT83" s="121"/>
      <c r="DU83" s="121"/>
      <c r="DV83" s="121"/>
      <c r="DW83" s="121"/>
      <c r="DX83" s="121"/>
      <c r="DY83" s="121"/>
      <c r="DZ83" s="121"/>
      <c r="EA83" s="121"/>
      <c r="EB83" s="121"/>
      <c r="EC83" s="121"/>
      <c r="ED83" s="121"/>
      <c r="EE83" s="121"/>
      <c r="EF83" s="121"/>
      <c r="EG83" s="121"/>
      <c r="EH83" s="121"/>
      <c r="EI83" s="121"/>
      <c r="EJ83" s="121"/>
      <c r="EK83" s="121"/>
      <c r="EL83" s="121"/>
      <c r="EM83" s="121"/>
      <c r="EN83" s="121"/>
      <c r="EO83" s="121"/>
      <c r="EP83" s="121"/>
      <c r="EQ83" s="121"/>
      <c r="ER83" s="121"/>
      <c r="ES83" s="121"/>
      <c r="ET83" s="121"/>
      <c r="EU83" s="121"/>
      <c r="EV83" s="121"/>
      <c r="EW83" s="121"/>
      <c r="EX83" s="121"/>
      <c r="EY83" s="121"/>
      <c r="EZ83" s="121"/>
      <c r="FA83" s="121"/>
      <c r="FB83" s="121"/>
      <c r="FC83" s="121"/>
      <c r="FD83" s="121"/>
      <c r="FE83" s="121"/>
      <c r="FF83" s="121"/>
      <c r="FG83" s="121"/>
      <c r="FH83" s="121"/>
      <c r="FI83" s="121"/>
      <c r="FJ83" s="121"/>
      <c r="FK83" s="121"/>
      <c r="FL83" s="121"/>
      <c r="FM83" s="121"/>
      <c r="FN83" s="121"/>
      <c r="FO83" s="121"/>
      <c r="FP83" s="121"/>
      <c r="FQ83" s="121"/>
      <c r="FR83" s="121"/>
      <c r="FS83" s="121"/>
      <c r="FT83" s="121"/>
      <c r="FU83" s="121"/>
      <c r="FV83" s="121"/>
      <c r="FW83" s="121"/>
      <c r="FX83" s="121"/>
      <c r="FY83" s="121"/>
      <c r="FZ83" s="121"/>
      <c r="GA83" s="121"/>
      <c r="GB83" s="121"/>
      <c r="GC83" s="121"/>
      <c r="GD83" s="121"/>
      <c r="GE83" s="121"/>
      <c r="GF83" s="121"/>
      <c r="GG83" s="121"/>
      <c r="GH83" s="121"/>
    </row>
    <row r="84" spans="1:190">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1"/>
      <c r="AS84" s="121"/>
      <c r="AT84" s="121"/>
      <c r="AU84" s="121"/>
      <c r="AV84" s="121"/>
      <c r="AW84" s="121"/>
      <c r="AX84" s="121"/>
      <c r="AY84" s="121"/>
      <c r="AZ84" s="121"/>
      <c r="BA84" s="121"/>
      <c r="BB84" s="121"/>
      <c r="BC84" s="121"/>
      <c r="BD84" s="121"/>
      <c r="BE84" s="121"/>
      <c r="BF84" s="121"/>
      <c r="BG84" s="121"/>
      <c r="BH84" s="121"/>
      <c r="BI84" s="121"/>
      <c r="BJ84" s="121"/>
      <c r="BK84" s="121"/>
      <c r="BL84" s="121"/>
      <c r="BM84" s="121"/>
      <c r="BN84" s="121"/>
      <c r="BO84" s="121"/>
      <c r="BP84" s="121"/>
      <c r="BQ84" s="121"/>
      <c r="BR84" s="121"/>
      <c r="BS84" s="121"/>
      <c r="BT84" s="121"/>
      <c r="BU84" s="121"/>
      <c r="BV84" s="121"/>
      <c r="BW84" s="121"/>
      <c r="BX84" s="121"/>
      <c r="BY84" s="121"/>
      <c r="BZ84" s="121"/>
      <c r="CA84" s="121"/>
      <c r="CB84" s="121"/>
      <c r="CC84" s="121"/>
      <c r="CD84" s="121"/>
      <c r="CE84" s="121"/>
      <c r="CF84" s="121"/>
      <c r="CG84" s="121"/>
      <c r="CH84" s="121"/>
      <c r="CI84" s="121"/>
      <c r="CJ84" s="121"/>
      <c r="CK84" s="121"/>
      <c r="CL84" s="121"/>
      <c r="CM84" s="121"/>
      <c r="CN84" s="121"/>
      <c r="CO84" s="121"/>
      <c r="CP84" s="121"/>
      <c r="CQ84" s="121"/>
      <c r="CR84" s="121"/>
      <c r="CS84" s="121"/>
      <c r="CT84" s="121"/>
      <c r="CU84" s="121"/>
      <c r="CV84" s="121"/>
      <c r="CW84" s="121"/>
      <c r="CX84" s="121"/>
      <c r="CY84" s="121"/>
      <c r="CZ84" s="121"/>
      <c r="DA84" s="121"/>
      <c r="DB84" s="121"/>
      <c r="DC84" s="121"/>
      <c r="DD84" s="121"/>
      <c r="DE84" s="121"/>
      <c r="DF84" s="121"/>
      <c r="DG84" s="121"/>
      <c r="DH84" s="121"/>
      <c r="DI84" s="121"/>
      <c r="DJ84" s="121"/>
      <c r="DK84" s="121"/>
      <c r="DL84" s="121"/>
      <c r="DM84" s="121"/>
      <c r="DN84" s="121"/>
      <c r="DO84" s="121"/>
      <c r="DP84" s="121"/>
      <c r="DQ84" s="121"/>
      <c r="DR84" s="121"/>
      <c r="DS84" s="121"/>
      <c r="DT84" s="121"/>
      <c r="DU84" s="121"/>
      <c r="DV84" s="121"/>
      <c r="DW84" s="121"/>
      <c r="DX84" s="121"/>
      <c r="DY84" s="121"/>
      <c r="DZ84" s="121"/>
      <c r="EA84" s="121"/>
      <c r="EB84" s="121"/>
      <c r="EC84" s="121"/>
      <c r="ED84" s="121"/>
      <c r="EE84" s="121"/>
      <c r="EF84" s="121"/>
      <c r="EG84" s="121"/>
      <c r="EH84" s="121"/>
      <c r="EI84" s="121"/>
      <c r="EJ84" s="121"/>
      <c r="EK84" s="121"/>
      <c r="EL84" s="121"/>
      <c r="EM84" s="121"/>
      <c r="EN84" s="121"/>
      <c r="EO84" s="121"/>
      <c r="EP84" s="121"/>
      <c r="EQ84" s="121"/>
      <c r="ER84" s="121"/>
      <c r="ES84" s="121"/>
      <c r="ET84" s="121"/>
      <c r="EU84" s="121"/>
      <c r="EV84" s="121"/>
      <c r="EW84" s="121"/>
      <c r="EX84" s="121"/>
      <c r="EY84" s="121"/>
      <c r="EZ84" s="121"/>
      <c r="FA84" s="121"/>
      <c r="FB84" s="121"/>
      <c r="FC84" s="121"/>
      <c r="FD84" s="121"/>
      <c r="FE84" s="121"/>
      <c r="FF84" s="121"/>
      <c r="FG84" s="121"/>
      <c r="FH84" s="121"/>
      <c r="FI84" s="121"/>
      <c r="FJ84" s="121"/>
      <c r="FK84" s="121"/>
      <c r="FL84" s="121"/>
      <c r="FM84" s="121"/>
      <c r="FN84" s="121"/>
      <c r="FO84" s="121"/>
      <c r="FP84" s="121"/>
      <c r="FQ84" s="121"/>
      <c r="FR84" s="121"/>
      <c r="FS84" s="121"/>
      <c r="FT84" s="121"/>
      <c r="FU84" s="121"/>
      <c r="FV84" s="121"/>
      <c r="FW84" s="121"/>
      <c r="FX84" s="121"/>
      <c r="FY84" s="121"/>
      <c r="FZ84" s="121"/>
      <c r="GA84" s="121"/>
      <c r="GB84" s="121"/>
      <c r="GC84" s="121"/>
      <c r="GD84" s="121"/>
      <c r="GE84" s="121"/>
      <c r="GF84" s="121"/>
      <c r="GG84" s="121"/>
      <c r="GH84" s="121"/>
    </row>
    <row r="85" spans="1:190">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c r="BE85" s="121"/>
      <c r="BF85" s="121"/>
      <c r="BG85" s="121"/>
      <c r="BH85" s="121"/>
      <c r="BI85" s="121"/>
      <c r="BJ85" s="121"/>
      <c r="BK85" s="121"/>
      <c r="BL85" s="121"/>
      <c r="BM85" s="121"/>
      <c r="BN85" s="121"/>
      <c r="BO85" s="121"/>
      <c r="BP85" s="121"/>
      <c r="BQ85" s="121"/>
      <c r="BR85" s="121"/>
      <c r="BS85" s="121"/>
      <c r="BT85" s="121"/>
      <c r="BU85" s="121"/>
      <c r="BV85" s="121"/>
      <c r="BW85" s="121"/>
      <c r="BX85" s="121"/>
      <c r="BY85" s="121"/>
      <c r="BZ85" s="121"/>
      <c r="CA85" s="121"/>
      <c r="CB85" s="121"/>
      <c r="CC85" s="121"/>
      <c r="CD85" s="121"/>
      <c r="CE85" s="121"/>
      <c r="CF85" s="121"/>
      <c r="CG85" s="121"/>
      <c r="CH85" s="121"/>
      <c r="CI85" s="121"/>
      <c r="CJ85" s="121"/>
      <c r="CK85" s="121"/>
      <c r="CL85" s="121"/>
      <c r="CM85" s="121"/>
      <c r="CN85" s="121"/>
      <c r="CO85" s="121"/>
      <c r="CP85" s="121"/>
      <c r="CQ85" s="121"/>
      <c r="CR85" s="121"/>
      <c r="CS85" s="121"/>
      <c r="CT85" s="121"/>
      <c r="CU85" s="121"/>
      <c r="CV85" s="121"/>
      <c r="CW85" s="121"/>
      <c r="CX85" s="121"/>
      <c r="CY85" s="121"/>
      <c r="CZ85" s="121"/>
      <c r="DA85" s="121"/>
      <c r="DB85" s="121"/>
      <c r="DC85" s="121"/>
      <c r="DD85" s="121"/>
      <c r="DE85" s="121"/>
      <c r="DF85" s="121"/>
      <c r="DG85" s="121"/>
      <c r="DH85" s="121"/>
      <c r="DI85" s="121"/>
      <c r="DJ85" s="121"/>
      <c r="DK85" s="121"/>
      <c r="DL85" s="121"/>
      <c r="DM85" s="121"/>
      <c r="DN85" s="121"/>
      <c r="DO85" s="121"/>
      <c r="DP85" s="121"/>
      <c r="DQ85" s="121"/>
      <c r="DR85" s="121"/>
      <c r="DS85" s="121"/>
      <c r="DT85" s="121"/>
      <c r="DU85" s="121"/>
      <c r="DV85" s="121"/>
      <c r="DW85" s="121"/>
      <c r="DX85" s="121"/>
      <c r="DY85" s="121"/>
      <c r="DZ85" s="121"/>
      <c r="EA85" s="121"/>
      <c r="EB85" s="121"/>
      <c r="EC85" s="121"/>
      <c r="ED85" s="121"/>
      <c r="EE85" s="121"/>
      <c r="EF85" s="121"/>
      <c r="EG85" s="121"/>
      <c r="EH85" s="121"/>
      <c r="EI85" s="121"/>
      <c r="EJ85" s="121"/>
      <c r="EK85" s="121"/>
      <c r="EL85" s="121"/>
      <c r="EM85" s="121"/>
      <c r="EN85" s="121"/>
      <c r="EO85" s="121"/>
      <c r="EP85" s="121"/>
      <c r="EQ85" s="121"/>
      <c r="ER85" s="121"/>
      <c r="ES85" s="121"/>
      <c r="ET85" s="121"/>
      <c r="EU85" s="121"/>
      <c r="EV85" s="121"/>
      <c r="EW85" s="121"/>
      <c r="EX85" s="121"/>
      <c r="EY85" s="121"/>
      <c r="EZ85" s="121"/>
      <c r="FA85" s="121"/>
      <c r="FB85" s="121"/>
      <c r="FC85" s="121"/>
      <c r="FD85" s="121"/>
      <c r="FE85" s="121"/>
      <c r="FF85" s="121"/>
      <c r="FG85" s="121"/>
      <c r="FH85" s="121"/>
      <c r="FI85" s="121"/>
      <c r="FJ85" s="121"/>
      <c r="FK85" s="121"/>
      <c r="FL85" s="121"/>
      <c r="FM85" s="121"/>
      <c r="FN85" s="121"/>
      <c r="FO85" s="121"/>
      <c r="FP85" s="121"/>
      <c r="FQ85" s="121"/>
      <c r="FR85" s="121"/>
      <c r="FS85" s="121"/>
      <c r="FT85" s="121"/>
      <c r="FU85" s="121"/>
      <c r="FV85" s="121"/>
      <c r="FW85" s="121"/>
      <c r="FX85" s="121"/>
      <c r="FY85" s="121"/>
      <c r="FZ85" s="121"/>
      <c r="GA85" s="121"/>
      <c r="GB85" s="121"/>
      <c r="GC85" s="121"/>
      <c r="GD85" s="121"/>
      <c r="GE85" s="121"/>
      <c r="GF85" s="121"/>
      <c r="GG85" s="121"/>
      <c r="GH85" s="121"/>
    </row>
    <row r="86" spans="1:190">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J86" s="121"/>
      <c r="AK86" s="121"/>
      <c r="AL86" s="121"/>
      <c r="AM86" s="121"/>
      <c r="AN86" s="121"/>
      <c r="AO86" s="121"/>
      <c r="AP86" s="121"/>
      <c r="AQ86" s="121"/>
      <c r="AR86" s="121"/>
      <c r="AS86" s="121"/>
      <c r="AT86" s="121"/>
      <c r="AU86" s="121"/>
      <c r="AV86" s="121"/>
      <c r="AW86" s="121"/>
      <c r="AX86" s="121"/>
      <c r="AY86" s="121"/>
      <c r="AZ86" s="121"/>
      <c r="BA86" s="121"/>
      <c r="BB86" s="121"/>
      <c r="BC86" s="121"/>
      <c r="BD86" s="121"/>
      <c r="BE86" s="121"/>
      <c r="BF86" s="121"/>
      <c r="BG86" s="121"/>
      <c r="BH86" s="121"/>
      <c r="BI86" s="121"/>
      <c r="BJ86" s="121"/>
      <c r="BK86" s="121"/>
      <c r="BL86" s="121"/>
      <c r="BM86" s="121"/>
      <c r="BN86" s="121"/>
      <c r="BO86" s="121"/>
      <c r="BP86" s="121"/>
      <c r="BQ86" s="121"/>
      <c r="BR86" s="121"/>
      <c r="BS86" s="121"/>
      <c r="BT86" s="121"/>
      <c r="BU86" s="121"/>
      <c r="BV86" s="121"/>
      <c r="BW86" s="121"/>
      <c r="BX86" s="121"/>
      <c r="BY86" s="121"/>
      <c r="BZ86" s="121"/>
      <c r="CA86" s="121"/>
      <c r="CB86" s="121"/>
      <c r="CC86" s="121"/>
      <c r="CD86" s="121"/>
      <c r="CE86" s="121"/>
      <c r="CF86" s="121"/>
      <c r="CG86" s="121"/>
      <c r="CH86" s="121"/>
      <c r="CI86" s="121"/>
      <c r="CJ86" s="121"/>
      <c r="CK86" s="121"/>
      <c r="CL86" s="121"/>
      <c r="CM86" s="121"/>
      <c r="CN86" s="121"/>
      <c r="CO86" s="121"/>
      <c r="CP86" s="121"/>
      <c r="CQ86" s="121"/>
      <c r="CR86" s="121"/>
      <c r="CS86" s="121"/>
      <c r="CT86" s="121"/>
      <c r="CU86" s="121"/>
      <c r="CV86" s="121"/>
      <c r="CW86" s="121"/>
      <c r="CX86" s="121"/>
      <c r="CY86" s="121"/>
      <c r="CZ86" s="121"/>
      <c r="DA86" s="121"/>
      <c r="DB86" s="121"/>
      <c r="DC86" s="121"/>
      <c r="DD86" s="121"/>
      <c r="DE86" s="121"/>
      <c r="DF86" s="121"/>
      <c r="DG86" s="121"/>
      <c r="DH86" s="121"/>
      <c r="DI86" s="121"/>
      <c r="DJ86" s="121"/>
      <c r="DK86" s="121"/>
      <c r="DL86" s="121"/>
      <c r="DM86" s="121"/>
      <c r="DN86" s="121"/>
      <c r="DO86" s="121"/>
      <c r="DP86" s="121"/>
      <c r="DQ86" s="121"/>
      <c r="DR86" s="121"/>
      <c r="DS86" s="121"/>
      <c r="DT86" s="121"/>
      <c r="DU86" s="121"/>
      <c r="DV86" s="121"/>
      <c r="DW86" s="121"/>
      <c r="DX86" s="121"/>
      <c r="DY86" s="121"/>
      <c r="DZ86" s="121"/>
      <c r="EA86" s="121"/>
      <c r="EB86" s="121"/>
      <c r="EC86" s="121"/>
      <c r="ED86" s="121"/>
      <c r="EE86" s="121"/>
      <c r="EF86" s="121"/>
      <c r="EG86" s="121"/>
      <c r="EH86" s="121"/>
      <c r="EI86" s="121"/>
      <c r="EJ86" s="121"/>
      <c r="EK86" s="121"/>
      <c r="EL86" s="121"/>
      <c r="EM86" s="121"/>
      <c r="EN86" s="121"/>
      <c r="EO86" s="121"/>
      <c r="EP86" s="121"/>
      <c r="EQ86" s="121"/>
      <c r="ER86" s="121"/>
      <c r="ES86" s="121"/>
      <c r="ET86" s="121"/>
      <c r="EU86" s="121"/>
      <c r="EV86" s="121"/>
      <c r="EW86" s="121"/>
      <c r="EX86" s="121"/>
      <c r="EY86" s="121"/>
      <c r="EZ86" s="121"/>
      <c r="FA86" s="121"/>
      <c r="FB86" s="121"/>
      <c r="FC86" s="121"/>
      <c r="FD86" s="121"/>
      <c r="FE86" s="121"/>
      <c r="FF86" s="121"/>
      <c r="FG86" s="121"/>
      <c r="FH86" s="121"/>
      <c r="FI86" s="121"/>
      <c r="FJ86" s="121"/>
      <c r="FK86" s="121"/>
      <c r="FL86" s="121"/>
      <c r="FM86" s="121"/>
      <c r="FN86" s="121"/>
      <c r="FO86" s="121"/>
      <c r="FP86" s="121"/>
      <c r="FQ86" s="121"/>
      <c r="FR86" s="121"/>
      <c r="FS86" s="121"/>
      <c r="FT86" s="121"/>
      <c r="FU86" s="121"/>
      <c r="FV86" s="121"/>
      <c r="FW86" s="121"/>
      <c r="FX86" s="121"/>
      <c r="FY86" s="121"/>
      <c r="FZ86" s="121"/>
      <c r="GA86" s="121"/>
      <c r="GB86" s="121"/>
      <c r="GC86" s="121"/>
      <c r="GD86" s="121"/>
      <c r="GE86" s="121"/>
      <c r="GF86" s="121"/>
      <c r="GG86" s="121"/>
      <c r="GH86" s="121"/>
    </row>
    <row r="87" spans="1:190">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c r="AW87" s="121"/>
      <c r="AX87" s="121"/>
      <c r="AY87" s="121"/>
      <c r="AZ87" s="121"/>
      <c r="BA87" s="121"/>
      <c r="BB87" s="121"/>
      <c r="BC87" s="121"/>
      <c r="BD87" s="121"/>
      <c r="BE87" s="121"/>
      <c r="BF87" s="121"/>
      <c r="BG87" s="121"/>
      <c r="BH87" s="121"/>
      <c r="BI87" s="121"/>
      <c r="BJ87" s="121"/>
      <c r="BK87" s="121"/>
      <c r="BL87" s="121"/>
      <c r="BM87" s="121"/>
      <c r="BN87" s="121"/>
      <c r="BO87" s="121"/>
      <c r="BP87" s="121"/>
      <c r="BQ87" s="121"/>
      <c r="BR87" s="121"/>
      <c r="BS87" s="121"/>
      <c r="BT87" s="121"/>
      <c r="BU87" s="121"/>
      <c r="BV87" s="121"/>
      <c r="BW87" s="121"/>
      <c r="BX87" s="121"/>
      <c r="BY87" s="121"/>
      <c r="BZ87" s="121"/>
      <c r="CA87" s="121"/>
      <c r="CB87" s="121"/>
      <c r="CC87" s="121"/>
      <c r="CD87" s="121"/>
      <c r="CE87" s="121"/>
      <c r="CF87" s="121"/>
      <c r="CG87" s="121"/>
      <c r="CH87" s="121"/>
      <c r="CI87" s="121"/>
      <c r="CJ87" s="121"/>
      <c r="CK87" s="121"/>
      <c r="CL87" s="121"/>
      <c r="CM87" s="121"/>
      <c r="CN87" s="121"/>
      <c r="CO87" s="121"/>
      <c r="CP87" s="121"/>
      <c r="CQ87" s="121"/>
      <c r="CR87" s="121"/>
      <c r="CS87" s="121"/>
      <c r="CT87" s="121"/>
      <c r="CU87" s="121"/>
      <c r="CV87" s="121"/>
      <c r="CW87" s="121"/>
      <c r="CX87" s="121"/>
      <c r="CY87" s="121"/>
      <c r="CZ87" s="121"/>
      <c r="DA87" s="121"/>
      <c r="DB87" s="121"/>
      <c r="DC87" s="121"/>
      <c r="DD87" s="121"/>
      <c r="DE87" s="121"/>
      <c r="DF87" s="121"/>
      <c r="DG87" s="121"/>
      <c r="DH87" s="121"/>
      <c r="DI87" s="121"/>
      <c r="DJ87" s="121"/>
      <c r="DK87" s="121"/>
      <c r="DL87" s="121"/>
      <c r="DM87" s="121"/>
      <c r="DN87" s="121"/>
      <c r="DO87" s="121"/>
      <c r="DP87" s="121"/>
      <c r="DQ87" s="121"/>
      <c r="DR87" s="121"/>
      <c r="DS87" s="121"/>
      <c r="DT87" s="121"/>
      <c r="DU87" s="121"/>
      <c r="DV87" s="121"/>
      <c r="DW87" s="121"/>
      <c r="DX87" s="121"/>
      <c r="DY87" s="121"/>
      <c r="DZ87" s="121"/>
      <c r="EA87" s="121"/>
      <c r="EB87" s="121"/>
      <c r="EC87" s="121"/>
      <c r="ED87" s="121"/>
      <c r="EE87" s="121"/>
      <c r="EF87" s="121"/>
      <c r="EG87" s="121"/>
      <c r="EH87" s="121"/>
      <c r="EI87" s="121"/>
      <c r="EJ87" s="121"/>
      <c r="EK87" s="121"/>
      <c r="EL87" s="121"/>
      <c r="EM87" s="121"/>
      <c r="EN87" s="121"/>
      <c r="EO87" s="121"/>
      <c r="EP87" s="121"/>
      <c r="EQ87" s="121"/>
      <c r="ER87" s="121"/>
      <c r="ES87" s="121"/>
      <c r="ET87" s="121"/>
      <c r="EU87" s="121"/>
      <c r="EV87" s="121"/>
      <c r="EW87" s="121"/>
      <c r="EX87" s="121"/>
      <c r="EY87" s="121"/>
      <c r="EZ87" s="121"/>
      <c r="FA87" s="121"/>
      <c r="FB87" s="121"/>
      <c r="FC87" s="121"/>
      <c r="FD87" s="121"/>
      <c r="FE87" s="121"/>
      <c r="FF87" s="121"/>
      <c r="FG87" s="121"/>
      <c r="FH87" s="121"/>
      <c r="FI87" s="121"/>
      <c r="FJ87" s="121"/>
      <c r="FK87" s="121"/>
      <c r="FL87" s="121"/>
      <c r="FM87" s="121"/>
      <c r="FN87" s="121"/>
      <c r="FO87" s="121"/>
      <c r="FP87" s="121"/>
      <c r="FQ87" s="121"/>
      <c r="FR87" s="121"/>
      <c r="FS87" s="121"/>
      <c r="FT87" s="121"/>
      <c r="FU87" s="121"/>
      <c r="FV87" s="121"/>
      <c r="FW87" s="121"/>
      <c r="FX87" s="121"/>
      <c r="FY87" s="121"/>
      <c r="FZ87" s="121"/>
      <c r="GA87" s="121"/>
      <c r="GB87" s="121"/>
      <c r="GC87" s="121"/>
      <c r="GD87" s="121"/>
      <c r="GE87" s="121"/>
      <c r="GF87" s="121"/>
      <c r="GG87" s="121"/>
      <c r="GH87" s="121"/>
    </row>
    <row r="88" spans="1:190">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1"/>
      <c r="AU88" s="121"/>
      <c r="AV88" s="121"/>
      <c r="AW88" s="121"/>
      <c r="AX88" s="121"/>
      <c r="AY88" s="121"/>
      <c r="AZ88" s="121"/>
      <c r="BA88" s="121"/>
      <c r="BB88" s="121"/>
      <c r="BC88" s="121"/>
      <c r="BD88" s="121"/>
      <c r="BE88" s="121"/>
      <c r="BF88" s="121"/>
      <c r="BG88" s="121"/>
      <c r="BH88" s="121"/>
      <c r="BI88" s="121"/>
      <c r="BJ88" s="121"/>
      <c r="BK88" s="121"/>
      <c r="BL88" s="121"/>
      <c r="BM88" s="121"/>
      <c r="BN88" s="121"/>
      <c r="BO88" s="121"/>
      <c r="BP88" s="121"/>
      <c r="BQ88" s="121"/>
      <c r="BR88" s="121"/>
      <c r="BS88" s="121"/>
      <c r="BT88" s="121"/>
      <c r="BU88" s="121"/>
      <c r="BV88" s="121"/>
      <c r="BW88" s="121"/>
      <c r="BX88" s="121"/>
      <c r="BY88" s="121"/>
      <c r="BZ88" s="121"/>
      <c r="CA88" s="121"/>
      <c r="CB88" s="121"/>
      <c r="CC88" s="121"/>
      <c r="CD88" s="121"/>
      <c r="CE88" s="121"/>
      <c r="CF88" s="121"/>
      <c r="CG88" s="121"/>
      <c r="CH88" s="121"/>
      <c r="CI88" s="121"/>
      <c r="CJ88" s="121"/>
      <c r="CK88" s="121"/>
      <c r="CL88" s="121"/>
      <c r="CM88" s="121"/>
      <c r="CN88" s="121"/>
      <c r="CO88" s="121"/>
      <c r="CP88" s="121"/>
      <c r="CQ88" s="121"/>
      <c r="CR88" s="121"/>
      <c r="CS88" s="121"/>
      <c r="CT88" s="121"/>
      <c r="CU88" s="121"/>
      <c r="CV88" s="121"/>
      <c r="CW88" s="121"/>
      <c r="CX88" s="121"/>
      <c r="CY88" s="121"/>
      <c r="CZ88" s="121"/>
      <c r="DA88" s="121"/>
      <c r="DB88" s="121"/>
      <c r="DC88" s="121"/>
      <c r="DD88" s="121"/>
      <c r="DE88" s="121"/>
      <c r="DF88" s="121"/>
      <c r="DG88" s="121"/>
      <c r="DH88" s="121"/>
      <c r="DI88" s="121"/>
      <c r="DJ88" s="121"/>
      <c r="DK88" s="121"/>
      <c r="DL88" s="121"/>
      <c r="DM88" s="121"/>
      <c r="DN88" s="121"/>
      <c r="DO88" s="121"/>
      <c r="DP88" s="121"/>
      <c r="DQ88" s="121"/>
      <c r="DR88" s="121"/>
      <c r="DS88" s="121"/>
      <c r="DT88" s="121"/>
      <c r="DU88" s="121"/>
      <c r="DV88" s="121"/>
      <c r="DW88" s="121"/>
      <c r="DX88" s="121"/>
      <c r="DY88" s="121"/>
      <c r="DZ88" s="121"/>
      <c r="EA88" s="121"/>
      <c r="EB88" s="121"/>
      <c r="EC88" s="121"/>
      <c r="ED88" s="121"/>
      <c r="EE88" s="121"/>
      <c r="EF88" s="121"/>
      <c r="EG88" s="121"/>
      <c r="EH88" s="121"/>
      <c r="EI88" s="121"/>
      <c r="EJ88" s="121"/>
      <c r="EK88" s="121"/>
      <c r="EL88" s="121"/>
      <c r="EM88" s="121"/>
      <c r="EN88" s="121"/>
      <c r="EO88" s="121"/>
      <c r="EP88" s="121"/>
      <c r="EQ88" s="121"/>
      <c r="ER88" s="121"/>
      <c r="ES88" s="121"/>
      <c r="ET88" s="121"/>
      <c r="EU88" s="121"/>
      <c r="EV88" s="121"/>
      <c r="EW88" s="121"/>
      <c r="EX88" s="121"/>
      <c r="EY88" s="121"/>
      <c r="EZ88" s="121"/>
      <c r="FA88" s="121"/>
      <c r="FB88" s="121"/>
      <c r="FC88" s="121"/>
      <c r="FD88" s="121"/>
      <c r="FE88" s="121"/>
      <c r="FF88" s="121"/>
      <c r="FG88" s="121"/>
      <c r="FH88" s="121"/>
      <c r="FI88" s="121"/>
      <c r="FJ88" s="121"/>
      <c r="FK88" s="121"/>
      <c r="FL88" s="121"/>
      <c r="FM88" s="121"/>
      <c r="FN88" s="121"/>
      <c r="FO88" s="121"/>
      <c r="FP88" s="121"/>
      <c r="FQ88" s="121"/>
      <c r="FR88" s="121"/>
      <c r="FS88" s="121"/>
      <c r="FT88" s="121"/>
      <c r="FU88" s="121"/>
      <c r="FV88" s="121"/>
      <c r="FW88" s="121"/>
      <c r="FX88" s="121"/>
      <c r="FY88" s="121"/>
      <c r="FZ88" s="121"/>
      <c r="GA88" s="121"/>
      <c r="GB88" s="121"/>
      <c r="GC88" s="121"/>
      <c r="GD88" s="121"/>
      <c r="GE88" s="121"/>
      <c r="GF88" s="121"/>
      <c r="GG88" s="121"/>
      <c r="GH88" s="121"/>
    </row>
    <row r="89" spans="1:190">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1"/>
      <c r="AP89" s="121"/>
      <c r="AQ89" s="121"/>
      <c r="AR89" s="121"/>
      <c r="AS89" s="121"/>
      <c r="AT89" s="121"/>
      <c r="AU89" s="121"/>
      <c r="AV89" s="121"/>
      <c r="AW89" s="121"/>
      <c r="AX89" s="121"/>
      <c r="AY89" s="121"/>
      <c r="AZ89" s="121"/>
      <c r="BA89" s="121"/>
      <c r="BB89" s="121"/>
      <c r="BC89" s="121"/>
      <c r="BD89" s="121"/>
      <c r="BE89" s="121"/>
      <c r="BF89" s="121"/>
      <c r="BG89" s="121"/>
      <c r="BH89" s="121"/>
      <c r="BI89" s="121"/>
      <c r="BJ89" s="121"/>
      <c r="BK89" s="121"/>
      <c r="BL89" s="121"/>
      <c r="BM89" s="121"/>
      <c r="BN89" s="121"/>
      <c r="BO89" s="121"/>
      <c r="BP89" s="121"/>
      <c r="BQ89" s="121"/>
      <c r="BR89" s="121"/>
      <c r="BS89" s="121"/>
      <c r="BT89" s="121"/>
      <c r="BU89" s="121"/>
      <c r="BV89" s="121"/>
      <c r="BW89" s="121"/>
      <c r="BX89" s="121"/>
      <c r="BY89" s="121"/>
      <c r="BZ89" s="121"/>
      <c r="CA89" s="121"/>
      <c r="CB89" s="121"/>
      <c r="CC89" s="121"/>
      <c r="CD89" s="121"/>
      <c r="CE89" s="121"/>
      <c r="CF89" s="121"/>
      <c r="CG89" s="121"/>
      <c r="CH89" s="121"/>
      <c r="CI89" s="121"/>
      <c r="CJ89" s="121"/>
      <c r="CK89" s="121"/>
      <c r="CL89" s="121"/>
      <c r="CM89" s="121"/>
      <c r="CN89" s="121"/>
      <c r="CO89" s="121"/>
      <c r="CP89" s="121"/>
      <c r="CQ89" s="121"/>
      <c r="CR89" s="121"/>
      <c r="CS89" s="121"/>
      <c r="CT89" s="121"/>
      <c r="CU89" s="121"/>
      <c r="CV89" s="121"/>
      <c r="CW89" s="121"/>
      <c r="CX89" s="121"/>
      <c r="CY89" s="121"/>
      <c r="CZ89" s="121"/>
      <c r="DA89" s="121"/>
      <c r="DB89" s="121"/>
      <c r="DC89" s="121"/>
      <c r="DD89" s="121"/>
      <c r="DE89" s="121"/>
      <c r="DF89" s="121"/>
      <c r="DG89" s="121"/>
      <c r="DH89" s="121"/>
      <c r="DI89" s="121"/>
      <c r="DJ89" s="121"/>
      <c r="DK89" s="121"/>
      <c r="DL89" s="121"/>
      <c r="DM89" s="121"/>
      <c r="DN89" s="121"/>
      <c r="DO89" s="121"/>
      <c r="DP89" s="121"/>
      <c r="DQ89" s="121"/>
      <c r="DR89" s="121"/>
      <c r="DS89" s="121"/>
      <c r="DT89" s="121"/>
      <c r="DU89" s="121"/>
      <c r="DV89" s="121"/>
      <c r="DW89" s="121"/>
      <c r="DX89" s="121"/>
      <c r="DY89" s="121"/>
      <c r="DZ89" s="121"/>
      <c r="EA89" s="121"/>
      <c r="EB89" s="121"/>
      <c r="EC89" s="121"/>
      <c r="ED89" s="121"/>
      <c r="EE89" s="121"/>
      <c r="EF89" s="121"/>
      <c r="EG89" s="121"/>
      <c r="EH89" s="121"/>
      <c r="EI89" s="121"/>
      <c r="EJ89" s="121"/>
      <c r="EK89" s="121"/>
      <c r="EL89" s="121"/>
      <c r="EM89" s="121"/>
      <c r="EN89" s="121"/>
      <c r="EO89" s="121"/>
      <c r="EP89" s="121"/>
      <c r="EQ89" s="121"/>
      <c r="ER89" s="121"/>
      <c r="ES89" s="121"/>
      <c r="ET89" s="121"/>
      <c r="EU89" s="121"/>
      <c r="EV89" s="121"/>
      <c r="EW89" s="121"/>
      <c r="EX89" s="121"/>
      <c r="EY89" s="121"/>
      <c r="EZ89" s="121"/>
      <c r="FA89" s="121"/>
      <c r="FB89" s="121"/>
      <c r="FC89" s="121"/>
      <c r="FD89" s="121"/>
      <c r="FE89" s="121"/>
      <c r="FF89" s="121"/>
      <c r="FG89" s="121"/>
      <c r="FH89" s="121"/>
      <c r="FI89" s="121"/>
      <c r="FJ89" s="121"/>
      <c r="FK89" s="121"/>
      <c r="FL89" s="121"/>
      <c r="FM89" s="121"/>
      <c r="FN89" s="121"/>
      <c r="FO89" s="121"/>
      <c r="FP89" s="121"/>
      <c r="FQ89" s="121"/>
      <c r="FR89" s="121"/>
      <c r="FS89" s="121"/>
      <c r="FT89" s="121"/>
      <c r="FU89" s="121"/>
      <c r="FV89" s="121"/>
      <c r="FW89" s="121"/>
      <c r="FX89" s="121"/>
      <c r="FY89" s="121"/>
      <c r="FZ89" s="121"/>
      <c r="GA89" s="121"/>
      <c r="GB89" s="121"/>
      <c r="GC89" s="121"/>
      <c r="GD89" s="121"/>
      <c r="GE89" s="121"/>
      <c r="GF89" s="121"/>
      <c r="GG89" s="121"/>
      <c r="GH89" s="121"/>
    </row>
    <row r="90" spans="1:190">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c r="AS90" s="121"/>
      <c r="AT90" s="121"/>
      <c r="AU90" s="121"/>
      <c r="AV90" s="121"/>
      <c r="AW90" s="121"/>
      <c r="AX90" s="121"/>
      <c r="AY90" s="121"/>
      <c r="AZ90" s="121"/>
      <c r="BA90" s="121"/>
      <c r="BB90" s="121"/>
      <c r="BC90" s="121"/>
      <c r="BD90" s="121"/>
      <c r="BE90" s="121"/>
      <c r="BF90" s="121"/>
      <c r="BG90" s="121"/>
      <c r="BH90" s="121"/>
      <c r="BI90" s="121"/>
      <c r="BJ90" s="121"/>
      <c r="BK90" s="121"/>
      <c r="BL90" s="121"/>
      <c r="BM90" s="121"/>
      <c r="BN90" s="121"/>
      <c r="BO90" s="121"/>
      <c r="BP90" s="121"/>
      <c r="BQ90" s="121"/>
      <c r="BR90" s="121"/>
      <c r="BS90" s="121"/>
      <c r="BT90" s="121"/>
      <c r="BU90" s="121"/>
      <c r="BV90" s="121"/>
      <c r="BW90" s="121"/>
      <c r="BX90" s="121"/>
      <c r="BY90" s="121"/>
      <c r="BZ90" s="121"/>
      <c r="CA90" s="121"/>
      <c r="CB90" s="121"/>
      <c r="CC90" s="121"/>
      <c r="CD90" s="121"/>
      <c r="CE90" s="121"/>
      <c r="CF90" s="121"/>
      <c r="CG90" s="121"/>
      <c r="CH90" s="121"/>
      <c r="CI90" s="121"/>
      <c r="CJ90" s="121"/>
      <c r="CK90" s="121"/>
      <c r="CL90" s="121"/>
      <c r="CM90" s="121"/>
      <c r="CN90" s="121"/>
      <c r="CO90" s="121"/>
      <c r="CP90" s="121"/>
      <c r="CQ90" s="121"/>
      <c r="CR90" s="121"/>
      <c r="CS90" s="121"/>
      <c r="CT90" s="121"/>
      <c r="CU90" s="121"/>
      <c r="CV90" s="121"/>
      <c r="CW90" s="121"/>
      <c r="CX90" s="121"/>
      <c r="CY90" s="121"/>
      <c r="CZ90" s="121"/>
      <c r="DA90" s="121"/>
      <c r="DB90" s="121"/>
      <c r="DC90" s="121"/>
      <c r="DD90" s="121"/>
      <c r="DE90" s="121"/>
      <c r="DF90" s="121"/>
      <c r="DG90" s="121"/>
      <c r="DH90" s="121"/>
      <c r="DI90" s="121"/>
      <c r="DJ90" s="121"/>
      <c r="DK90" s="121"/>
      <c r="DL90" s="121"/>
      <c r="DM90" s="121"/>
      <c r="DN90" s="121"/>
      <c r="DO90" s="121"/>
      <c r="DP90" s="121"/>
      <c r="DQ90" s="121"/>
      <c r="DR90" s="121"/>
      <c r="DS90" s="121"/>
      <c r="DT90" s="121"/>
      <c r="DU90" s="121"/>
      <c r="DV90" s="121"/>
      <c r="DW90" s="121"/>
      <c r="DX90" s="121"/>
      <c r="DY90" s="121"/>
      <c r="DZ90" s="121"/>
      <c r="EA90" s="121"/>
      <c r="EB90" s="121"/>
      <c r="EC90" s="121"/>
      <c r="ED90" s="121"/>
      <c r="EE90" s="121"/>
      <c r="EF90" s="121"/>
      <c r="EG90" s="121"/>
      <c r="EH90" s="121"/>
      <c r="EI90" s="121"/>
      <c r="EJ90" s="121"/>
      <c r="EK90" s="121"/>
      <c r="EL90" s="121"/>
      <c r="EM90" s="121"/>
      <c r="EN90" s="121"/>
      <c r="EO90" s="121"/>
      <c r="EP90" s="121"/>
      <c r="EQ90" s="121"/>
      <c r="ER90" s="121"/>
      <c r="ES90" s="121"/>
      <c r="ET90" s="121"/>
      <c r="EU90" s="121"/>
      <c r="EV90" s="121"/>
      <c r="EW90" s="121"/>
      <c r="EX90" s="121"/>
      <c r="EY90" s="121"/>
      <c r="EZ90" s="121"/>
      <c r="FA90" s="121"/>
      <c r="FB90" s="121"/>
      <c r="FC90" s="121"/>
      <c r="FD90" s="121"/>
      <c r="FE90" s="121"/>
      <c r="FF90" s="121"/>
      <c r="FG90" s="121"/>
      <c r="FH90" s="121"/>
      <c r="FI90" s="121"/>
      <c r="FJ90" s="121"/>
      <c r="FK90" s="121"/>
      <c r="FL90" s="121"/>
      <c r="FM90" s="121"/>
      <c r="FN90" s="121"/>
      <c r="FO90" s="121"/>
      <c r="FP90" s="121"/>
      <c r="FQ90" s="121"/>
      <c r="FR90" s="121"/>
      <c r="FS90" s="121"/>
      <c r="FT90" s="121"/>
      <c r="FU90" s="121"/>
      <c r="FV90" s="121"/>
      <c r="FW90" s="121"/>
      <c r="FX90" s="121"/>
      <c r="FY90" s="121"/>
      <c r="FZ90" s="121"/>
      <c r="GA90" s="121"/>
      <c r="GB90" s="121"/>
      <c r="GC90" s="121"/>
      <c r="GD90" s="121"/>
      <c r="GE90" s="121"/>
      <c r="GF90" s="121"/>
      <c r="GG90" s="121"/>
      <c r="GH90" s="121"/>
    </row>
    <row r="91" spans="1:190">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c r="AZ91" s="121"/>
      <c r="BA91" s="121"/>
      <c r="BB91" s="121"/>
      <c r="BC91" s="121"/>
      <c r="BD91" s="121"/>
      <c r="BE91" s="121"/>
      <c r="BF91" s="121"/>
      <c r="BG91" s="121"/>
      <c r="BH91" s="121"/>
      <c r="BI91" s="121"/>
      <c r="BJ91" s="121"/>
      <c r="BK91" s="121"/>
      <c r="BL91" s="121"/>
      <c r="BM91" s="121"/>
      <c r="BN91" s="121"/>
      <c r="BO91" s="121"/>
      <c r="BP91" s="121"/>
      <c r="BQ91" s="121"/>
      <c r="BR91" s="121"/>
      <c r="BS91" s="121"/>
      <c r="BT91" s="121"/>
      <c r="BU91" s="121"/>
      <c r="BV91" s="121"/>
      <c r="BW91" s="121"/>
      <c r="BX91" s="121"/>
      <c r="BY91" s="121"/>
      <c r="BZ91" s="121"/>
      <c r="CA91" s="121"/>
      <c r="CB91" s="121"/>
      <c r="CC91" s="121"/>
      <c r="CD91" s="121"/>
      <c r="CE91" s="121"/>
      <c r="CF91" s="121"/>
      <c r="CG91" s="121"/>
      <c r="CH91" s="121"/>
      <c r="CI91" s="121"/>
      <c r="CJ91" s="121"/>
      <c r="CK91" s="121"/>
      <c r="CL91" s="121"/>
      <c r="CM91" s="121"/>
      <c r="CN91" s="121"/>
      <c r="CO91" s="121"/>
      <c r="CP91" s="121"/>
      <c r="CQ91" s="121"/>
      <c r="CR91" s="121"/>
      <c r="CS91" s="121"/>
      <c r="CT91" s="121"/>
      <c r="CU91" s="121"/>
      <c r="CV91" s="121"/>
      <c r="CW91" s="121"/>
      <c r="CX91" s="121"/>
      <c r="CY91" s="121"/>
      <c r="CZ91" s="121"/>
      <c r="DA91" s="121"/>
      <c r="DB91" s="121"/>
      <c r="DC91" s="121"/>
      <c r="DD91" s="121"/>
      <c r="DE91" s="121"/>
      <c r="DF91" s="121"/>
      <c r="DG91" s="121"/>
      <c r="DH91" s="121"/>
      <c r="DI91" s="121"/>
      <c r="DJ91" s="121"/>
      <c r="DK91" s="121"/>
      <c r="DL91" s="121"/>
      <c r="DM91" s="121"/>
      <c r="DN91" s="121"/>
      <c r="DO91" s="121"/>
      <c r="DP91" s="121"/>
      <c r="DQ91" s="121"/>
      <c r="DR91" s="121"/>
      <c r="DS91" s="121"/>
      <c r="DT91" s="121"/>
      <c r="DU91" s="121"/>
      <c r="DV91" s="121"/>
      <c r="DW91" s="121"/>
      <c r="DX91" s="121"/>
      <c r="DY91" s="121"/>
      <c r="DZ91" s="121"/>
      <c r="EA91" s="121"/>
      <c r="EB91" s="121"/>
      <c r="EC91" s="121"/>
      <c r="ED91" s="121"/>
      <c r="EE91" s="121"/>
      <c r="EF91" s="121"/>
      <c r="EG91" s="121"/>
      <c r="EH91" s="121"/>
      <c r="EI91" s="121"/>
      <c r="EJ91" s="121"/>
      <c r="EK91" s="121"/>
      <c r="EL91" s="121"/>
      <c r="EM91" s="121"/>
      <c r="EN91" s="121"/>
      <c r="EO91" s="121"/>
      <c r="EP91" s="121"/>
      <c r="EQ91" s="121"/>
      <c r="ER91" s="121"/>
      <c r="ES91" s="121"/>
      <c r="ET91" s="121"/>
      <c r="EU91" s="121"/>
      <c r="EV91" s="121"/>
      <c r="EW91" s="121"/>
      <c r="EX91" s="121"/>
      <c r="EY91" s="121"/>
      <c r="EZ91" s="121"/>
      <c r="FA91" s="121"/>
      <c r="FB91" s="121"/>
      <c r="FC91" s="121"/>
      <c r="FD91" s="121"/>
      <c r="FE91" s="121"/>
      <c r="FF91" s="121"/>
      <c r="FG91" s="121"/>
      <c r="FH91" s="121"/>
      <c r="FI91" s="121"/>
      <c r="FJ91" s="121"/>
      <c r="FK91" s="121"/>
      <c r="FL91" s="121"/>
      <c r="FM91" s="121"/>
      <c r="FN91" s="121"/>
      <c r="FO91" s="121"/>
      <c r="FP91" s="121"/>
      <c r="FQ91" s="121"/>
      <c r="FR91" s="121"/>
      <c r="FS91" s="121"/>
      <c r="FT91" s="121"/>
      <c r="FU91" s="121"/>
      <c r="FV91" s="121"/>
      <c r="FW91" s="121"/>
      <c r="FX91" s="121"/>
      <c r="FY91" s="121"/>
      <c r="FZ91" s="121"/>
      <c r="GA91" s="121"/>
      <c r="GB91" s="121"/>
      <c r="GC91" s="121"/>
      <c r="GD91" s="121"/>
      <c r="GE91" s="121"/>
      <c r="GF91" s="121"/>
      <c r="GG91" s="121"/>
      <c r="GH91" s="121"/>
    </row>
    <row r="92" spans="1:190">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1"/>
      <c r="AP92" s="121"/>
      <c r="AQ92" s="121"/>
      <c r="AR92" s="121"/>
      <c r="AS92" s="121"/>
      <c r="AT92" s="121"/>
      <c r="AU92" s="121"/>
      <c r="AV92" s="121"/>
      <c r="AW92" s="121"/>
      <c r="AX92" s="121"/>
      <c r="AY92" s="121"/>
      <c r="AZ92" s="121"/>
      <c r="BA92" s="121"/>
      <c r="BB92" s="121"/>
      <c r="BC92" s="121"/>
      <c r="BD92" s="121"/>
      <c r="BE92" s="121"/>
      <c r="BF92" s="121"/>
      <c r="BG92" s="121"/>
      <c r="BH92" s="121"/>
      <c r="BI92" s="121"/>
      <c r="BJ92" s="121"/>
      <c r="BK92" s="121"/>
      <c r="BL92" s="121"/>
      <c r="BM92" s="121"/>
      <c r="BN92" s="121"/>
      <c r="BO92" s="121"/>
      <c r="BP92" s="121"/>
      <c r="BQ92" s="121"/>
      <c r="BR92" s="121"/>
      <c r="BS92" s="121"/>
      <c r="BT92" s="121"/>
      <c r="BU92" s="121"/>
      <c r="BV92" s="121"/>
      <c r="BW92" s="121"/>
      <c r="BX92" s="121"/>
      <c r="BY92" s="121"/>
      <c r="BZ92" s="121"/>
      <c r="CA92" s="121"/>
      <c r="CB92" s="121"/>
      <c r="CC92" s="121"/>
      <c r="CD92" s="121"/>
      <c r="CE92" s="121"/>
      <c r="CF92" s="121"/>
      <c r="CG92" s="121"/>
      <c r="CH92" s="121"/>
      <c r="CI92" s="121"/>
      <c r="CJ92" s="121"/>
      <c r="CK92" s="121"/>
      <c r="CL92" s="121"/>
      <c r="CM92" s="121"/>
      <c r="CN92" s="121"/>
      <c r="CO92" s="121"/>
      <c r="CP92" s="121"/>
      <c r="CQ92" s="121"/>
      <c r="CR92" s="121"/>
      <c r="CS92" s="121"/>
      <c r="CT92" s="121"/>
      <c r="CU92" s="121"/>
      <c r="CV92" s="121"/>
      <c r="CW92" s="121"/>
      <c r="CX92" s="121"/>
      <c r="CY92" s="121"/>
      <c r="CZ92" s="121"/>
      <c r="DA92" s="121"/>
      <c r="DB92" s="121"/>
      <c r="DC92" s="121"/>
      <c r="DD92" s="121"/>
      <c r="DE92" s="121"/>
      <c r="DF92" s="121"/>
      <c r="DG92" s="121"/>
      <c r="DH92" s="121"/>
      <c r="DI92" s="121"/>
      <c r="DJ92" s="121"/>
      <c r="DK92" s="121"/>
      <c r="DL92" s="121"/>
      <c r="DM92" s="121"/>
      <c r="DN92" s="121"/>
      <c r="DO92" s="121"/>
      <c r="DP92" s="121"/>
      <c r="DQ92" s="121"/>
      <c r="DR92" s="121"/>
      <c r="DS92" s="121"/>
      <c r="DT92" s="121"/>
      <c r="DU92" s="121"/>
      <c r="DV92" s="121"/>
      <c r="DW92" s="121"/>
      <c r="DX92" s="121"/>
      <c r="DY92" s="121"/>
      <c r="DZ92" s="121"/>
      <c r="EA92" s="121"/>
      <c r="EB92" s="121"/>
      <c r="EC92" s="121"/>
      <c r="ED92" s="121"/>
      <c r="EE92" s="121"/>
      <c r="EF92" s="121"/>
      <c r="EG92" s="121"/>
      <c r="EH92" s="121"/>
      <c r="EI92" s="121"/>
      <c r="EJ92" s="121"/>
      <c r="EK92" s="121"/>
      <c r="EL92" s="121"/>
      <c r="EM92" s="121"/>
      <c r="EN92" s="121"/>
      <c r="EO92" s="121"/>
      <c r="EP92" s="121"/>
      <c r="EQ92" s="121"/>
      <c r="ER92" s="121"/>
      <c r="ES92" s="121"/>
      <c r="ET92" s="121"/>
      <c r="EU92" s="121"/>
      <c r="EV92" s="121"/>
      <c r="EW92" s="121"/>
      <c r="EX92" s="121"/>
      <c r="EY92" s="121"/>
      <c r="EZ92" s="121"/>
      <c r="FA92" s="121"/>
      <c r="FB92" s="121"/>
      <c r="FC92" s="121"/>
      <c r="FD92" s="121"/>
      <c r="FE92" s="121"/>
      <c r="FF92" s="121"/>
      <c r="FG92" s="121"/>
      <c r="FH92" s="121"/>
      <c r="FI92" s="121"/>
      <c r="FJ92" s="121"/>
      <c r="FK92" s="121"/>
      <c r="FL92" s="121"/>
      <c r="FM92" s="121"/>
      <c r="FN92" s="121"/>
      <c r="FO92" s="121"/>
      <c r="FP92" s="121"/>
      <c r="FQ92" s="121"/>
      <c r="FR92" s="121"/>
      <c r="FS92" s="121"/>
      <c r="FT92" s="121"/>
      <c r="FU92" s="121"/>
      <c r="FV92" s="121"/>
      <c r="FW92" s="121"/>
      <c r="FX92" s="121"/>
      <c r="FY92" s="121"/>
      <c r="FZ92" s="121"/>
      <c r="GA92" s="121"/>
      <c r="GB92" s="121"/>
      <c r="GC92" s="121"/>
      <c r="GD92" s="121"/>
      <c r="GE92" s="121"/>
      <c r="GF92" s="121"/>
      <c r="GG92" s="121"/>
      <c r="GH92" s="121"/>
    </row>
    <row r="93" spans="1:190">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c r="BB93" s="121"/>
      <c r="BC93" s="121"/>
      <c r="BD93" s="121"/>
      <c r="BE93" s="121"/>
      <c r="BF93" s="121"/>
      <c r="BG93" s="121"/>
      <c r="BH93" s="121"/>
      <c r="BI93" s="121"/>
      <c r="BJ93" s="121"/>
      <c r="BK93" s="121"/>
      <c r="BL93" s="121"/>
      <c r="BM93" s="121"/>
      <c r="BN93" s="121"/>
      <c r="BO93" s="121"/>
      <c r="BP93" s="121"/>
      <c r="BQ93" s="121"/>
      <c r="BR93" s="121"/>
      <c r="BS93" s="121"/>
      <c r="BT93" s="121"/>
      <c r="BU93" s="121"/>
      <c r="BV93" s="121"/>
      <c r="BW93" s="121"/>
      <c r="BX93" s="121"/>
      <c r="BY93" s="121"/>
      <c r="BZ93" s="121"/>
      <c r="CA93" s="121"/>
      <c r="CB93" s="121"/>
      <c r="CC93" s="121"/>
      <c r="CD93" s="121"/>
      <c r="CE93" s="121"/>
      <c r="CF93" s="121"/>
      <c r="CG93" s="121"/>
      <c r="CH93" s="121"/>
      <c r="CI93" s="121"/>
      <c r="CJ93" s="121"/>
      <c r="CK93" s="121"/>
      <c r="CL93" s="121"/>
      <c r="CM93" s="121"/>
      <c r="CN93" s="121"/>
      <c r="CO93" s="121"/>
      <c r="CP93" s="121"/>
      <c r="CQ93" s="121"/>
      <c r="CR93" s="121"/>
      <c r="CS93" s="121"/>
      <c r="CT93" s="121"/>
      <c r="CU93" s="121"/>
      <c r="CV93" s="121"/>
      <c r="CW93" s="121"/>
      <c r="CX93" s="121"/>
      <c r="CY93" s="121"/>
      <c r="CZ93" s="121"/>
      <c r="DA93" s="121"/>
      <c r="DB93" s="121"/>
      <c r="DC93" s="121"/>
      <c r="DD93" s="121"/>
      <c r="DE93" s="121"/>
      <c r="DF93" s="121"/>
      <c r="DG93" s="121"/>
      <c r="DH93" s="121"/>
      <c r="DI93" s="121"/>
      <c r="DJ93" s="121"/>
      <c r="DK93" s="121"/>
      <c r="DL93" s="121"/>
      <c r="DM93" s="121"/>
      <c r="DN93" s="121"/>
      <c r="DO93" s="121"/>
      <c r="DP93" s="121"/>
      <c r="DQ93" s="121"/>
      <c r="DR93" s="121"/>
      <c r="DS93" s="121"/>
      <c r="DT93" s="121"/>
      <c r="DU93" s="121"/>
      <c r="DV93" s="121"/>
      <c r="DW93" s="121"/>
      <c r="DX93" s="121"/>
      <c r="DY93" s="121"/>
      <c r="DZ93" s="121"/>
      <c r="EA93" s="121"/>
      <c r="EB93" s="121"/>
      <c r="EC93" s="121"/>
      <c r="ED93" s="121"/>
      <c r="EE93" s="121"/>
      <c r="EF93" s="121"/>
      <c r="EG93" s="121"/>
      <c r="EH93" s="121"/>
      <c r="EI93" s="121"/>
      <c r="EJ93" s="121"/>
      <c r="EK93" s="121"/>
      <c r="EL93" s="121"/>
      <c r="EM93" s="121"/>
      <c r="EN93" s="121"/>
      <c r="EO93" s="121"/>
      <c r="EP93" s="121"/>
      <c r="EQ93" s="121"/>
      <c r="ER93" s="121"/>
      <c r="ES93" s="121"/>
      <c r="ET93" s="121"/>
      <c r="EU93" s="121"/>
      <c r="EV93" s="121"/>
      <c r="EW93" s="121"/>
      <c r="EX93" s="121"/>
      <c r="EY93" s="121"/>
      <c r="EZ93" s="121"/>
      <c r="FA93" s="121"/>
      <c r="FB93" s="121"/>
      <c r="FC93" s="121"/>
      <c r="FD93" s="121"/>
      <c r="FE93" s="121"/>
      <c r="FF93" s="121"/>
      <c r="FG93" s="121"/>
      <c r="FH93" s="121"/>
      <c r="FI93" s="121"/>
      <c r="FJ93" s="121"/>
      <c r="FK93" s="121"/>
      <c r="FL93" s="121"/>
      <c r="FM93" s="121"/>
      <c r="FN93" s="121"/>
      <c r="FO93" s="121"/>
      <c r="FP93" s="121"/>
      <c r="FQ93" s="121"/>
      <c r="FR93" s="121"/>
      <c r="FS93" s="121"/>
      <c r="FT93" s="121"/>
      <c r="FU93" s="121"/>
      <c r="FV93" s="121"/>
      <c r="FW93" s="121"/>
      <c r="FX93" s="121"/>
      <c r="FY93" s="121"/>
      <c r="FZ93" s="121"/>
      <c r="GA93" s="121"/>
      <c r="GB93" s="121"/>
      <c r="GC93" s="121"/>
      <c r="GD93" s="121"/>
      <c r="GE93" s="121"/>
      <c r="GF93" s="121"/>
      <c r="GG93" s="121"/>
      <c r="GH93" s="121"/>
    </row>
    <row r="94" spans="1:190">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J94" s="121"/>
      <c r="AK94" s="121"/>
      <c r="AL94" s="121"/>
      <c r="AM94" s="121"/>
      <c r="AN94" s="121"/>
      <c r="AO94" s="121"/>
      <c r="AP94" s="121"/>
      <c r="AQ94" s="121"/>
      <c r="AR94" s="121"/>
      <c r="AS94" s="121"/>
      <c r="AT94" s="121"/>
      <c r="AU94" s="121"/>
      <c r="AV94" s="121"/>
      <c r="AW94" s="121"/>
      <c r="AX94" s="121"/>
      <c r="AY94" s="121"/>
      <c r="AZ94" s="121"/>
      <c r="BA94" s="121"/>
      <c r="BB94" s="121"/>
      <c r="BC94" s="121"/>
      <c r="BD94" s="121"/>
      <c r="BE94" s="121"/>
      <c r="BF94" s="121"/>
      <c r="BG94" s="121"/>
      <c r="BH94" s="121"/>
      <c r="BI94" s="121"/>
      <c r="BJ94" s="121"/>
      <c r="BK94" s="121"/>
      <c r="BL94" s="121"/>
      <c r="BM94" s="121"/>
      <c r="BN94" s="121"/>
      <c r="BO94" s="121"/>
      <c r="BP94" s="121"/>
      <c r="BQ94" s="121"/>
      <c r="BR94" s="121"/>
      <c r="BS94" s="121"/>
      <c r="BT94" s="121"/>
      <c r="BU94" s="121"/>
      <c r="BV94" s="121"/>
      <c r="BW94" s="121"/>
      <c r="BX94" s="121"/>
      <c r="BY94" s="121"/>
      <c r="BZ94" s="121"/>
      <c r="CA94" s="121"/>
      <c r="CB94" s="121"/>
      <c r="CC94" s="121"/>
      <c r="CD94" s="121"/>
      <c r="CE94" s="121"/>
      <c r="CF94" s="121"/>
      <c r="CG94" s="121"/>
      <c r="CH94" s="121"/>
      <c r="CI94" s="121"/>
      <c r="CJ94" s="121"/>
      <c r="CK94" s="121"/>
      <c r="CL94" s="121"/>
      <c r="CM94" s="121"/>
      <c r="CN94" s="121"/>
      <c r="CO94" s="121"/>
      <c r="CP94" s="121"/>
      <c r="CQ94" s="121"/>
      <c r="CR94" s="121"/>
      <c r="CS94" s="121"/>
      <c r="CT94" s="121"/>
      <c r="CU94" s="121"/>
      <c r="CV94" s="121"/>
      <c r="CW94" s="121"/>
      <c r="CX94" s="121"/>
      <c r="CY94" s="121"/>
      <c r="CZ94" s="121"/>
      <c r="DA94" s="121"/>
      <c r="DB94" s="121"/>
      <c r="DC94" s="121"/>
      <c r="DD94" s="121"/>
      <c r="DE94" s="121"/>
      <c r="DF94" s="121"/>
      <c r="DG94" s="121"/>
      <c r="DH94" s="121"/>
      <c r="DI94" s="121"/>
      <c r="DJ94" s="121"/>
      <c r="DK94" s="121"/>
      <c r="DL94" s="121"/>
      <c r="DM94" s="121"/>
      <c r="DN94" s="121"/>
      <c r="DO94" s="121"/>
      <c r="DP94" s="121"/>
      <c r="DQ94" s="121"/>
      <c r="DR94" s="121"/>
      <c r="DS94" s="121"/>
      <c r="DT94" s="121"/>
      <c r="DU94" s="121"/>
      <c r="DV94" s="121"/>
      <c r="DW94" s="121"/>
      <c r="DX94" s="121"/>
      <c r="DY94" s="121"/>
      <c r="DZ94" s="121"/>
      <c r="EA94" s="121"/>
      <c r="EB94" s="121"/>
      <c r="EC94" s="121"/>
      <c r="ED94" s="121"/>
      <c r="EE94" s="121"/>
      <c r="EF94" s="121"/>
      <c r="EG94" s="121"/>
      <c r="EH94" s="121"/>
      <c r="EI94" s="121"/>
      <c r="EJ94" s="121"/>
      <c r="EK94" s="121"/>
      <c r="EL94" s="121"/>
      <c r="EM94" s="121"/>
      <c r="EN94" s="121"/>
      <c r="EO94" s="121"/>
      <c r="EP94" s="121"/>
      <c r="EQ94" s="121"/>
      <c r="ER94" s="121"/>
      <c r="ES94" s="121"/>
      <c r="ET94" s="121"/>
      <c r="EU94" s="121"/>
      <c r="EV94" s="121"/>
      <c r="EW94" s="121"/>
      <c r="EX94" s="121"/>
      <c r="EY94" s="121"/>
      <c r="EZ94" s="121"/>
      <c r="FA94" s="121"/>
      <c r="FB94" s="121"/>
      <c r="FC94" s="121"/>
      <c r="FD94" s="121"/>
      <c r="FE94" s="121"/>
      <c r="FF94" s="121"/>
      <c r="FG94" s="121"/>
      <c r="FH94" s="121"/>
      <c r="FI94" s="121"/>
      <c r="FJ94" s="121"/>
      <c r="FK94" s="121"/>
      <c r="FL94" s="121"/>
      <c r="FM94" s="121"/>
      <c r="FN94" s="121"/>
      <c r="FO94" s="121"/>
      <c r="FP94" s="121"/>
      <c r="FQ94" s="121"/>
      <c r="FR94" s="121"/>
      <c r="FS94" s="121"/>
      <c r="FT94" s="121"/>
      <c r="FU94" s="121"/>
      <c r="FV94" s="121"/>
      <c r="FW94" s="121"/>
      <c r="FX94" s="121"/>
      <c r="FY94" s="121"/>
      <c r="FZ94" s="121"/>
      <c r="GA94" s="121"/>
      <c r="GB94" s="121"/>
      <c r="GC94" s="121"/>
      <c r="GD94" s="121"/>
      <c r="GE94" s="121"/>
      <c r="GF94" s="121"/>
      <c r="GG94" s="121"/>
      <c r="GH94" s="121"/>
    </row>
    <row r="95" spans="1:190">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1"/>
      <c r="AP95" s="121"/>
      <c r="AQ95" s="121"/>
      <c r="AR95" s="121"/>
      <c r="AS95" s="121"/>
      <c r="AT95" s="121"/>
      <c r="AU95" s="121"/>
      <c r="AV95" s="121"/>
      <c r="AW95" s="121"/>
      <c r="AX95" s="121"/>
      <c r="AY95" s="121"/>
      <c r="AZ95" s="121"/>
      <c r="BA95" s="121"/>
      <c r="BB95" s="121"/>
      <c r="BC95" s="121"/>
      <c r="BD95" s="121"/>
      <c r="BE95" s="121"/>
      <c r="BF95" s="121"/>
      <c r="BG95" s="121"/>
      <c r="BH95" s="121"/>
      <c r="BI95" s="121"/>
      <c r="BJ95" s="121"/>
      <c r="BK95" s="121"/>
      <c r="BL95" s="121"/>
      <c r="BM95" s="121"/>
      <c r="BN95" s="121"/>
      <c r="BO95" s="121"/>
      <c r="BP95" s="121"/>
      <c r="BQ95" s="121"/>
      <c r="BR95" s="121"/>
      <c r="BS95" s="121"/>
      <c r="BT95" s="121"/>
      <c r="BU95" s="121"/>
      <c r="BV95" s="121"/>
      <c r="BW95" s="121"/>
      <c r="BX95" s="121"/>
      <c r="BY95" s="121"/>
      <c r="BZ95" s="121"/>
      <c r="CA95" s="121"/>
      <c r="CB95" s="121"/>
      <c r="CC95" s="121"/>
      <c r="CD95" s="121"/>
      <c r="CE95" s="121"/>
      <c r="CF95" s="121"/>
      <c r="CG95" s="121"/>
      <c r="CH95" s="121"/>
      <c r="CI95" s="121"/>
      <c r="CJ95" s="121"/>
      <c r="CK95" s="121"/>
      <c r="CL95" s="121"/>
      <c r="CM95" s="121"/>
      <c r="CN95" s="121"/>
      <c r="CO95" s="121"/>
      <c r="CP95" s="121"/>
      <c r="CQ95" s="121"/>
      <c r="CR95" s="121"/>
      <c r="CS95" s="121"/>
      <c r="CT95" s="121"/>
      <c r="CU95" s="121"/>
      <c r="CV95" s="121"/>
      <c r="CW95" s="121"/>
      <c r="CX95" s="121"/>
      <c r="CY95" s="121"/>
      <c r="CZ95" s="121"/>
      <c r="DA95" s="121"/>
      <c r="DB95" s="121"/>
      <c r="DC95" s="121"/>
      <c r="DD95" s="121"/>
      <c r="DE95" s="121"/>
      <c r="DF95" s="121"/>
      <c r="DG95" s="121"/>
      <c r="DH95" s="121"/>
      <c r="DI95" s="121"/>
      <c r="DJ95" s="121"/>
      <c r="DK95" s="121"/>
      <c r="DL95" s="121"/>
      <c r="DM95" s="121"/>
      <c r="DN95" s="121"/>
      <c r="DO95" s="121"/>
      <c r="DP95" s="121"/>
      <c r="DQ95" s="121"/>
      <c r="DR95" s="121"/>
      <c r="DS95" s="121"/>
      <c r="DT95" s="121"/>
      <c r="DU95" s="121"/>
      <c r="DV95" s="121"/>
      <c r="DW95" s="121"/>
      <c r="DX95" s="121"/>
      <c r="DY95" s="121"/>
      <c r="DZ95" s="121"/>
      <c r="EA95" s="121"/>
      <c r="EB95" s="121"/>
      <c r="EC95" s="121"/>
      <c r="ED95" s="121"/>
      <c r="EE95" s="121"/>
      <c r="EF95" s="121"/>
      <c r="EG95" s="121"/>
      <c r="EH95" s="121"/>
      <c r="EI95" s="121"/>
      <c r="EJ95" s="121"/>
      <c r="EK95" s="121"/>
      <c r="EL95" s="121"/>
      <c r="EM95" s="121"/>
      <c r="EN95" s="121"/>
      <c r="EO95" s="121"/>
      <c r="EP95" s="121"/>
      <c r="EQ95" s="121"/>
      <c r="ER95" s="121"/>
      <c r="ES95" s="121"/>
      <c r="ET95" s="121"/>
      <c r="EU95" s="121"/>
      <c r="EV95" s="121"/>
      <c r="EW95" s="121"/>
      <c r="EX95" s="121"/>
      <c r="EY95" s="121"/>
      <c r="EZ95" s="121"/>
      <c r="FA95" s="121"/>
      <c r="FB95" s="121"/>
      <c r="FC95" s="121"/>
      <c r="FD95" s="121"/>
      <c r="FE95" s="121"/>
      <c r="FF95" s="121"/>
      <c r="FG95" s="121"/>
      <c r="FH95" s="121"/>
      <c r="FI95" s="121"/>
      <c r="FJ95" s="121"/>
      <c r="FK95" s="121"/>
      <c r="FL95" s="121"/>
      <c r="FM95" s="121"/>
      <c r="FN95" s="121"/>
      <c r="FO95" s="121"/>
      <c r="FP95" s="121"/>
      <c r="FQ95" s="121"/>
      <c r="FR95" s="121"/>
      <c r="FS95" s="121"/>
      <c r="FT95" s="121"/>
      <c r="FU95" s="121"/>
      <c r="FV95" s="121"/>
      <c r="FW95" s="121"/>
      <c r="FX95" s="121"/>
      <c r="FY95" s="121"/>
      <c r="FZ95" s="121"/>
      <c r="GA95" s="121"/>
      <c r="GB95" s="121"/>
      <c r="GC95" s="121"/>
      <c r="GD95" s="121"/>
      <c r="GE95" s="121"/>
      <c r="GF95" s="121"/>
      <c r="GG95" s="121"/>
      <c r="GH95" s="121"/>
    </row>
    <row r="96" spans="1:190">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J96" s="121"/>
      <c r="AK96" s="121"/>
      <c r="AL96" s="121"/>
      <c r="AM96" s="121"/>
      <c r="AN96" s="121"/>
      <c r="AO96" s="121"/>
      <c r="AP96" s="121"/>
      <c r="AQ96" s="121"/>
      <c r="AR96" s="121"/>
      <c r="AS96" s="121"/>
      <c r="AT96" s="121"/>
      <c r="AU96" s="121"/>
      <c r="AV96" s="121"/>
      <c r="AW96" s="121"/>
      <c r="AX96" s="121"/>
      <c r="AY96" s="121"/>
      <c r="AZ96" s="121"/>
      <c r="BA96" s="121"/>
      <c r="BB96" s="121"/>
      <c r="BC96" s="121"/>
      <c r="BD96" s="121"/>
      <c r="BE96" s="121"/>
      <c r="BF96" s="121"/>
      <c r="BG96" s="121"/>
      <c r="BH96" s="121"/>
      <c r="BI96" s="121"/>
      <c r="BJ96" s="121"/>
      <c r="BK96" s="121"/>
      <c r="BL96" s="121"/>
      <c r="BM96" s="121"/>
      <c r="BN96" s="121"/>
      <c r="BO96" s="121"/>
      <c r="BP96" s="121"/>
      <c r="BQ96" s="121"/>
      <c r="BR96" s="121"/>
      <c r="BS96" s="121"/>
      <c r="BT96" s="121"/>
      <c r="BU96" s="121"/>
      <c r="BV96" s="121"/>
      <c r="BW96" s="121"/>
      <c r="BX96" s="121"/>
      <c r="BY96" s="121"/>
      <c r="BZ96" s="121"/>
      <c r="CA96" s="121"/>
      <c r="CB96" s="121"/>
      <c r="CC96" s="121"/>
      <c r="CD96" s="121"/>
      <c r="CE96" s="121"/>
      <c r="CF96" s="121"/>
      <c r="CG96" s="121"/>
      <c r="CH96" s="121"/>
      <c r="CI96" s="121"/>
      <c r="CJ96" s="121"/>
      <c r="CK96" s="121"/>
      <c r="CL96" s="121"/>
      <c r="CM96" s="121"/>
      <c r="CN96" s="121"/>
      <c r="CO96" s="121"/>
      <c r="CP96" s="121"/>
      <c r="CQ96" s="121"/>
      <c r="CR96" s="121"/>
      <c r="CS96" s="121"/>
      <c r="CT96" s="121"/>
      <c r="CU96" s="121"/>
      <c r="CV96" s="121"/>
      <c r="CW96" s="121"/>
      <c r="CX96" s="121"/>
      <c r="CY96" s="121"/>
      <c r="CZ96" s="121"/>
      <c r="DA96" s="121"/>
      <c r="DB96" s="121"/>
      <c r="DC96" s="121"/>
      <c r="DD96" s="121"/>
      <c r="DE96" s="121"/>
      <c r="DF96" s="121"/>
      <c r="DG96" s="121"/>
      <c r="DH96" s="121"/>
      <c r="DI96" s="121"/>
      <c r="DJ96" s="121"/>
      <c r="DK96" s="121"/>
      <c r="DL96" s="121"/>
      <c r="DM96" s="121"/>
      <c r="DN96" s="121"/>
      <c r="DO96" s="121"/>
      <c r="DP96" s="121"/>
      <c r="DQ96" s="121"/>
      <c r="DR96" s="121"/>
      <c r="DS96" s="121"/>
      <c r="DT96" s="121"/>
      <c r="DU96" s="121"/>
      <c r="DV96" s="121"/>
      <c r="DW96" s="121"/>
      <c r="DX96" s="121"/>
      <c r="DY96" s="121"/>
      <c r="DZ96" s="121"/>
      <c r="EA96" s="121"/>
      <c r="EB96" s="121"/>
      <c r="EC96" s="121"/>
      <c r="ED96" s="121"/>
      <c r="EE96" s="121"/>
      <c r="EF96" s="121"/>
      <c r="EG96" s="121"/>
      <c r="EH96" s="121"/>
      <c r="EI96" s="121"/>
      <c r="EJ96" s="121"/>
      <c r="EK96" s="121"/>
      <c r="EL96" s="121"/>
      <c r="EM96" s="121"/>
      <c r="EN96" s="121"/>
      <c r="EO96" s="121"/>
      <c r="EP96" s="121"/>
      <c r="EQ96" s="121"/>
      <c r="ER96" s="121"/>
      <c r="ES96" s="121"/>
      <c r="ET96" s="121"/>
      <c r="EU96" s="121"/>
      <c r="EV96" s="121"/>
      <c r="EW96" s="121"/>
      <c r="EX96" s="121"/>
      <c r="EY96" s="121"/>
      <c r="EZ96" s="121"/>
      <c r="FA96" s="121"/>
      <c r="FB96" s="121"/>
      <c r="FC96" s="121"/>
      <c r="FD96" s="121"/>
      <c r="FE96" s="121"/>
      <c r="FF96" s="121"/>
      <c r="FG96" s="121"/>
      <c r="FH96" s="121"/>
      <c r="FI96" s="121"/>
      <c r="FJ96" s="121"/>
      <c r="FK96" s="121"/>
      <c r="FL96" s="121"/>
      <c r="FM96" s="121"/>
      <c r="FN96" s="121"/>
      <c r="FO96" s="121"/>
      <c r="FP96" s="121"/>
      <c r="FQ96" s="121"/>
      <c r="FR96" s="121"/>
      <c r="FS96" s="121"/>
      <c r="FT96" s="121"/>
      <c r="FU96" s="121"/>
      <c r="FV96" s="121"/>
      <c r="FW96" s="121"/>
      <c r="FX96" s="121"/>
      <c r="FY96" s="121"/>
      <c r="FZ96" s="121"/>
      <c r="GA96" s="121"/>
      <c r="GB96" s="121"/>
      <c r="GC96" s="121"/>
      <c r="GD96" s="121"/>
      <c r="GE96" s="121"/>
      <c r="GF96" s="121"/>
      <c r="GG96" s="121"/>
      <c r="GH96" s="121"/>
    </row>
    <row r="97" spans="1:190">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J97" s="121"/>
      <c r="AK97" s="121"/>
      <c r="AL97" s="121"/>
      <c r="AM97" s="121"/>
      <c r="AN97" s="121"/>
      <c r="AO97" s="121"/>
      <c r="AP97" s="121"/>
      <c r="AQ97" s="121"/>
      <c r="AR97" s="121"/>
      <c r="AS97" s="121"/>
      <c r="AT97" s="121"/>
      <c r="AU97" s="121"/>
      <c r="AV97" s="121"/>
      <c r="AW97" s="121"/>
      <c r="AX97" s="121"/>
      <c r="AY97" s="121"/>
      <c r="AZ97" s="121"/>
      <c r="BA97" s="121"/>
      <c r="BB97" s="121"/>
      <c r="BC97" s="121"/>
      <c r="BD97" s="121"/>
      <c r="BE97" s="121"/>
      <c r="BF97" s="121"/>
      <c r="BG97" s="121"/>
      <c r="BH97" s="121"/>
      <c r="BI97" s="121"/>
      <c r="BJ97" s="121"/>
      <c r="BK97" s="121"/>
      <c r="BL97" s="121"/>
      <c r="BM97" s="121"/>
      <c r="BN97" s="121"/>
      <c r="BO97" s="121"/>
      <c r="BP97" s="121"/>
      <c r="BQ97" s="121"/>
      <c r="BR97" s="121"/>
      <c r="BS97" s="121"/>
      <c r="BT97" s="121"/>
      <c r="BU97" s="121"/>
      <c r="BV97" s="121"/>
      <c r="BW97" s="121"/>
      <c r="BX97" s="121"/>
      <c r="BY97" s="121"/>
      <c r="BZ97" s="121"/>
      <c r="CA97" s="121"/>
      <c r="CB97" s="121"/>
      <c r="CC97" s="121"/>
      <c r="CD97" s="121"/>
      <c r="CE97" s="121"/>
      <c r="CF97" s="121"/>
      <c r="CG97" s="121"/>
      <c r="CH97" s="121"/>
      <c r="CI97" s="121"/>
      <c r="CJ97" s="121"/>
      <c r="CK97" s="121"/>
      <c r="CL97" s="121"/>
      <c r="CM97" s="121"/>
      <c r="CN97" s="121"/>
      <c r="CO97" s="121"/>
      <c r="CP97" s="121"/>
      <c r="CQ97" s="121"/>
      <c r="CR97" s="121"/>
      <c r="CS97" s="121"/>
      <c r="CT97" s="121"/>
      <c r="CU97" s="121"/>
      <c r="CV97" s="121"/>
      <c r="CW97" s="121"/>
      <c r="CX97" s="121"/>
      <c r="CY97" s="121"/>
      <c r="CZ97" s="121"/>
      <c r="DA97" s="121"/>
      <c r="DB97" s="121"/>
      <c r="DC97" s="121"/>
      <c r="DD97" s="121"/>
      <c r="DE97" s="121"/>
      <c r="DF97" s="121"/>
      <c r="DG97" s="121"/>
      <c r="DH97" s="121"/>
      <c r="DI97" s="121"/>
      <c r="DJ97" s="121"/>
      <c r="DK97" s="121"/>
      <c r="DL97" s="121"/>
      <c r="DM97" s="121"/>
      <c r="DN97" s="121"/>
      <c r="DO97" s="121"/>
      <c r="DP97" s="121"/>
      <c r="DQ97" s="121"/>
      <c r="DR97" s="121"/>
      <c r="DS97" s="121"/>
      <c r="DT97" s="121"/>
      <c r="DU97" s="121"/>
      <c r="DV97" s="121"/>
      <c r="DW97" s="121"/>
      <c r="DX97" s="121"/>
      <c r="DY97" s="121"/>
      <c r="DZ97" s="121"/>
      <c r="EA97" s="121"/>
      <c r="EB97" s="121"/>
      <c r="EC97" s="121"/>
      <c r="ED97" s="121"/>
      <c r="EE97" s="121"/>
      <c r="EF97" s="121"/>
      <c r="EG97" s="121"/>
      <c r="EH97" s="121"/>
      <c r="EI97" s="121"/>
      <c r="EJ97" s="121"/>
      <c r="EK97" s="121"/>
      <c r="EL97" s="121"/>
      <c r="EM97" s="121"/>
      <c r="EN97" s="121"/>
      <c r="EO97" s="121"/>
      <c r="EP97" s="121"/>
      <c r="EQ97" s="121"/>
      <c r="ER97" s="121"/>
      <c r="ES97" s="121"/>
      <c r="ET97" s="121"/>
      <c r="EU97" s="121"/>
      <c r="EV97" s="121"/>
      <c r="EW97" s="121"/>
      <c r="EX97" s="121"/>
      <c r="EY97" s="121"/>
      <c r="EZ97" s="121"/>
      <c r="FA97" s="121"/>
      <c r="FB97" s="121"/>
      <c r="FC97" s="121"/>
      <c r="FD97" s="121"/>
      <c r="FE97" s="121"/>
      <c r="FF97" s="121"/>
      <c r="FG97" s="121"/>
      <c r="FH97" s="121"/>
      <c r="FI97" s="121"/>
      <c r="FJ97" s="121"/>
      <c r="FK97" s="121"/>
      <c r="FL97" s="121"/>
      <c r="FM97" s="121"/>
      <c r="FN97" s="121"/>
      <c r="FO97" s="121"/>
      <c r="FP97" s="121"/>
      <c r="FQ97" s="121"/>
      <c r="FR97" s="121"/>
      <c r="FS97" s="121"/>
      <c r="FT97" s="121"/>
      <c r="FU97" s="121"/>
      <c r="FV97" s="121"/>
      <c r="FW97" s="121"/>
      <c r="FX97" s="121"/>
      <c r="FY97" s="121"/>
      <c r="FZ97" s="121"/>
      <c r="GA97" s="121"/>
      <c r="GB97" s="121"/>
      <c r="GC97" s="121"/>
      <c r="GD97" s="121"/>
      <c r="GE97" s="121"/>
      <c r="GF97" s="121"/>
      <c r="GG97" s="121"/>
      <c r="GH97" s="121"/>
    </row>
    <row r="98" spans="1:190">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J98" s="121"/>
      <c r="AK98" s="121"/>
      <c r="AL98" s="121"/>
      <c r="AM98" s="121"/>
      <c r="AN98" s="121"/>
      <c r="AO98" s="121"/>
      <c r="AP98" s="121"/>
      <c r="AQ98" s="121"/>
      <c r="AR98" s="121"/>
      <c r="AS98" s="121"/>
      <c r="AT98" s="121"/>
      <c r="AU98" s="121"/>
      <c r="AV98" s="121"/>
      <c r="AW98" s="121"/>
      <c r="AX98" s="121"/>
      <c r="AY98" s="121"/>
      <c r="AZ98" s="121"/>
      <c r="BA98" s="121"/>
      <c r="BB98" s="121"/>
      <c r="BC98" s="121"/>
      <c r="BD98" s="121"/>
      <c r="BE98" s="121"/>
      <c r="BF98" s="121"/>
      <c r="BG98" s="121"/>
      <c r="BH98" s="121"/>
      <c r="BI98" s="121"/>
      <c r="BJ98" s="121"/>
      <c r="BK98" s="121"/>
      <c r="BL98" s="121"/>
      <c r="BM98" s="121"/>
      <c r="BN98" s="121"/>
      <c r="BO98" s="121"/>
      <c r="BP98" s="121"/>
      <c r="BQ98" s="121"/>
      <c r="BR98" s="121"/>
      <c r="BS98" s="121"/>
      <c r="BT98" s="121"/>
      <c r="BU98" s="121"/>
      <c r="BV98" s="121"/>
      <c r="BW98" s="121"/>
      <c r="BX98" s="121"/>
      <c r="BY98" s="121"/>
      <c r="BZ98" s="121"/>
      <c r="CA98" s="121"/>
      <c r="CB98" s="121"/>
      <c r="CC98" s="121"/>
      <c r="CD98" s="121"/>
      <c r="CE98" s="121"/>
      <c r="CF98" s="121"/>
      <c r="CG98" s="121"/>
      <c r="CH98" s="121"/>
      <c r="CI98" s="121"/>
      <c r="CJ98" s="121"/>
      <c r="CK98" s="121"/>
      <c r="CL98" s="121"/>
      <c r="CM98" s="121"/>
      <c r="CN98" s="121"/>
      <c r="CO98" s="121"/>
      <c r="CP98" s="121"/>
      <c r="CQ98" s="121"/>
      <c r="CR98" s="121"/>
      <c r="CS98" s="121"/>
      <c r="CT98" s="121"/>
      <c r="CU98" s="121"/>
      <c r="CV98" s="121"/>
      <c r="CW98" s="121"/>
      <c r="CX98" s="121"/>
      <c r="CY98" s="121"/>
      <c r="CZ98" s="121"/>
      <c r="DA98" s="121"/>
      <c r="DB98" s="121"/>
      <c r="DC98" s="121"/>
      <c r="DD98" s="121"/>
      <c r="DE98" s="121"/>
      <c r="DF98" s="121"/>
      <c r="DG98" s="121"/>
      <c r="DH98" s="121"/>
      <c r="DI98" s="121"/>
      <c r="DJ98" s="121"/>
      <c r="DK98" s="121"/>
      <c r="DL98" s="121"/>
      <c r="DM98" s="121"/>
      <c r="DN98" s="121"/>
      <c r="DO98" s="121"/>
      <c r="DP98" s="121"/>
      <c r="DQ98" s="121"/>
      <c r="DR98" s="121"/>
      <c r="DS98" s="121"/>
      <c r="DT98" s="121"/>
      <c r="DU98" s="121"/>
      <c r="DV98" s="121"/>
      <c r="DW98" s="121"/>
      <c r="DX98" s="121"/>
      <c r="DY98" s="121"/>
      <c r="DZ98" s="121"/>
      <c r="EA98" s="121"/>
      <c r="EB98" s="121"/>
      <c r="EC98" s="121"/>
      <c r="ED98" s="121"/>
      <c r="EE98" s="121"/>
      <c r="EF98" s="121"/>
      <c r="EG98" s="121"/>
      <c r="EH98" s="121"/>
      <c r="EI98" s="121"/>
      <c r="EJ98" s="121"/>
      <c r="EK98" s="121"/>
      <c r="EL98" s="121"/>
      <c r="EM98" s="121"/>
      <c r="EN98" s="121"/>
      <c r="EO98" s="121"/>
      <c r="EP98" s="121"/>
      <c r="EQ98" s="121"/>
      <c r="ER98" s="121"/>
      <c r="ES98" s="121"/>
      <c r="ET98" s="121"/>
      <c r="EU98" s="121"/>
      <c r="EV98" s="121"/>
      <c r="EW98" s="121"/>
      <c r="EX98" s="121"/>
      <c r="EY98" s="121"/>
      <c r="EZ98" s="121"/>
      <c r="FA98" s="121"/>
      <c r="FB98" s="121"/>
      <c r="FC98" s="121"/>
      <c r="FD98" s="121"/>
      <c r="FE98" s="121"/>
      <c r="FF98" s="121"/>
      <c r="FG98" s="121"/>
      <c r="FH98" s="121"/>
      <c r="FI98" s="121"/>
      <c r="FJ98" s="121"/>
      <c r="FK98" s="121"/>
      <c r="FL98" s="121"/>
      <c r="FM98" s="121"/>
      <c r="FN98" s="121"/>
      <c r="FO98" s="121"/>
      <c r="FP98" s="121"/>
      <c r="FQ98" s="121"/>
      <c r="FR98" s="121"/>
      <c r="FS98" s="121"/>
      <c r="FT98" s="121"/>
      <c r="FU98" s="121"/>
      <c r="FV98" s="121"/>
      <c r="FW98" s="121"/>
      <c r="FX98" s="121"/>
      <c r="FY98" s="121"/>
      <c r="FZ98" s="121"/>
      <c r="GA98" s="121"/>
      <c r="GB98" s="121"/>
      <c r="GC98" s="121"/>
      <c r="GD98" s="121"/>
      <c r="GE98" s="121"/>
      <c r="GF98" s="121"/>
      <c r="GG98" s="121"/>
      <c r="GH98" s="121"/>
    </row>
    <row r="99" spans="1:190">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J99" s="121"/>
      <c r="AK99" s="121"/>
      <c r="AL99" s="121"/>
      <c r="AM99" s="121"/>
      <c r="AN99" s="121"/>
      <c r="AO99" s="121"/>
      <c r="AP99" s="121"/>
      <c r="AQ99" s="121"/>
      <c r="AR99" s="121"/>
      <c r="AS99" s="121"/>
      <c r="AT99" s="121"/>
      <c r="AU99" s="121"/>
      <c r="AV99" s="121"/>
      <c r="AW99" s="121"/>
      <c r="AX99" s="121"/>
      <c r="AY99" s="121"/>
      <c r="AZ99" s="121"/>
      <c r="BA99" s="121"/>
      <c r="BB99" s="121"/>
      <c r="BC99" s="121"/>
      <c r="BD99" s="121"/>
      <c r="BE99" s="121"/>
      <c r="BF99" s="121"/>
      <c r="BG99" s="121"/>
      <c r="BH99" s="121"/>
      <c r="BI99" s="121"/>
      <c r="BJ99" s="121"/>
      <c r="BK99" s="121"/>
      <c r="BL99" s="121"/>
      <c r="BM99" s="121"/>
      <c r="BN99" s="121"/>
      <c r="BO99" s="121"/>
      <c r="BP99" s="121"/>
      <c r="BQ99" s="121"/>
      <c r="BR99" s="121"/>
      <c r="BS99" s="121"/>
      <c r="BT99" s="121"/>
      <c r="BU99" s="121"/>
      <c r="BV99" s="121"/>
      <c r="BW99" s="121"/>
      <c r="BX99" s="121"/>
      <c r="BY99" s="121"/>
      <c r="BZ99" s="121"/>
      <c r="CA99" s="121"/>
      <c r="CB99" s="121"/>
      <c r="CC99" s="121"/>
      <c r="CD99" s="121"/>
      <c r="CE99" s="121"/>
      <c r="CF99" s="121"/>
      <c r="CG99" s="121"/>
      <c r="CH99" s="121"/>
      <c r="CI99" s="121"/>
      <c r="CJ99" s="121"/>
      <c r="CK99" s="121"/>
      <c r="CL99" s="121"/>
      <c r="CM99" s="121"/>
      <c r="CN99" s="121"/>
      <c r="CO99" s="121"/>
      <c r="CP99" s="121"/>
      <c r="CQ99" s="121"/>
      <c r="CR99" s="121"/>
      <c r="CS99" s="121"/>
      <c r="CT99" s="121"/>
      <c r="CU99" s="121"/>
      <c r="CV99" s="121"/>
      <c r="CW99" s="121"/>
      <c r="CX99" s="121"/>
      <c r="CY99" s="121"/>
      <c r="CZ99" s="121"/>
      <c r="DA99" s="121"/>
      <c r="DB99" s="121"/>
      <c r="DC99" s="121"/>
      <c r="DD99" s="121"/>
      <c r="DE99" s="121"/>
      <c r="DF99" s="121"/>
      <c r="DG99" s="121"/>
      <c r="DH99" s="121"/>
      <c r="DI99" s="121"/>
      <c r="DJ99" s="121"/>
      <c r="DK99" s="121"/>
      <c r="DL99" s="121"/>
      <c r="DM99" s="121"/>
      <c r="DN99" s="121"/>
      <c r="DO99" s="121"/>
      <c r="DP99" s="121"/>
      <c r="DQ99" s="121"/>
      <c r="DR99" s="121"/>
      <c r="DS99" s="121"/>
      <c r="DT99" s="121"/>
      <c r="DU99" s="121"/>
      <c r="DV99" s="121"/>
      <c r="DW99" s="121"/>
      <c r="DX99" s="121"/>
      <c r="DY99" s="121"/>
      <c r="DZ99" s="121"/>
      <c r="EA99" s="121"/>
      <c r="EB99" s="121"/>
      <c r="EC99" s="121"/>
      <c r="ED99" s="121"/>
      <c r="EE99" s="121"/>
      <c r="EF99" s="121"/>
      <c r="EG99" s="121"/>
      <c r="EH99" s="121"/>
      <c r="EI99" s="121"/>
      <c r="EJ99" s="121"/>
      <c r="EK99" s="121"/>
      <c r="EL99" s="121"/>
      <c r="EM99" s="121"/>
      <c r="EN99" s="121"/>
      <c r="EO99" s="121"/>
      <c r="EP99" s="121"/>
      <c r="EQ99" s="121"/>
      <c r="ER99" s="121"/>
      <c r="ES99" s="121"/>
      <c r="ET99" s="121"/>
      <c r="EU99" s="121"/>
      <c r="EV99" s="121"/>
      <c r="EW99" s="121"/>
      <c r="EX99" s="121"/>
      <c r="EY99" s="121"/>
      <c r="EZ99" s="121"/>
      <c r="FA99" s="121"/>
      <c r="FB99" s="121"/>
      <c r="FC99" s="121"/>
      <c r="FD99" s="121"/>
      <c r="FE99" s="121"/>
      <c r="FF99" s="121"/>
      <c r="FG99" s="121"/>
      <c r="FH99" s="121"/>
      <c r="FI99" s="121"/>
      <c r="FJ99" s="121"/>
      <c r="FK99" s="121"/>
      <c r="FL99" s="121"/>
      <c r="FM99" s="121"/>
      <c r="FN99" s="121"/>
      <c r="FO99" s="121"/>
      <c r="FP99" s="121"/>
      <c r="FQ99" s="121"/>
      <c r="FR99" s="121"/>
      <c r="FS99" s="121"/>
      <c r="FT99" s="121"/>
      <c r="FU99" s="121"/>
      <c r="FV99" s="121"/>
      <c r="FW99" s="121"/>
      <c r="FX99" s="121"/>
      <c r="FY99" s="121"/>
      <c r="FZ99" s="121"/>
      <c r="GA99" s="121"/>
      <c r="GB99" s="121"/>
      <c r="GC99" s="121"/>
      <c r="GD99" s="121"/>
      <c r="GE99" s="121"/>
      <c r="GF99" s="121"/>
      <c r="GG99" s="121"/>
      <c r="GH99" s="121"/>
    </row>
    <row r="100" spans="1:190">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c r="AO100" s="121"/>
      <c r="AP100" s="121"/>
      <c r="AQ100" s="121"/>
      <c r="AR100" s="121"/>
      <c r="AS100" s="121"/>
      <c r="AT100" s="121"/>
      <c r="AU100" s="121"/>
      <c r="AV100" s="121"/>
      <c r="AW100" s="121"/>
      <c r="AX100" s="121"/>
      <c r="AY100" s="121"/>
      <c r="AZ100" s="121"/>
      <c r="BA100" s="121"/>
      <c r="BB100" s="121"/>
      <c r="BC100" s="121"/>
      <c r="BD100" s="121"/>
      <c r="BE100" s="121"/>
      <c r="BF100" s="121"/>
      <c r="BG100" s="121"/>
      <c r="BH100" s="121"/>
      <c r="BI100" s="121"/>
      <c r="BJ100" s="121"/>
      <c r="BK100" s="121"/>
      <c r="BL100" s="121"/>
      <c r="BM100" s="121"/>
      <c r="BN100" s="121"/>
      <c r="BO100" s="121"/>
      <c r="BP100" s="121"/>
      <c r="BQ100" s="121"/>
      <c r="BR100" s="121"/>
      <c r="BS100" s="121"/>
      <c r="BT100" s="121"/>
      <c r="BU100" s="121"/>
      <c r="BV100" s="121"/>
      <c r="BW100" s="121"/>
      <c r="BX100" s="121"/>
      <c r="BY100" s="121"/>
      <c r="BZ100" s="121"/>
      <c r="CA100" s="121"/>
      <c r="CB100" s="121"/>
      <c r="CC100" s="121"/>
      <c r="CD100" s="121"/>
      <c r="CE100" s="121"/>
      <c r="CF100" s="121"/>
      <c r="CG100" s="121"/>
      <c r="CH100" s="121"/>
      <c r="CI100" s="121"/>
      <c r="CJ100" s="121"/>
      <c r="CK100" s="121"/>
      <c r="CL100" s="121"/>
      <c r="CM100" s="121"/>
      <c r="CN100" s="121"/>
      <c r="CO100" s="121"/>
      <c r="CP100" s="121"/>
      <c r="CQ100" s="121"/>
      <c r="CR100" s="121"/>
      <c r="CS100" s="121"/>
      <c r="CT100" s="121"/>
      <c r="CU100" s="121"/>
      <c r="CV100" s="121"/>
      <c r="CW100" s="121"/>
      <c r="CX100" s="121"/>
      <c r="CY100" s="121"/>
      <c r="CZ100" s="121"/>
      <c r="DA100" s="121"/>
      <c r="DB100" s="121"/>
      <c r="DC100" s="121"/>
      <c r="DD100" s="121"/>
      <c r="DE100" s="121"/>
      <c r="DF100" s="121"/>
      <c r="DG100" s="121"/>
      <c r="DH100" s="121"/>
      <c r="DI100" s="121"/>
      <c r="DJ100" s="121"/>
      <c r="DK100" s="121"/>
      <c r="DL100" s="121"/>
      <c r="DM100" s="121"/>
      <c r="DN100" s="121"/>
      <c r="DO100" s="121"/>
      <c r="DP100" s="121"/>
      <c r="DQ100" s="121"/>
      <c r="DR100" s="121"/>
      <c r="DS100" s="121"/>
      <c r="DT100" s="121"/>
      <c r="DU100" s="121"/>
      <c r="DV100" s="121"/>
      <c r="DW100" s="121"/>
      <c r="DX100" s="121"/>
      <c r="DY100" s="121"/>
      <c r="DZ100" s="121"/>
      <c r="EA100" s="121"/>
      <c r="EB100" s="121"/>
      <c r="EC100" s="121"/>
      <c r="ED100" s="121"/>
      <c r="EE100" s="121"/>
      <c r="EF100" s="121"/>
      <c r="EG100" s="121"/>
      <c r="EH100" s="121"/>
      <c r="EI100" s="121"/>
      <c r="EJ100" s="121"/>
      <c r="EK100" s="121"/>
      <c r="EL100" s="121"/>
      <c r="EM100" s="121"/>
      <c r="EN100" s="121"/>
      <c r="EO100" s="121"/>
      <c r="EP100" s="121"/>
      <c r="EQ100" s="121"/>
      <c r="ER100" s="121"/>
      <c r="ES100" s="121"/>
      <c r="ET100" s="121"/>
      <c r="EU100" s="121"/>
      <c r="EV100" s="121"/>
      <c r="EW100" s="121"/>
      <c r="EX100" s="121"/>
      <c r="EY100" s="121"/>
      <c r="EZ100" s="121"/>
      <c r="FA100" s="121"/>
      <c r="FB100" s="121"/>
      <c r="FC100" s="121"/>
      <c r="FD100" s="121"/>
      <c r="FE100" s="121"/>
      <c r="FF100" s="121"/>
      <c r="FG100" s="121"/>
      <c r="FH100" s="121"/>
      <c r="FI100" s="121"/>
      <c r="FJ100" s="121"/>
      <c r="FK100" s="121"/>
      <c r="FL100" s="121"/>
      <c r="FM100" s="121"/>
      <c r="FN100" s="121"/>
      <c r="FO100" s="121"/>
      <c r="FP100" s="121"/>
      <c r="FQ100" s="121"/>
      <c r="FR100" s="121"/>
      <c r="FS100" s="121"/>
      <c r="FT100" s="121"/>
      <c r="FU100" s="121"/>
      <c r="FV100" s="121"/>
      <c r="FW100" s="121"/>
      <c r="FX100" s="121"/>
      <c r="FY100" s="121"/>
      <c r="FZ100" s="121"/>
      <c r="GA100" s="121"/>
      <c r="GB100" s="121"/>
      <c r="GC100" s="121"/>
      <c r="GD100" s="121"/>
      <c r="GE100" s="121"/>
      <c r="GF100" s="121"/>
      <c r="GG100" s="121"/>
      <c r="GH100" s="121"/>
    </row>
    <row r="101" spans="1:190">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J101" s="121"/>
      <c r="AK101" s="121"/>
      <c r="AL101" s="121"/>
      <c r="AM101" s="121"/>
      <c r="AN101" s="121"/>
      <c r="AO101" s="121"/>
      <c r="AP101" s="121"/>
      <c r="AQ101" s="121"/>
      <c r="AR101" s="121"/>
      <c r="AS101" s="121"/>
      <c r="AT101" s="121"/>
      <c r="AU101" s="121"/>
      <c r="AV101" s="121"/>
      <c r="AW101" s="121"/>
      <c r="AX101" s="121"/>
      <c r="AY101" s="121"/>
      <c r="AZ101" s="121"/>
      <c r="BA101" s="121"/>
      <c r="BB101" s="121"/>
      <c r="BC101" s="121"/>
      <c r="BD101" s="121"/>
      <c r="BE101" s="121"/>
      <c r="BF101" s="121"/>
      <c r="BG101" s="121"/>
      <c r="BH101" s="121"/>
      <c r="BI101" s="121"/>
      <c r="BJ101" s="121"/>
      <c r="BK101" s="121"/>
      <c r="BL101" s="121"/>
      <c r="BM101" s="121"/>
      <c r="BN101" s="121"/>
      <c r="BO101" s="121"/>
      <c r="BP101" s="121"/>
      <c r="BQ101" s="121"/>
      <c r="BR101" s="121"/>
      <c r="BS101" s="121"/>
      <c r="BT101" s="121"/>
      <c r="BU101" s="121"/>
      <c r="BV101" s="121"/>
      <c r="BW101" s="121"/>
      <c r="BX101" s="121"/>
      <c r="BY101" s="121"/>
      <c r="BZ101" s="121"/>
      <c r="CA101" s="121"/>
      <c r="CB101" s="121"/>
      <c r="CC101" s="121"/>
      <c r="CD101" s="121"/>
      <c r="CE101" s="121"/>
      <c r="CF101" s="121"/>
      <c r="CG101" s="121"/>
      <c r="CH101" s="121"/>
      <c r="CI101" s="121"/>
      <c r="CJ101" s="121"/>
      <c r="CK101" s="121"/>
      <c r="CL101" s="121"/>
      <c r="CM101" s="121"/>
      <c r="CN101" s="121"/>
      <c r="CO101" s="121"/>
      <c r="CP101" s="121"/>
      <c r="CQ101" s="121"/>
      <c r="CR101" s="121"/>
      <c r="CS101" s="121"/>
      <c r="CT101" s="121"/>
      <c r="CU101" s="121"/>
      <c r="CV101" s="121"/>
      <c r="CW101" s="121"/>
      <c r="CX101" s="121"/>
      <c r="CY101" s="121"/>
      <c r="CZ101" s="121"/>
      <c r="DA101" s="121"/>
      <c r="DB101" s="121"/>
      <c r="DC101" s="121"/>
      <c r="DD101" s="121"/>
      <c r="DE101" s="121"/>
      <c r="DF101" s="121"/>
      <c r="DG101" s="121"/>
      <c r="DH101" s="121"/>
      <c r="DI101" s="121"/>
      <c r="DJ101" s="121"/>
      <c r="DK101" s="121"/>
      <c r="DL101" s="121"/>
      <c r="DM101" s="121"/>
      <c r="DN101" s="121"/>
      <c r="DO101" s="121"/>
      <c r="DP101" s="121"/>
      <c r="DQ101" s="121"/>
      <c r="DR101" s="121"/>
      <c r="DS101" s="121"/>
      <c r="DT101" s="121"/>
      <c r="DU101" s="121"/>
      <c r="DV101" s="121"/>
      <c r="DW101" s="121"/>
      <c r="DX101" s="121"/>
      <c r="DY101" s="121"/>
      <c r="DZ101" s="121"/>
      <c r="EA101" s="121"/>
      <c r="EB101" s="121"/>
      <c r="EC101" s="121"/>
      <c r="ED101" s="121"/>
      <c r="EE101" s="121"/>
      <c r="EF101" s="121"/>
      <c r="EG101" s="121"/>
      <c r="EH101" s="121"/>
      <c r="EI101" s="121"/>
      <c r="EJ101" s="121"/>
      <c r="EK101" s="121"/>
      <c r="EL101" s="121"/>
      <c r="EM101" s="121"/>
      <c r="EN101" s="121"/>
      <c r="EO101" s="121"/>
      <c r="EP101" s="121"/>
      <c r="EQ101" s="121"/>
      <c r="ER101" s="121"/>
      <c r="ES101" s="121"/>
      <c r="ET101" s="121"/>
      <c r="EU101" s="121"/>
      <c r="EV101" s="121"/>
      <c r="EW101" s="121"/>
      <c r="EX101" s="121"/>
      <c r="EY101" s="121"/>
      <c r="EZ101" s="121"/>
      <c r="FA101" s="121"/>
      <c r="FB101" s="121"/>
      <c r="FC101" s="121"/>
      <c r="FD101" s="121"/>
      <c r="FE101" s="121"/>
      <c r="FF101" s="121"/>
      <c r="FG101" s="121"/>
      <c r="FH101" s="121"/>
      <c r="FI101" s="121"/>
      <c r="FJ101" s="121"/>
      <c r="FK101" s="121"/>
      <c r="FL101" s="121"/>
      <c r="FM101" s="121"/>
      <c r="FN101" s="121"/>
      <c r="FO101" s="121"/>
      <c r="FP101" s="121"/>
      <c r="FQ101" s="121"/>
      <c r="FR101" s="121"/>
      <c r="FS101" s="121"/>
      <c r="FT101" s="121"/>
      <c r="FU101" s="121"/>
      <c r="FV101" s="121"/>
      <c r="FW101" s="121"/>
      <c r="FX101" s="121"/>
      <c r="FY101" s="121"/>
      <c r="FZ101" s="121"/>
      <c r="GA101" s="121"/>
      <c r="GB101" s="121"/>
      <c r="GC101" s="121"/>
      <c r="GD101" s="121"/>
      <c r="GE101" s="121"/>
      <c r="GF101" s="121"/>
      <c r="GG101" s="121"/>
      <c r="GH101" s="121"/>
    </row>
    <row r="102" spans="1:190">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c r="AI102" s="121"/>
      <c r="AJ102" s="121"/>
      <c r="AK102" s="121"/>
      <c r="AL102" s="121"/>
      <c r="AM102" s="121"/>
      <c r="AN102" s="121"/>
      <c r="AO102" s="121"/>
      <c r="AP102" s="121"/>
      <c r="AQ102" s="121"/>
      <c r="AR102" s="121"/>
      <c r="AS102" s="121"/>
      <c r="AT102" s="121"/>
      <c r="AU102" s="121"/>
      <c r="AV102" s="121"/>
      <c r="AW102" s="121"/>
      <c r="AX102" s="121"/>
      <c r="AY102" s="121"/>
      <c r="AZ102" s="121"/>
      <c r="BA102" s="121"/>
      <c r="BB102" s="121"/>
      <c r="BC102" s="121"/>
      <c r="BD102" s="121"/>
      <c r="BE102" s="121"/>
      <c r="BF102" s="121"/>
      <c r="BG102" s="121"/>
      <c r="BH102" s="121"/>
      <c r="BI102" s="121"/>
      <c r="BJ102" s="121"/>
      <c r="BK102" s="121"/>
      <c r="BL102" s="121"/>
      <c r="BM102" s="121"/>
      <c r="BN102" s="121"/>
      <c r="BO102" s="121"/>
      <c r="BP102" s="121"/>
      <c r="BQ102" s="121"/>
      <c r="BR102" s="121"/>
      <c r="BS102" s="121"/>
      <c r="BT102" s="121"/>
      <c r="BU102" s="121"/>
      <c r="BV102" s="121"/>
      <c r="BW102" s="121"/>
      <c r="BX102" s="121"/>
      <c r="BY102" s="121"/>
      <c r="BZ102" s="121"/>
      <c r="CA102" s="121"/>
      <c r="CB102" s="121"/>
      <c r="CC102" s="121"/>
      <c r="CD102" s="121"/>
      <c r="CE102" s="121"/>
      <c r="CF102" s="121"/>
      <c r="CG102" s="121"/>
      <c r="CH102" s="121"/>
      <c r="CI102" s="121"/>
      <c r="CJ102" s="121"/>
      <c r="CK102" s="121"/>
      <c r="CL102" s="121"/>
      <c r="CM102" s="121"/>
      <c r="CN102" s="121"/>
      <c r="CO102" s="121"/>
      <c r="CP102" s="121"/>
      <c r="CQ102" s="121"/>
      <c r="CR102" s="121"/>
      <c r="CS102" s="121"/>
      <c r="CT102" s="121"/>
      <c r="CU102" s="121"/>
      <c r="CV102" s="121"/>
      <c r="CW102" s="121"/>
      <c r="CX102" s="121"/>
      <c r="CY102" s="121"/>
      <c r="CZ102" s="121"/>
      <c r="DA102" s="121"/>
      <c r="DB102" s="121"/>
      <c r="DC102" s="121"/>
      <c r="DD102" s="121"/>
      <c r="DE102" s="121"/>
      <c r="DF102" s="121"/>
      <c r="DG102" s="121"/>
      <c r="DH102" s="121"/>
      <c r="DI102" s="121"/>
      <c r="DJ102" s="121"/>
      <c r="DK102" s="121"/>
      <c r="DL102" s="121"/>
      <c r="DM102" s="121"/>
      <c r="DN102" s="121"/>
      <c r="DO102" s="121"/>
      <c r="DP102" s="121"/>
      <c r="DQ102" s="121"/>
      <c r="DR102" s="121"/>
      <c r="DS102" s="121"/>
      <c r="DT102" s="121"/>
      <c r="DU102" s="121"/>
      <c r="DV102" s="121"/>
      <c r="DW102" s="121"/>
      <c r="DX102" s="121"/>
      <c r="DY102" s="121"/>
      <c r="DZ102" s="121"/>
      <c r="EA102" s="121"/>
      <c r="EB102" s="121"/>
      <c r="EC102" s="121"/>
      <c r="ED102" s="121"/>
      <c r="EE102" s="121"/>
      <c r="EF102" s="121"/>
      <c r="EG102" s="121"/>
      <c r="EH102" s="121"/>
      <c r="EI102" s="121"/>
      <c r="EJ102" s="121"/>
      <c r="EK102" s="121"/>
      <c r="EL102" s="121"/>
      <c r="EM102" s="121"/>
      <c r="EN102" s="121"/>
      <c r="EO102" s="121"/>
      <c r="EP102" s="121"/>
      <c r="EQ102" s="121"/>
      <c r="ER102" s="121"/>
      <c r="ES102" s="121"/>
      <c r="ET102" s="121"/>
      <c r="EU102" s="121"/>
      <c r="EV102" s="121"/>
      <c r="EW102" s="121"/>
      <c r="EX102" s="121"/>
      <c r="EY102" s="121"/>
      <c r="EZ102" s="121"/>
      <c r="FA102" s="121"/>
      <c r="FB102" s="121"/>
      <c r="FC102" s="121"/>
      <c r="FD102" s="121"/>
      <c r="FE102" s="121"/>
      <c r="FF102" s="121"/>
      <c r="FG102" s="121"/>
      <c r="FH102" s="121"/>
      <c r="FI102" s="121"/>
      <c r="FJ102" s="121"/>
      <c r="FK102" s="121"/>
      <c r="FL102" s="121"/>
      <c r="FM102" s="121"/>
      <c r="FN102" s="121"/>
      <c r="FO102" s="121"/>
      <c r="FP102" s="121"/>
      <c r="FQ102" s="121"/>
      <c r="FR102" s="121"/>
      <c r="FS102" s="121"/>
      <c r="FT102" s="121"/>
      <c r="FU102" s="121"/>
      <c r="FV102" s="121"/>
      <c r="FW102" s="121"/>
      <c r="FX102" s="121"/>
      <c r="FY102" s="121"/>
      <c r="FZ102" s="121"/>
      <c r="GA102" s="121"/>
      <c r="GB102" s="121"/>
      <c r="GC102" s="121"/>
      <c r="GD102" s="121"/>
      <c r="GE102" s="121"/>
      <c r="GF102" s="121"/>
      <c r="GG102" s="121"/>
      <c r="GH102" s="121"/>
    </row>
    <row r="103" spans="1:190">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1"/>
      <c r="BE103" s="121"/>
      <c r="BF103" s="121"/>
      <c r="BG103" s="121"/>
      <c r="BH103" s="121"/>
      <c r="BI103" s="121"/>
      <c r="BJ103" s="121"/>
      <c r="BK103" s="121"/>
      <c r="BL103" s="121"/>
      <c r="BM103" s="121"/>
      <c r="BN103" s="121"/>
      <c r="BO103" s="121"/>
      <c r="BP103" s="121"/>
      <c r="BQ103" s="121"/>
      <c r="BR103" s="121"/>
      <c r="BS103" s="121"/>
      <c r="BT103" s="121"/>
      <c r="BU103" s="121"/>
      <c r="BV103" s="121"/>
      <c r="BW103" s="121"/>
      <c r="BX103" s="121"/>
      <c r="BY103" s="121"/>
      <c r="BZ103" s="121"/>
      <c r="CA103" s="121"/>
      <c r="CB103" s="121"/>
      <c r="CC103" s="121"/>
      <c r="CD103" s="121"/>
      <c r="CE103" s="121"/>
      <c r="CF103" s="121"/>
      <c r="CG103" s="121"/>
      <c r="CH103" s="121"/>
      <c r="CI103" s="121"/>
      <c r="CJ103" s="121"/>
      <c r="CK103" s="121"/>
      <c r="CL103" s="121"/>
      <c r="CM103" s="121"/>
      <c r="CN103" s="121"/>
      <c r="CO103" s="121"/>
      <c r="CP103" s="121"/>
      <c r="CQ103" s="121"/>
      <c r="CR103" s="121"/>
      <c r="CS103" s="121"/>
      <c r="CT103" s="121"/>
      <c r="CU103" s="121"/>
      <c r="CV103" s="121"/>
      <c r="CW103" s="121"/>
      <c r="CX103" s="121"/>
      <c r="CY103" s="121"/>
      <c r="CZ103" s="121"/>
      <c r="DA103" s="121"/>
      <c r="DB103" s="121"/>
      <c r="DC103" s="121"/>
      <c r="DD103" s="121"/>
      <c r="DE103" s="121"/>
      <c r="DF103" s="121"/>
      <c r="DG103" s="121"/>
      <c r="DH103" s="121"/>
      <c r="DI103" s="121"/>
      <c r="DJ103" s="121"/>
      <c r="DK103" s="121"/>
      <c r="DL103" s="121"/>
      <c r="DM103" s="121"/>
      <c r="DN103" s="121"/>
      <c r="DO103" s="121"/>
      <c r="DP103" s="121"/>
      <c r="DQ103" s="121"/>
      <c r="DR103" s="121"/>
      <c r="DS103" s="121"/>
      <c r="DT103" s="121"/>
      <c r="DU103" s="121"/>
      <c r="DV103" s="121"/>
      <c r="DW103" s="121"/>
      <c r="DX103" s="121"/>
      <c r="DY103" s="121"/>
      <c r="DZ103" s="121"/>
      <c r="EA103" s="121"/>
      <c r="EB103" s="121"/>
      <c r="EC103" s="121"/>
      <c r="ED103" s="121"/>
      <c r="EE103" s="121"/>
      <c r="EF103" s="121"/>
      <c r="EG103" s="121"/>
      <c r="EH103" s="121"/>
      <c r="EI103" s="121"/>
      <c r="EJ103" s="121"/>
      <c r="EK103" s="121"/>
      <c r="EL103" s="121"/>
      <c r="EM103" s="121"/>
      <c r="EN103" s="121"/>
      <c r="EO103" s="121"/>
      <c r="EP103" s="121"/>
      <c r="EQ103" s="121"/>
      <c r="ER103" s="121"/>
      <c r="ES103" s="121"/>
      <c r="ET103" s="121"/>
      <c r="EU103" s="121"/>
      <c r="EV103" s="121"/>
      <c r="EW103" s="121"/>
      <c r="EX103" s="121"/>
      <c r="EY103" s="121"/>
      <c r="EZ103" s="121"/>
      <c r="FA103" s="121"/>
      <c r="FB103" s="121"/>
      <c r="FC103" s="121"/>
      <c r="FD103" s="121"/>
      <c r="FE103" s="121"/>
      <c r="FF103" s="121"/>
      <c r="FG103" s="121"/>
      <c r="FH103" s="121"/>
      <c r="FI103" s="121"/>
      <c r="FJ103" s="121"/>
      <c r="FK103" s="121"/>
      <c r="FL103" s="121"/>
      <c r="FM103" s="121"/>
      <c r="FN103" s="121"/>
      <c r="FO103" s="121"/>
      <c r="FP103" s="121"/>
      <c r="FQ103" s="121"/>
      <c r="FR103" s="121"/>
      <c r="FS103" s="121"/>
      <c r="FT103" s="121"/>
      <c r="FU103" s="121"/>
      <c r="FV103" s="121"/>
      <c r="FW103" s="121"/>
      <c r="FX103" s="121"/>
      <c r="FY103" s="121"/>
      <c r="FZ103" s="121"/>
      <c r="GA103" s="121"/>
      <c r="GB103" s="121"/>
      <c r="GC103" s="121"/>
      <c r="GD103" s="121"/>
      <c r="GE103" s="121"/>
      <c r="GF103" s="121"/>
      <c r="GG103" s="121"/>
      <c r="GH103" s="121"/>
    </row>
    <row r="104" spans="1:190">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c r="AI104" s="121"/>
      <c r="AJ104" s="121"/>
      <c r="AK104" s="121"/>
      <c r="AL104" s="121"/>
      <c r="AM104" s="121"/>
      <c r="AN104" s="121"/>
      <c r="AO104" s="121"/>
      <c r="AP104" s="121"/>
      <c r="AQ104" s="121"/>
      <c r="AR104" s="121"/>
      <c r="AS104" s="121"/>
      <c r="AT104" s="121"/>
      <c r="AU104" s="121"/>
      <c r="AV104" s="121"/>
      <c r="AW104" s="121"/>
      <c r="AX104" s="121"/>
      <c r="AY104" s="121"/>
      <c r="AZ104" s="121"/>
      <c r="BA104" s="121"/>
      <c r="BB104" s="121"/>
      <c r="BC104" s="121"/>
      <c r="BD104" s="121"/>
      <c r="BE104" s="121"/>
      <c r="BF104" s="121"/>
      <c r="BG104" s="121"/>
      <c r="BH104" s="121"/>
      <c r="BI104" s="121"/>
      <c r="BJ104" s="121"/>
      <c r="BK104" s="121"/>
      <c r="BL104" s="121"/>
      <c r="BM104" s="121"/>
      <c r="BN104" s="121"/>
      <c r="BO104" s="121"/>
      <c r="BP104" s="121"/>
      <c r="BQ104" s="121"/>
      <c r="BR104" s="121"/>
      <c r="BS104" s="121"/>
      <c r="BT104" s="121"/>
      <c r="BU104" s="121"/>
      <c r="BV104" s="121"/>
      <c r="BW104" s="121"/>
      <c r="BX104" s="121"/>
      <c r="BY104" s="121"/>
      <c r="BZ104" s="121"/>
      <c r="CA104" s="121"/>
      <c r="CB104" s="121"/>
      <c r="CC104" s="121"/>
      <c r="CD104" s="121"/>
      <c r="CE104" s="121"/>
      <c r="CF104" s="121"/>
      <c r="CG104" s="121"/>
      <c r="CH104" s="121"/>
      <c r="CI104" s="121"/>
      <c r="CJ104" s="121"/>
      <c r="CK104" s="121"/>
      <c r="CL104" s="121"/>
      <c r="CM104" s="121"/>
      <c r="CN104" s="121"/>
      <c r="CO104" s="121"/>
      <c r="CP104" s="121"/>
      <c r="CQ104" s="121"/>
      <c r="CR104" s="121"/>
      <c r="CS104" s="121"/>
      <c r="CT104" s="121"/>
      <c r="CU104" s="121"/>
      <c r="CV104" s="121"/>
      <c r="CW104" s="121"/>
      <c r="CX104" s="121"/>
      <c r="CY104" s="121"/>
      <c r="CZ104" s="121"/>
      <c r="DA104" s="121"/>
      <c r="DB104" s="121"/>
      <c r="DC104" s="121"/>
      <c r="DD104" s="121"/>
      <c r="DE104" s="121"/>
      <c r="DF104" s="121"/>
      <c r="DG104" s="121"/>
      <c r="DH104" s="121"/>
      <c r="DI104" s="121"/>
      <c r="DJ104" s="121"/>
      <c r="DK104" s="121"/>
      <c r="DL104" s="121"/>
      <c r="DM104" s="121"/>
      <c r="DN104" s="121"/>
      <c r="DO104" s="121"/>
      <c r="DP104" s="121"/>
      <c r="DQ104" s="121"/>
      <c r="DR104" s="121"/>
      <c r="DS104" s="121"/>
      <c r="DT104" s="121"/>
      <c r="DU104" s="121"/>
      <c r="DV104" s="121"/>
      <c r="DW104" s="121"/>
      <c r="DX104" s="121"/>
      <c r="DY104" s="121"/>
      <c r="DZ104" s="121"/>
      <c r="EA104" s="121"/>
      <c r="EB104" s="121"/>
      <c r="EC104" s="121"/>
      <c r="ED104" s="121"/>
      <c r="EE104" s="121"/>
      <c r="EF104" s="121"/>
      <c r="EG104" s="121"/>
      <c r="EH104" s="121"/>
      <c r="EI104" s="121"/>
      <c r="EJ104" s="121"/>
      <c r="EK104" s="121"/>
      <c r="EL104" s="121"/>
      <c r="EM104" s="121"/>
      <c r="EN104" s="121"/>
      <c r="EO104" s="121"/>
      <c r="EP104" s="121"/>
      <c r="EQ104" s="121"/>
      <c r="ER104" s="121"/>
      <c r="ES104" s="121"/>
      <c r="ET104" s="121"/>
      <c r="EU104" s="121"/>
      <c r="EV104" s="121"/>
      <c r="EW104" s="121"/>
      <c r="EX104" s="121"/>
      <c r="EY104" s="121"/>
      <c r="EZ104" s="121"/>
      <c r="FA104" s="121"/>
      <c r="FB104" s="121"/>
      <c r="FC104" s="121"/>
      <c r="FD104" s="121"/>
      <c r="FE104" s="121"/>
      <c r="FF104" s="121"/>
      <c r="FG104" s="121"/>
      <c r="FH104" s="121"/>
      <c r="FI104" s="121"/>
      <c r="FJ104" s="121"/>
      <c r="FK104" s="121"/>
      <c r="FL104" s="121"/>
      <c r="FM104" s="121"/>
      <c r="FN104" s="121"/>
      <c r="FO104" s="121"/>
      <c r="FP104" s="121"/>
      <c r="FQ104" s="121"/>
      <c r="FR104" s="121"/>
      <c r="FS104" s="121"/>
      <c r="FT104" s="121"/>
      <c r="FU104" s="121"/>
      <c r="FV104" s="121"/>
      <c r="FW104" s="121"/>
      <c r="FX104" s="121"/>
      <c r="FY104" s="121"/>
      <c r="FZ104" s="121"/>
      <c r="GA104" s="121"/>
      <c r="GB104" s="121"/>
      <c r="GC104" s="121"/>
      <c r="GD104" s="121"/>
      <c r="GE104" s="121"/>
      <c r="GF104" s="121"/>
      <c r="GG104" s="121"/>
      <c r="GH104" s="121"/>
    </row>
    <row r="105" spans="1:190">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c r="AZ105" s="121"/>
      <c r="BA105" s="121"/>
      <c r="BB105" s="121"/>
      <c r="BC105" s="121"/>
      <c r="BD105" s="121"/>
      <c r="BE105" s="121"/>
      <c r="BF105" s="121"/>
      <c r="BG105" s="121"/>
      <c r="BH105" s="121"/>
      <c r="BI105" s="121"/>
      <c r="BJ105" s="121"/>
      <c r="BK105" s="121"/>
      <c r="BL105" s="121"/>
      <c r="BM105" s="121"/>
      <c r="BN105" s="121"/>
      <c r="BO105" s="121"/>
      <c r="BP105" s="121"/>
      <c r="BQ105" s="121"/>
      <c r="BR105" s="121"/>
      <c r="BS105" s="121"/>
      <c r="BT105" s="121"/>
      <c r="BU105" s="121"/>
      <c r="BV105" s="121"/>
      <c r="BW105" s="121"/>
      <c r="BX105" s="121"/>
      <c r="BY105" s="121"/>
      <c r="BZ105" s="121"/>
      <c r="CA105" s="121"/>
      <c r="CB105" s="121"/>
      <c r="CC105" s="121"/>
      <c r="CD105" s="121"/>
      <c r="CE105" s="121"/>
      <c r="CF105" s="121"/>
      <c r="CG105" s="121"/>
      <c r="CH105" s="121"/>
      <c r="CI105" s="121"/>
      <c r="CJ105" s="121"/>
      <c r="CK105" s="121"/>
      <c r="CL105" s="121"/>
      <c r="CM105" s="121"/>
      <c r="CN105" s="121"/>
      <c r="CO105" s="121"/>
      <c r="CP105" s="121"/>
      <c r="CQ105" s="121"/>
      <c r="CR105" s="121"/>
      <c r="CS105" s="121"/>
      <c r="CT105" s="121"/>
      <c r="CU105" s="121"/>
      <c r="CV105" s="121"/>
      <c r="CW105" s="121"/>
      <c r="CX105" s="121"/>
      <c r="CY105" s="121"/>
      <c r="CZ105" s="121"/>
      <c r="DA105" s="121"/>
      <c r="DB105" s="121"/>
      <c r="DC105" s="121"/>
      <c r="DD105" s="121"/>
      <c r="DE105" s="121"/>
      <c r="DF105" s="121"/>
      <c r="DG105" s="121"/>
      <c r="DH105" s="121"/>
      <c r="DI105" s="121"/>
      <c r="DJ105" s="121"/>
      <c r="DK105" s="121"/>
      <c r="DL105" s="121"/>
      <c r="DM105" s="121"/>
      <c r="DN105" s="121"/>
      <c r="DO105" s="121"/>
      <c r="DP105" s="121"/>
      <c r="DQ105" s="121"/>
      <c r="DR105" s="121"/>
      <c r="DS105" s="121"/>
      <c r="DT105" s="121"/>
      <c r="DU105" s="121"/>
      <c r="DV105" s="121"/>
      <c r="DW105" s="121"/>
      <c r="DX105" s="121"/>
      <c r="DY105" s="121"/>
      <c r="DZ105" s="121"/>
      <c r="EA105" s="121"/>
      <c r="EB105" s="121"/>
      <c r="EC105" s="121"/>
      <c r="ED105" s="121"/>
      <c r="EE105" s="121"/>
      <c r="EF105" s="121"/>
      <c r="EG105" s="121"/>
      <c r="EH105" s="121"/>
      <c r="EI105" s="121"/>
      <c r="EJ105" s="121"/>
      <c r="EK105" s="121"/>
      <c r="EL105" s="121"/>
      <c r="EM105" s="121"/>
      <c r="EN105" s="121"/>
      <c r="EO105" s="121"/>
      <c r="EP105" s="121"/>
      <c r="EQ105" s="121"/>
      <c r="ER105" s="121"/>
      <c r="ES105" s="121"/>
      <c r="ET105" s="121"/>
      <c r="EU105" s="121"/>
      <c r="EV105" s="121"/>
      <c r="EW105" s="121"/>
      <c r="EX105" s="121"/>
      <c r="EY105" s="121"/>
      <c r="EZ105" s="121"/>
      <c r="FA105" s="121"/>
      <c r="FB105" s="121"/>
      <c r="FC105" s="121"/>
      <c r="FD105" s="121"/>
      <c r="FE105" s="121"/>
      <c r="FF105" s="121"/>
      <c r="FG105" s="121"/>
      <c r="FH105" s="121"/>
      <c r="FI105" s="121"/>
      <c r="FJ105" s="121"/>
      <c r="FK105" s="121"/>
      <c r="FL105" s="121"/>
      <c r="FM105" s="121"/>
      <c r="FN105" s="121"/>
      <c r="FO105" s="121"/>
      <c r="FP105" s="121"/>
      <c r="FQ105" s="121"/>
      <c r="FR105" s="121"/>
      <c r="FS105" s="121"/>
      <c r="FT105" s="121"/>
      <c r="FU105" s="121"/>
      <c r="FV105" s="121"/>
      <c r="FW105" s="121"/>
      <c r="FX105" s="121"/>
      <c r="FY105" s="121"/>
      <c r="FZ105" s="121"/>
      <c r="GA105" s="121"/>
      <c r="GB105" s="121"/>
      <c r="GC105" s="121"/>
      <c r="GD105" s="121"/>
      <c r="GE105" s="121"/>
      <c r="GF105" s="121"/>
      <c r="GG105" s="121"/>
      <c r="GH105" s="121"/>
    </row>
    <row r="106" spans="1:190">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c r="AW106" s="121"/>
      <c r="AX106" s="121"/>
      <c r="AY106" s="121"/>
      <c r="AZ106" s="121"/>
      <c r="BA106" s="121"/>
      <c r="BB106" s="121"/>
      <c r="BC106" s="121"/>
      <c r="BD106" s="121"/>
      <c r="BE106" s="121"/>
      <c r="BF106" s="121"/>
      <c r="BG106" s="121"/>
      <c r="BH106" s="121"/>
      <c r="BI106" s="121"/>
      <c r="BJ106" s="121"/>
      <c r="BK106" s="121"/>
      <c r="BL106" s="121"/>
      <c r="BM106" s="121"/>
      <c r="BN106" s="121"/>
      <c r="BO106" s="121"/>
      <c r="BP106" s="121"/>
      <c r="BQ106" s="121"/>
      <c r="BR106" s="121"/>
      <c r="BS106" s="121"/>
      <c r="BT106" s="121"/>
      <c r="BU106" s="121"/>
      <c r="BV106" s="121"/>
      <c r="BW106" s="121"/>
      <c r="BX106" s="121"/>
      <c r="BY106" s="121"/>
      <c r="BZ106" s="121"/>
      <c r="CA106" s="121"/>
      <c r="CB106" s="121"/>
      <c r="CC106" s="121"/>
      <c r="CD106" s="121"/>
      <c r="CE106" s="121"/>
      <c r="CF106" s="121"/>
      <c r="CG106" s="121"/>
      <c r="CH106" s="121"/>
      <c r="CI106" s="121"/>
      <c r="CJ106" s="121"/>
      <c r="CK106" s="121"/>
      <c r="CL106" s="121"/>
      <c r="CM106" s="121"/>
      <c r="CN106" s="121"/>
      <c r="CO106" s="121"/>
      <c r="CP106" s="121"/>
      <c r="CQ106" s="121"/>
      <c r="CR106" s="121"/>
      <c r="CS106" s="121"/>
      <c r="CT106" s="121"/>
      <c r="CU106" s="121"/>
      <c r="CV106" s="121"/>
      <c r="CW106" s="121"/>
      <c r="CX106" s="121"/>
      <c r="CY106" s="121"/>
      <c r="CZ106" s="121"/>
      <c r="DA106" s="121"/>
      <c r="DB106" s="121"/>
      <c r="DC106" s="121"/>
      <c r="DD106" s="121"/>
      <c r="DE106" s="121"/>
      <c r="DF106" s="121"/>
      <c r="DG106" s="121"/>
      <c r="DH106" s="121"/>
      <c r="DI106" s="121"/>
      <c r="DJ106" s="121"/>
      <c r="DK106" s="121"/>
      <c r="DL106" s="121"/>
      <c r="DM106" s="121"/>
      <c r="DN106" s="121"/>
      <c r="DO106" s="121"/>
      <c r="DP106" s="121"/>
      <c r="DQ106" s="121"/>
      <c r="DR106" s="121"/>
      <c r="DS106" s="121"/>
      <c r="DT106" s="121"/>
      <c r="DU106" s="121"/>
      <c r="DV106" s="121"/>
      <c r="DW106" s="121"/>
      <c r="DX106" s="121"/>
      <c r="DY106" s="121"/>
      <c r="DZ106" s="121"/>
      <c r="EA106" s="121"/>
      <c r="EB106" s="121"/>
      <c r="EC106" s="121"/>
      <c r="ED106" s="121"/>
      <c r="EE106" s="121"/>
      <c r="EF106" s="121"/>
      <c r="EG106" s="121"/>
      <c r="EH106" s="121"/>
      <c r="EI106" s="121"/>
      <c r="EJ106" s="121"/>
      <c r="EK106" s="121"/>
      <c r="EL106" s="121"/>
      <c r="EM106" s="121"/>
      <c r="EN106" s="121"/>
      <c r="EO106" s="121"/>
      <c r="EP106" s="121"/>
      <c r="EQ106" s="121"/>
      <c r="ER106" s="121"/>
      <c r="ES106" s="121"/>
      <c r="ET106" s="121"/>
      <c r="EU106" s="121"/>
      <c r="EV106" s="121"/>
      <c r="EW106" s="121"/>
      <c r="EX106" s="121"/>
      <c r="EY106" s="121"/>
      <c r="EZ106" s="121"/>
      <c r="FA106" s="121"/>
      <c r="FB106" s="121"/>
      <c r="FC106" s="121"/>
      <c r="FD106" s="121"/>
      <c r="FE106" s="121"/>
      <c r="FF106" s="121"/>
      <c r="FG106" s="121"/>
      <c r="FH106" s="121"/>
      <c r="FI106" s="121"/>
      <c r="FJ106" s="121"/>
      <c r="FK106" s="121"/>
      <c r="FL106" s="121"/>
      <c r="FM106" s="121"/>
      <c r="FN106" s="121"/>
      <c r="FO106" s="121"/>
      <c r="FP106" s="121"/>
      <c r="FQ106" s="121"/>
      <c r="FR106" s="121"/>
      <c r="FS106" s="121"/>
      <c r="FT106" s="121"/>
      <c r="FU106" s="121"/>
      <c r="FV106" s="121"/>
      <c r="FW106" s="121"/>
      <c r="FX106" s="121"/>
      <c r="FY106" s="121"/>
      <c r="FZ106" s="121"/>
      <c r="GA106" s="121"/>
      <c r="GB106" s="121"/>
      <c r="GC106" s="121"/>
      <c r="GD106" s="121"/>
      <c r="GE106" s="121"/>
      <c r="GF106" s="121"/>
      <c r="GG106" s="121"/>
      <c r="GH106" s="121"/>
    </row>
    <row r="107" spans="1:190">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1"/>
      <c r="AS107" s="121"/>
      <c r="AT107" s="121"/>
      <c r="AU107" s="121"/>
      <c r="AV107" s="121"/>
      <c r="AW107" s="121"/>
      <c r="AX107" s="121"/>
      <c r="AY107" s="121"/>
      <c r="AZ107" s="121"/>
      <c r="BA107" s="121"/>
      <c r="BB107" s="121"/>
      <c r="BC107" s="121"/>
      <c r="BD107" s="121"/>
      <c r="BE107" s="121"/>
      <c r="BF107" s="121"/>
      <c r="BG107" s="121"/>
      <c r="BH107" s="121"/>
      <c r="BI107" s="121"/>
      <c r="BJ107" s="121"/>
      <c r="BK107" s="121"/>
      <c r="BL107" s="121"/>
      <c r="BM107" s="121"/>
      <c r="BN107" s="121"/>
      <c r="BO107" s="121"/>
      <c r="BP107" s="121"/>
      <c r="BQ107" s="121"/>
      <c r="BR107" s="121"/>
      <c r="BS107" s="121"/>
      <c r="BT107" s="121"/>
      <c r="BU107" s="121"/>
      <c r="BV107" s="121"/>
      <c r="BW107" s="121"/>
      <c r="BX107" s="121"/>
      <c r="BY107" s="121"/>
      <c r="BZ107" s="121"/>
      <c r="CA107" s="121"/>
      <c r="CB107" s="121"/>
      <c r="CC107" s="121"/>
      <c r="CD107" s="121"/>
      <c r="CE107" s="121"/>
      <c r="CF107" s="121"/>
      <c r="CG107" s="121"/>
      <c r="CH107" s="121"/>
      <c r="CI107" s="121"/>
      <c r="CJ107" s="121"/>
      <c r="CK107" s="121"/>
      <c r="CL107" s="121"/>
      <c r="CM107" s="121"/>
      <c r="CN107" s="121"/>
      <c r="CO107" s="121"/>
      <c r="CP107" s="121"/>
      <c r="CQ107" s="121"/>
      <c r="CR107" s="121"/>
      <c r="CS107" s="121"/>
      <c r="CT107" s="121"/>
      <c r="CU107" s="121"/>
      <c r="CV107" s="121"/>
      <c r="CW107" s="121"/>
      <c r="CX107" s="121"/>
      <c r="CY107" s="121"/>
      <c r="CZ107" s="121"/>
      <c r="DA107" s="121"/>
      <c r="DB107" s="121"/>
      <c r="DC107" s="121"/>
      <c r="DD107" s="121"/>
      <c r="DE107" s="121"/>
      <c r="DF107" s="121"/>
      <c r="DG107" s="121"/>
      <c r="DH107" s="121"/>
      <c r="DI107" s="121"/>
      <c r="DJ107" s="121"/>
      <c r="DK107" s="121"/>
      <c r="DL107" s="121"/>
      <c r="DM107" s="121"/>
      <c r="DN107" s="121"/>
      <c r="DO107" s="121"/>
      <c r="DP107" s="121"/>
      <c r="DQ107" s="121"/>
      <c r="DR107" s="121"/>
      <c r="DS107" s="121"/>
      <c r="DT107" s="121"/>
      <c r="DU107" s="121"/>
      <c r="DV107" s="121"/>
      <c r="DW107" s="121"/>
      <c r="DX107" s="121"/>
      <c r="DY107" s="121"/>
      <c r="DZ107" s="121"/>
      <c r="EA107" s="121"/>
      <c r="EB107" s="121"/>
      <c r="EC107" s="121"/>
      <c r="ED107" s="121"/>
      <c r="EE107" s="121"/>
      <c r="EF107" s="121"/>
      <c r="EG107" s="121"/>
      <c r="EH107" s="121"/>
      <c r="EI107" s="121"/>
      <c r="EJ107" s="121"/>
      <c r="EK107" s="121"/>
      <c r="EL107" s="121"/>
      <c r="EM107" s="121"/>
      <c r="EN107" s="121"/>
      <c r="EO107" s="121"/>
      <c r="EP107" s="121"/>
      <c r="EQ107" s="121"/>
      <c r="ER107" s="121"/>
      <c r="ES107" s="121"/>
      <c r="ET107" s="121"/>
      <c r="EU107" s="121"/>
      <c r="EV107" s="121"/>
      <c r="EW107" s="121"/>
      <c r="EX107" s="121"/>
      <c r="EY107" s="121"/>
      <c r="EZ107" s="121"/>
      <c r="FA107" s="121"/>
      <c r="FB107" s="121"/>
      <c r="FC107" s="121"/>
      <c r="FD107" s="121"/>
      <c r="FE107" s="121"/>
      <c r="FF107" s="121"/>
      <c r="FG107" s="121"/>
      <c r="FH107" s="121"/>
      <c r="FI107" s="121"/>
      <c r="FJ107" s="121"/>
      <c r="FK107" s="121"/>
      <c r="FL107" s="121"/>
      <c r="FM107" s="121"/>
      <c r="FN107" s="121"/>
      <c r="FO107" s="121"/>
      <c r="FP107" s="121"/>
      <c r="FQ107" s="121"/>
      <c r="FR107" s="121"/>
      <c r="FS107" s="121"/>
      <c r="FT107" s="121"/>
      <c r="FU107" s="121"/>
      <c r="FV107" s="121"/>
      <c r="FW107" s="121"/>
      <c r="FX107" s="121"/>
      <c r="FY107" s="121"/>
      <c r="FZ107" s="121"/>
      <c r="GA107" s="121"/>
      <c r="GB107" s="121"/>
      <c r="GC107" s="121"/>
      <c r="GD107" s="121"/>
      <c r="GE107" s="121"/>
      <c r="GF107" s="121"/>
      <c r="GG107" s="121"/>
      <c r="GH107" s="121"/>
    </row>
    <row r="108" spans="1:190">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c r="AE108" s="121"/>
      <c r="AF108" s="121"/>
      <c r="AG108" s="121"/>
      <c r="AH108" s="121"/>
      <c r="AI108" s="121"/>
      <c r="AJ108" s="121"/>
      <c r="AK108" s="121"/>
      <c r="AL108" s="121"/>
      <c r="AM108" s="121"/>
      <c r="AN108" s="121"/>
      <c r="AO108" s="121"/>
      <c r="AP108" s="121"/>
      <c r="AQ108" s="121"/>
      <c r="AR108" s="121"/>
      <c r="AS108" s="121"/>
      <c r="AT108" s="121"/>
      <c r="AU108" s="121"/>
      <c r="AV108" s="121"/>
      <c r="AW108" s="121"/>
      <c r="AX108" s="121"/>
      <c r="AY108" s="121"/>
      <c r="AZ108" s="121"/>
      <c r="BA108" s="121"/>
      <c r="BB108" s="121"/>
      <c r="BC108" s="121"/>
      <c r="BD108" s="121"/>
      <c r="BE108" s="121"/>
      <c r="BF108" s="121"/>
      <c r="BG108" s="121"/>
      <c r="BH108" s="121"/>
      <c r="BI108" s="121"/>
      <c r="BJ108" s="121"/>
      <c r="BK108" s="121"/>
      <c r="BL108" s="121"/>
      <c r="BM108" s="121"/>
      <c r="BN108" s="121"/>
      <c r="BO108" s="121"/>
      <c r="BP108" s="121"/>
      <c r="BQ108" s="121"/>
      <c r="BR108" s="121"/>
      <c r="BS108" s="121"/>
      <c r="BT108" s="121"/>
      <c r="BU108" s="121"/>
      <c r="BV108" s="121"/>
      <c r="BW108" s="121"/>
      <c r="BX108" s="121"/>
      <c r="BY108" s="121"/>
      <c r="BZ108" s="121"/>
      <c r="CA108" s="121"/>
      <c r="CB108" s="121"/>
      <c r="CC108" s="121"/>
      <c r="CD108" s="121"/>
      <c r="CE108" s="121"/>
      <c r="CF108" s="121"/>
      <c r="CG108" s="121"/>
      <c r="CH108" s="121"/>
      <c r="CI108" s="121"/>
      <c r="CJ108" s="121"/>
      <c r="CK108" s="121"/>
      <c r="CL108" s="121"/>
      <c r="CM108" s="121"/>
      <c r="CN108" s="121"/>
      <c r="CO108" s="121"/>
      <c r="CP108" s="121"/>
      <c r="CQ108" s="121"/>
      <c r="CR108" s="121"/>
      <c r="CS108" s="121"/>
      <c r="CT108" s="121"/>
      <c r="CU108" s="121"/>
      <c r="CV108" s="121"/>
      <c r="CW108" s="121"/>
      <c r="CX108" s="121"/>
      <c r="CY108" s="121"/>
      <c r="CZ108" s="121"/>
      <c r="DA108" s="121"/>
      <c r="DB108" s="121"/>
      <c r="DC108" s="121"/>
      <c r="DD108" s="121"/>
      <c r="DE108" s="121"/>
      <c r="DF108" s="121"/>
      <c r="DG108" s="121"/>
      <c r="DH108" s="121"/>
      <c r="DI108" s="121"/>
      <c r="DJ108" s="121"/>
      <c r="DK108" s="121"/>
      <c r="DL108" s="121"/>
      <c r="DM108" s="121"/>
      <c r="DN108" s="121"/>
      <c r="DO108" s="121"/>
      <c r="DP108" s="121"/>
      <c r="DQ108" s="121"/>
      <c r="DR108" s="121"/>
      <c r="DS108" s="121"/>
      <c r="DT108" s="121"/>
      <c r="DU108" s="121"/>
      <c r="DV108" s="121"/>
      <c r="DW108" s="121"/>
      <c r="DX108" s="121"/>
      <c r="DY108" s="121"/>
      <c r="DZ108" s="121"/>
      <c r="EA108" s="121"/>
      <c r="EB108" s="121"/>
      <c r="EC108" s="121"/>
      <c r="ED108" s="121"/>
      <c r="EE108" s="121"/>
      <c r="EF108" s="121"/>
      <c r="EG108" s="121"/>
      <c r="EH108" s="121"/>
      <c r="EI108" s="121"/>
      <c r="EJ108" s="121"/>
      <c r="EK108" s="121"/>
      <c r="EL108" s="121"/>
      <c r="EM108" s="121"/>
      <c r="EN108" s="121"/>
      <c r="EO108" s="121"/>
      <c r="EP108" s="121"/>
      <c r="EQ108" s="121"/>
      <c r="ER108" s="121"/>
      <c r="ES108" s="121"/>
      <c r="ET108" s="121"/>
      <c r="EU108" s="121"/>
      <c r="EV108" s="121"/>
      <c r="EW108" s="121"/>
      <c r="EX108" s="121"/>
      <c r="EY108" s="121"/>
      <c r="EZ108" s="121"/>
      <c r="FA108" s="121"/>
      <c r="FB108" s="121"/>
      <c r="FC108" s="121"/>
      <c r="FD108" s="121"/>
      <c r="FE108" s="121"/>
      <c r="FF108" s="121"/>
      <c r="FG108" s="121"/>
      <c r="FH108" s="121"/>
      <c r="FI108" s="121"/>
      <c r="FJ108" s="121"/>
      <c r="FK108" s="121"/>
      <c r="FL108" s="121"/>
      <c r="FM108" s="121"/>
      <c r="FN108" s="121"/>
      <c r="FO108" s="121"/>
      <c r="FP108" s="121"/>
      <c r="FQ108" s="121"/>
      <c r="FR108" s="121"/>
      <c r="FS108" s="121"/>
      <c r="FT108" s="121"/>
      <c r="FU108" s="121"/>
      <c r="FV108" s="121"/>
      <c r="FW108" s="121"/>
      <c r="FX108" s="121"/>
      <c r="FY108" s="121"/>
      <c r="FZ108" s="121"/>
      <c r="GA108" s="121"/>
      <c r="GB108" s="121"/>
      <c r="GC108" s="121"/>
      <c r="GD108" s="121"/>
      <c r="GE108" s="121"/>
      <c r="GF108" s="121"/>
      <c r="GG108" s="121"/>
      <c r="GH108" s="121"/>
    </row>
    <row r="109" spans="1:190">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c r="AE109" s="121"/>
      <c r="AF109" s="121"/>
      <c r="AG109" s="121"/>
      <c r="AH109" s="121"/>
      <c r="AI109" s="121"/>
      <c r="AJ109" s="121"/>
      <c r="AK109" s="121"/>
      <c r="AL109" s="121"/>
      <c r="AM109" s="121"/>
      <c r="AN109" s="121"/>
      <c r="AO109" s="121"/>
      <c r="AP109" s="121"/>
      <c r="AQ109" s="121"/>
      <c r="AR109" s="121"/>
      <c r="AS109" s="121"/>
      <c r="AT109" s="121"/>
      <c r="AU109" s="121"/>
      <c r="AV109" s="121"/>
      <c r="AW109" s="121"/>
      <c r="AX109" s="121"/>
      <c r="AY109" s="121"/>
      <c r="AZ109" s="121"/>
      <c r="BA109" s="121"/>
      <c r="BB109" s="121"/>
      <c r="BC109" s="121"/>
      <c r="BD109" s="121"/>
      <c r="BE109" s="121"/>
      <c r="BF109" s="121"/>
      <c r="BG109" s="121"/>
      <c r="BH109" s="121"/>
      <c r="BI109" s="121"/>
      <c r="BJ109" s="121"/>
      <c r="BK109" s="121"/>
      <c r="BL109" s="121"/>
      <c r="BM109" s="121"/>
      <c r="BN109" s="121"/>
      <c r="BO109" s="121"/>
      <c r="BP109" s="121"/>
      <c r="BQ109" s="121"/>
      <c r="BR109" s="121"/>
      <c r="BS109" s="121"/>
      <c r="BT109" s="121"/>
      <c r="BU109" s="121"/>
      <c r="BV109" s="121"/>
      <c r="BW109" s="121"/>
      <c r="BX109" s="121"/>
      <c r="BY109" s="121"/>
      <c r="BZ109" s="121"/>
      <c r="CA109" s="121"/>
      <c r="CB109" s="121"/>
      <c r="CC109" s="121"/>
      <c r="CD109" s="121"/>
      <c r="CE109" s="121"/>
      <c r="CF109" s="121"/>
      <c r="CG109" s="121"/>
      <c r="CH109" s="121"/>
      <c r="CI109" s="121"/>
      <c r="CJ109" s="121"/>
      <c r="CK109" s="121"/>
      <c r="CL109" s="121"/>
      <c r="CM109" s="121"/>
      <c r="CN109" s="121"/>
      <c r="CO109" s="121"/>
      <c r="CP109" s="121"/>
      <c r="CQ109" s="121"/>
      <c r="CR109" s="121"/>
      <c r="CS109" s="121"/>
      <c r="CT109" s="121"/>
      <c r="CU109" s="121"/>
      <c r="CV109" s="121"/>
      <c r="CW109" s="121"/>
      <c r="CX109" s="121"/>
      <c r="CY109" s="121"/>
      <c r="CZ109" s="121"/>
      <c r="DA109" s="121"/>
      <c r="DB109" s="121"/>
      <c r="DC109" s="121"/>
      <c r="DD109" s="121"/>
      <c r="DE109" s="121"/>
      <c r="DF109" s="121"/>
      <c r="DG109" s="121"/>
      <c r="DH109" s="121"/>
      <c r="DI109" s="121"/>
      <c r="DJ109" s="121"/>
      <c r="DK109" s="121"/>
      <c r="DL109" s="121"/>
      <c r="DM109" s="121"/>
      <c r="DN109" s="121"/>
      <c r="DO109" s="121"/>
      <c r="DP109" s="121"/>
      <c r="DQ109" s="121"/>
      <c r="DR109" s="121"/>
      <c r="DS109" s="121"/>
      <c r="DT109" s="121"/>
      <c r="DU109" s="121"/>
      <c r="DV109" s="121"/>
      <c r="DW109" s="121"/>
      <c r="DX109" s="121"/>
      <c r="DY109" s="121"/>
      <c r="DZ109" s="121"/>
      <c r="EA109" s="121"/>
      <c r="EB109" s="121"/>
      <c r="EC109" s="121"/>
      <c r="ED109" s="121"/>
      <c r="EE109" s="121"/>
      <c r="EF109" s="121"/>
      <c r="EG109" s="121"/>
      <c r="EH109" s="121"/>
      <c r="EI109" s="121"/>
      <c r="EJ109" s="121"/>
      <c r="EK109" s="121"/>
      <c r="EL109" s="121"/>
      <c r="EM109" s="121"/>
      <c r="EN109" s="121"/>
      <c r="EO109" s="121"/>
      <c r="EP109" s="121"/>
      <c r="EQ109" s="121"/>
      <c r="ER109" s="121"/>
      <c r="ES109" s="121"/>
      <c r="ET109" s="121"/>
      <c r="EU109" s="121"/>
      <c r="EV109" s="121"/>
      <c r="EW109" s="121"/>
      <c r="EX109" s="121"/>
      <c r="EY109" s="121"/>
      <c r="EZ109" s="121"/>
      <c r="FA109" s="121"/>
      <c r="FB109" s="121"/>
      <c r="FC109" s="121"/>
      <c r="FD109" s="121"/>
      <c r="FE109" s="121"/>
      <c r="FF109" s="121"/>
      <c r="FG109" s="121"/>
      <c r="FH109" s="121"/>
      <c r="FI109" s="121"/>
      <c r="FJ109" s="121"/>
      <c r="FK109" s="121"/>
      <c r="FL109" s="121"/>
      <c r="FM109" s="121"/>
      <c r="FN109" s="121"/>
      <c r="FO109" s="121"/>
      <c r="FP109" s="121"/>
      <c r="FQ109" s="121"/>
      <c r="FR109" s="121"/>
      <c r="FS109" s="121"/>
      <c r="FT109" s="121"/>
      <c r="FU109" s="121"/>
      <c r="FV109" s="121"/>
      <c r="FW109" s="121"/>
      <c r="FX109" s="121"/>
      <c r="FY109" s="121"/>
      <c r="FZ109" s="121"/>
      <c r="GA109" s="121"/>
      <c r="GB109" s="121"/>
      <c r="GC109" s="121"/>
      <c r="GD109" s="121"/>
      <c r="GE109" s="121"/>
      <c r="GF109" s="121"/>
      <c r="GG109" s="121"/>
      <c r="GH109" s="121"/>
    </row>
    <row r="110" spans="1:190">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c r="AE110" s="121"/>
      <c r="AF110" s="121"/>
      <c r="AG110" s="121"/>
      <c r="AH110" s="121"/>
      <c r="AI110" s="121"/>
      <c r="AJ110" s="121"/>
      <c r="AK110" s="121"/>
      <c r="AL110" s="121"/>
      <c r="AM110" s="121"/>
      <c r="AN110" s="121"/>
      <c r="AO110" s="121"/>
      <c r="AP110" s="121"/>
      <c r="AQ110" s="121"/>
      <c r="AR110" s="121"/>
      <c r="AS110" s="121"/>
      <c r="AT110" s="121"/>
      <c r="AU110" s="121"/>
      <c r="AV110" s="121"/>
      <c r="AW110" s="121"/>
      <c r="AX110" s="121"/>
      <c r="AY110" s="121"/>
      <c r="AZ110" s="121"/>
      <c r="BA110" s="121"/>
      <c r="BB110" s="121"/>
      <c r="BC110" s="121"/>
      <c r="BD110" s="121"/>
      <c r="BE110" s="121"/>
      <c r="BF110" s="121"/>
      <c r="BG110" s="121"/>
      <c r="BH110" s="121"/>
      <c r="BI110" s="121"/>
      <c r="BJ110" s="121"/>
      <c r="BK110" s="121"/>
      <c r="BL110" s="121"/>
      <c r="BM110" s="121"/>
      <c r="BN110" s="121"/>
      <c r="BO110" s="121"/>
      <c r="BP110" s="121"/>
      <c r="BQ110" s="121"/>
      <c r="BR110" s="121"/>
      <c r="BS110" s="121"/>
      <c r="BT110" s="121"/>
      <c r="BU110" s="121"/>
      <c r="BV110" s="121"/>
      <c r="BW110" s="121"/>
      <c r="BX110" s="121"/>
      <c r="BY110" s="121"/>
      <c r="BZ110" s="121"/>
      <c r="CA110" s="121"/>
      <c r="CB110" s="121"/>
      <c r="CC110" s="121"/>
      <c r="CD110" s="121"/>
      <c r="CE110" s="121"/>
      <c r="CF110" s="121"/>
      <c r="CG110" s="121"/>
      <c r="CH110" s="121"/>
      <c r="CI110" s="121"/>
      <c r="CJ110" s="121"/>
      <c r="CK110" s="121"/>
      <c r="CL110" s="121"/>
      <c r="CM110" s="121"/>
      <c r="CN110" s="121"/>
      <c r="CO110" s="121"/>
      <c r="CP110" s="121"/>
      <c r="CQ110" s="121"/>
      <c r="CR110" s="121"/>
      <c r="CS110" s="121"/>
      <c r="CT110" s="121"/>
      <c r="CU110" s="121"/>
      <c r="CV110" s="121"/>
      <c r="CW110" s="121"/>
      <c r="CX110" s="121"/>
      <c r="CY110" s="121"/>
      <c r="CZ110" s="121"/>
      <c r="DA110" s="121"/>
      <c r="DB110" s="121"/>
      <c r="DC110" s="121"/>
      <c r="DD110" s="121"/>
      <c r="DE110" s="121"/>
      <c r="DF110" s="121"/>
      <c r="DG110" s="121"/>
      <c r="DH110" s="121"/>
      <c r="DI110" s="121"/>
      <c r="DJ110" s="121"/>
      <c r="DK110" s="121"/>
      <c r="DL110" s="121"/>
      <c r="DM110" s="121"/>
      <c r="DN110" s="121"/>
      <c r="DO110" s="121"/>
      <c r="DP110" s="121"/>
      <c r="DQ110" s="121"/>
      <c r="DR110" s="121"/>
      <c r="DS110" s="121"/>
      <c r="DT110" s="121"/>
      <c r="DU110" s="121"/>
      <c r="DV110" s="121"/>
      <c r="DW110" s="121"/>
      <c r="DX110" s="121"/>
      <c r="DY110" s="121"/>
      <c r="DZ110" s="121"/>
      <c r="EA110" s="121"/>
      <c r="EB110" s="121"/>
      <c r="EC110" s="121"/>
      <c r="ED110" s="121"/>
      <c r="EE110" s="121"/>
      <c r="EF110" s="121"/>
      <c r="EG110" s="121"/>
      <c r="EH110" s="121"/>
      <c r="EI110" s="121"/>
      <c r="EJ110" s="121"/>
      <c r="EK110" s="121"/>
      <c r="EL110" s="121"/>
      <c r="EM110" s="121"/>
      <c r="EN110" s="121"/>
      <c r="EO110" s="121"/>
      <c r="EP110" s="121"/>
      <c r="EQ110" s="121"/>
      <c r="ER110" s="121"/>
      <c r="ES110" s="121"/>
      <c r="ET110" s="121"/>
      <c r="EU110" s="121"/>
      <c r="EV110" s="121"/>
      <c r="EW110" s="121"/>
      <c r="EX110" s="121"/>
      <c r="EY110" s="121"/>
      <c r="EZ110" s="121"/>
      <c r="FA110" s="121"/>
      <c r="FB110" s="121"/>
      <c r="FC110" s="121"/>
      <c r="FD110" s="121"/>
      <c r="FE110" s="121"/>
      <c r="FF110" s="121"/>
      <c r="FG110" s="121"/>
      <c r="FH110" s="121"/>
      <c r="FI110" s="121"/>
      <c r="FJ110" s="121"/>
      <c r="FK110" s="121"/>
      <c r="FL110" s="121"/>
      <c r="FM110" s="121"/>
      <c r="FN110" s="121"/>
      <c r="FO110" s="121"/>
      <c r="FP110" s="121"/>
      <c r="FQ110" s="121"/>
      <c r="FR110" s="121"/>
      <c r="FS110" s="121"/>
      <c r="FT110" s="121"/>
      <c r="FU110" s="121"/>
      <c r="FV110" s="121"/>
      <c r="FW110" s="121"/>
      <c r="FX110" s="121"/>
      <c r="FY110" s="121"/>
      <c r="FZ110" s="121"/>
      <c r="GA110" s="121"/>
      <c r="GB110" s="121"/>
      <c r="GC110" s="121"/>
      <c r="GD110" s="121"/>
      <c r="GE110" s="121"/>
      <c r="GF110" s="121"/>
      <c r="GG110" s="121"/>
      <c r="GH110" s="121"/>
    </row>
    <row r="111" spans="1:190">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c r="AE111" s="121"/>
      <c r="AF111" s="121"/>
      <c r="AG111" s="121"/>
      <c r="AH111" s="121"/>
      <c r="AI111" s="121"/>
      <c r="AJ111" s="121"/>
      <c r="AK111" s="121"/>
      <c r="AL111" s="121"/>
      <c r="AM111" s="121"/>
      <c r="AN111" s="121"/>
      <c r="AO111" s="121"/>
      <c r="AP111" s="121"/>
      <c r="AQ111" s="121"/>
      <c r="AR111" s="121"/>
      <c r="AS111" s="121"/>
      <c r="AT111" s="121"/>
      <c r="AU111" s="121"/>
      <c r="AV111" s="121"/>
      <c r="AW111" s="121"/>
      <c r="AX111" s="121"/>
      <c r="AY111" s="121"/>
      <c r="AZ111" s="121"/>
      <c r="BA111" s="121"/>
      <c r="BB111" s="121"/>
      <c r="BC111" s="121"/>
      <c r="BD111" s="121"/>
      <c r="BE111" s="121"/>
      <c r="BF111" s="121"/>
      <c r="BG111" s="121"/>
      <c r="BH111" s="121"/>
      <c r="BI111" s="121"/>
      <c r="BJ111" s="121"/>
      <c r="BK111" s="121"/>
      <c r="BL111" s="121"/>
      <c r="BM111" s="121"/>
      <c r="BN111" s="121"/>
      <c r="BO111" s="121"/>
      <c r="BP111" s="121"/>
      <c r="BQ111" s="121"/>
      <c r="BR111" s="121"/>
      <c r="BS111" s="121"/>
      <c r="BT111" s="121"/>
      <c r="BU111" s="121"/>
      <c r="BV111" s="121"/>
      <c r="BW111" s="121"/>
      <c r="BX111" s="121"/>
      <c r="BY111" s="121"/>
      <c r="BZ111" s="121"/>
      <c r="CA111" s="121"/>
      <c r="CB111" s="121"/>
      <c r="CC111" s="121"/>
      <c r="CD111" s="121"/>
      <c r="CE111" s="121"/>
      <c r="CF111" s="121"/>
      <c r="CG111" s="121"/>
      <c r="CH111" s="121"/>
      <c r="CI111" s="121"/>
      <c r="CJ111" s="121"/>
      <c r="CK111" s="121"/>
      <c r="CL111" s="121"/>
      <c r="CM111" s="121"/>
      <c r="CN111" s="121"/>
      <c r="CO111" s="121"/>
      <c r="CP111" s="121"/>
      <c r="CQ111" s="121"/>
      <c r="CR111" s="121"/>
      <c r="CS111" s="121"/>
      <c r="CT111" s="121"/>
      <c r="CU111" s="121"/>
      <c r="CV111" s="121"/>
      <c r="CW111" s="121"/>
      <c r="CX111" s="121"/>
      <c r="CY111" s="121"/>
      <c r="CZ111" s="121"/>
      <c r="DA111" s="121"/>
      <c r="DB111" s="121"/>
      <c r="DC111" s="121"/>
      <c r="DD111" s="121"/>
      <c r="DE111" s="121"/>
      <c r="DF111" s="121"/>
      <c r="DG111" s="121"/>
      <c r="DH111" s="121"/>
      <c r="DI111" s="121"/>
      <c r="DJ111" s="121"/>
      <c r="DK111" s="121"/>
      <c r="DL111" s="121"/>
      <c r="DM111" s="121"/>
      <c r="DN111" s="121"/>
      <c r="DO111" s="121"/>
      <c r="DP111" s="121"/>
      <c r="DQ111" s="121"/>
      <c r="DR111" s="121"/>
      <c r="DS111" s="121"/>
      <c r="DT111" s="121"/>
      <c r="DU111" s="121"/>
      <c r="DV111" s="121"/>
      <c r="DW111" s="121"/>
      <c r="DX111" s="121"/>
      <c r="DY111" s="121"/>
      <c r="DZ111" s="121"/>
      <c r="EA111" s="121"/>
      <c r="EB111" s="121"/>
      <c r="EC111" s="121"/>
      <c r="ED111" s="121"/>
      <c r="EE111" s="121"/>
      <c r="EF111" s="121"/>
      <c r="EG111" s="121"/>
      <c r="EH111" s="121"/>
      <c r="EI111" s="121"/>
      <c r="EJ111" s="121"/>
      <c r="EK111" s="121"/>
      <c r="EL111" s="121"/>
      <c r="EM111" s="121"/>
      <c r="EN111" s="121"/>
      <c r="EO111" s="121"/>
      <c r="EP111" s="121"/>
      <c r="EQ111" s="121"/>
      <c r="ER111" s="121"/>
      <c r="ES111" s="121"/>
      <c r="ET111" s="121"/>
      <c r="EU111" s="121"/>
      <c r="EV111" s="121"/>
      <c r="EW111" s="121"/>
      <c r="EX111" s="121"/>
      <c r="EY111" s="121"/>
      <c r="EZ111" s="121"/>
      <c r="FA111" s="121"/>
      <c r="FB111" s="121"/>
      <c r="FC111" s="121"/>
      <c r="FD111" s="121"/>
      <c r="FE111" s="121"/>
      <c r="FF111" s="121"/>
      <c r="FG111" s="121"/>
      <c r="FH111" s="121"/>
      <c r="FI111" s="121"/>
      <c r="FJ111" s="121"/>
      <c r="FK111" s="121"/>
      <c r="FL111" s="121"/>
      <c r="FM111" s="121"/>
      <c r="FN111" s="121"/>
      <c r="FO111" s="121"/>
      <c r="FP111" s="121"/>
      <c r="FQ111" s="121"/>
      <c r="FR111" s="121"/>
      <c r="FS111" s="121"/>
      <c r="FT111" s="121"/>
      <c r="FU111" s="121"/>
      <c r="FV111" s="121"/>
      <c r="FW111" s="121"/>
      <c r="FX111" s="121"/>
      <c r="FY111" s="121"/>
      <c r="FZ111" s="121"/>
      <c r="GA111" s="121"/>
      <c r="GB111" s="121"/>
      <c r="GC111" s="121"/>
      <c r="GD111" s="121"/>
      <c r="GE111" s="121"/>
      <c r="GF111" s="121"/>
      <c r="GG111" s="121"/>
      <c r="GH111" s="121"/>
    </row>
    <row r="112" spans="1:190">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c r="AE112" s="121"/>
      <c r="AF112" s="121"/>
      <c r="AG112" s="121"/>
      <c r="AH112" s="121"/>
      <c r="AI112" s="121"/>
      <c r="AJ112" s="121"/>
      <c r="AK112" s="121"/>
      <c r="AL112" s="121"/>
      <c r="AM112" s="121"/>
      <c r="AN112" s="121"/>
      <c r="AO112" s="121"/>
      <c r="AP112" s="121"/>
      <c r="AQ112" s="121"/>
      <c r="AR112" s="121"/>
      <c r="AS112" s="121"/>
      <c r="AT112" s="121"/>
      <c r="AU112" s="121"/>
      <c r="AV112" s="121"/>
      <c r="AW112" s="121"/>
      <c r="AX112" s="121"/>
      <c r="AY112" s="121"/>
      <c r="AZ112" s="121"/>
      <c r="BA112" s="121"/>
      <c r="BB112" s="121"/>
      <c r="BC112" s="121"/>
      <c r="BD112" s="121"/>
      <c r="BE112" s="121"/>
      <c r="BF112" s="121"/>
      <c r="BG112" s="121"/>
      <c r="BH112" s="121"/>
      <c r="BI112" s="121"/>
      <c r="BJ112" s="121"/>
      <c r="BK112" s="121"/>
      <c r="BL112" s="121"/>
      <c r="BM112" s="121"/>
      <c r="BN112" s="121"/>
      <c r="BO112" s="121"/>
      <c r="BP112" s="121"/>
      <c r="BQ112" s="121"/>
      <c r="BR112" s="121"/>
      <c r="BS112" s="121"/>
      <c r="BT112" s="121"/>
      <c r="BU112" s="121"/>
      <c r="BV112" s="121"/>
      <c r="BW112" s="121"/>
      <c r="BX112" s="121"/>
      <c r="BY112" s="121"/>
      <c r="BZ112" s="121"/>
      <c r="CA112" s="121"/>
      <c r="CB112" s="121"/>
      <c r="CC112" s="121"/>
      <c r="CD112" s="121"/>
      <c r="CE112" s="121"/>
      <c r="CF112" s="121"/>
      <c r="CG112" s="121"/>
      <c r="CH112" s="121"/>
      <c r="CI112" s="121"/>
      <c r="CJ112" s="121"/>
      <c r="CK112" s="121"/>
      <c r="CL112" s="121"/>
      <c r="CM112" s="121"/>
      <c r="CN112" s="121"/>
      <c r="CO112" s="121"/>
      <c r="CP112" s="121"/>
      <c r="CQ112" s="121"/>
      <c r="CR112" s="121"/>
      <c r="CS112" s="121"/>
      <c r="CT112" s="121"/>
      <c r="CU112" s="121"/>
      <c r="CV112" s="121"/>
      <c r="CW112" s="121"/>
      <c r="CX112" s="121"/>
      <c r="CY112" s="121"/>
      <c r="CZ112" s="121"/>
      <c r="DA112" s="121"/>
      <c r="DB112" s="121"/>
      <c r="DC112" s="121"/>
      <c r="DD112" s="121"/>
      <c r="DE112" s="121"/>
      <c r="DF112" s="121"/>
      <c r="DG112" s="121"/>
      <c r="DH112" s="121"/>
      <c r="DI112" s="121"/>
      <c r="DJ112" s="121"/>
      <c r="DK112" s="121"/>
      <c r="DL112" s="121"/>
      <c r="DM112" s="121"/>
      <c r="DN112" s="121"/>
      <c r="DO112" s="121"/>
      <c r="DP112" s="121"/>
      <c r="DQ112" s="121"/>
      <c r="DR112" s="121"/>
      <c r="DS112" s="121"/>
      <c r="DT112" s="121"/>
      <c r="DU112" s="121"/>
      <c r="DV112" s="121"/>
      <c r="DW112" s="121"/>
      <c r="DX112" s="121"/>
      <c r="DY112" s="121"/>
      <c r="DZ112" s="121"/>
      <c r="EA112" s="121"/>
      <c r="EB112" s="121"/>
      <c r="EC112" s="121"/>
      <c r="ED112" s="121"/>
      <c r="EE112" s="121"/>
      <c r="EF112" s="121"/>
      <c r="EG112" s="121"/>
      <c r="EH112" s="121"/>
      <c r="EI112" s="121"/>
      <c r="EJ112" s="121"/>
      <c r="EK112" s="121"/>
      <c r="EL112" s="121"/>
      <c r="EM112" s="121"/>
      <c r="EN112" s="121"/>
      <c r="EO112" s="121"/>
      <c r="EP112" s="121"/>
      <c r="EQ112" s="121"/>
      <c r="ER112" s="121"/>
      <c r="ES112" s="121"/>
      <c r="ET112" s="121"/>
      <c r="EU112" s="121"/>
      <c r="EV112" s="121"/>
      <c r="EW112" s="121"/>
      <c r="EX112" s="121"/>
      <c r="EY112" s="121"/>
      <c r="EZ112" s="121"/>
      <c r="FA112" s="121"/>
      <c r="FB112" s="121"/>
      <c r="FC112" s="121"/>
      <c r="FD112" s="121"/>
      <c r="FE112" s="121"/>
      <c r="FF112" s="121"/>
      <c r="FG112" s="121"/>
      <c r="FH112" s="121"/>
      <c r="FI112" s="121"/>
      <c r="FJ112" s="121"/>
      <c r="FK112" s="121"/>
      <c r="FL112" s="121"/>
      <c r="FM112" s="121"/>
      <c r="FN112" s="121"/>
      <c r="FO112" s="121"/>
      <c r="FP112" s="121"/>
      <c r="FQ112" s="121"/>
      <c r="FR112" s="121"/>
      <c r="FS112" s="121"/>
      <c r="FT112" s="121"/>
      <c r="FU112" s="121"/>
      <c r="FV112" s="121"/>
      <c r="FW112" s="121"/>
      <c r="FX112" s="121"/>
      <c r="FY112" s="121"/>
      <c r="FZ112" s="121"/>
      <c r="GA112" s="121"/>
      <c r="GB112" s="121"/>
      <c r="GC112" s="121"/>
      <c r="GD112" s="121"/>
      <c r="GE112" s="121"/>
      <c r="GF112" s="121"/>
      <c r="GG112" s="121"/>
      <c r="GH112" s="121"/>
    </row>
    <row r="113" spans="1:190">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c r="AI113" s="121"/>
      <c r="AJ113" s="121"/>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1"/>
      <c r="BG113" s="121"/>
      <c r="BH113" s="121"/>
      <c r="BI113" s="121"/>
      <c r="BJ113" s="121"/>
      <c r="BK113" s="121"/>
      <c r="BL113" s="121"/>
      <c r="BM113" s="121"/>
      <c r="BN113" s="121"/>
      <c r="BO113" s="121"/>
      <c r="BP113" s="121"/>
      <c r="BQ113" s="121"/>
      <c r="BR113" s="121"/>
      <c r="BS113" s="121"/>
      <c r="BT113" s="121"/>
      <c r="BU113" s="121"/>
      <c r="BV113" s="121"/>
      <c r="BW113" s="121"/>
      <c r="BX113" s="121"/>
      <c r="BY113" s="121"/>
      <c r="BZ113" s="121"/>
      <c r="CA113" s="121"/>
      <c r="CB113" s="121"/>
      <c r="CC113" s="121"/>
      <c r="CD113" s="121"/>
      <c r="CE113" s="121"/>
      <c r="CF113" s="121"/>
      <c r="CG113" s="121"/>
      <c r="CH113" s="121"/>
      <c r="CI113" s="121"/>
      <c r="CJ113" s="121"/>
      <c r="CK113" s="121"/>
      <c r="CL113" s="121"/>
      <c r="CM113" s="121"/>
      <c r="CN113" s="121"/>
      <c r="CO113" s="121"/>
      <c r="CP113" s="121"/>
      <c r="CQ113" s="121"/>
      <c r="CR113" s="121"/>
      <c r="CS113" s="121"/>
      <c r="CT113" s="121"/>
      <c r="CU113" s="121"/>
      <c r="CV113" s="121"/>
      <c r="CW113" s="121"/>
      <c r="CX113" s="121"/>
      <c r="CY113" s="121"/>
      <c r="CZ113" s="121"/>
      <c r="DA113" s="121"/>
      <c r="DB113" s="121"/>
      <c r="DC113" s="121"/>
      <c r="DD113" s="121"/>
      <c r="DE113" s="121"/>
      <c r="DF113" s="121"/>
      <c r="DG113" s="121"/>
      <c r="DH113" s="121"/>
      <c r="DI113" s="121"/>
      <c r="DJ113" s="121"/>
      <c r="DK113" s="121"/>
      <c r="DL113" s="121"/>
      <c r="DM113" s="121"/>
      <c r="DN113" s="121"/>
      <c r="DO113" s="121"/>
      <c r="DP113" s="121"/>
      <c r="DQ113" s="121"/>
      <c r="DR113" s="121"/>
      <c r="DS113" s="121"/>
      <c r="DT113" s="121"/>
      <c r="DU113" s="121"/>
      <c r="DV113" s="121"/>
      <c r="DW113" s="121"/>
      <c r="DX113" s="121"/>
      <c r="DY113" s="121"/>
      <c r="DZ113" s="121"/>
      <c r="EA113" s="121"/>
      <c r="EB113" s="121"/>
      <c r="EC113" s="121"/>
      <c r="ED113" s="121"/>
      <c r="EE113" s="121"/>
      <c r="EF113" s="121"/>
      <c r="EG113" s="121"/>
      <c r="EH113" s="121"/>
      <c r="EI113" s="121"/>
      <c r="EJ113" s="121"/>
      <c r="EK113" s="121"/>
      <c r="EL113" s="121"/>
      <c r="EM113" s="121"/>
      <c r="EN113" s="121"/>
      <c r="EO113" s="121"/>
      <c r="EP113" s="121"/>
      <c r="EQ113" s="121"/>
      <c r="ER113" s="121"/>
      <c r="ES113" s="121"/>
      <c r="ET113" s="121"/>
      <c r="EU113" s="121"/>
      <c r="EV113" s="121"/>
      <c r="EW113" s="121"/>
      <c r="EX113" s="121"/>
      <c r="EY113" s="121"/>
      <c r="EZ113" s="121"/>
      <c r="FA113" s="121"/>
      <c r="FB113" s="121"/>
      <c r="FC113" s="121"/>
      <c r="FD113" s="121"/>
      <c r="FE113" s="121"/>
      <c r="FF113" s="121"/>
      <c r="FG113" s="121"/>
      <c r="FH113" s="121"/>
      <c r="FI113" s="121"/>
      <c r="FJ113" s="121"/>
      <c r="FK113" s="121"/>
      <c r="FL113" s="121"/>
      <c r="FM113" s="121"/>
      <c r="FN113" s="121"/>
      <c r="FO113" s="121"/>
      <c r="FP113" s="121"/>
      <c r="FQ113" s="121"/>
      <c r="FR113" s="121"/>
      <c r="FS113" s="121"/>
      <c r="FT113" s="121"/>
      <c r="FU113" s="121"/>
      <c r="FV113" s="121"/>
      <c r="FW113" s="121"/>
      <c r="FX113" s="121"/>
      <c r="FY113" s="121"/>
      <c r="FZ113" s="121"/>
      <c r="GA113" s="121"/>
      <c r="GB113" s="121"/>
      <c r="GC113" s="121"/>
      <c r="GD113" s="121"/>
      <c r="GE113" s="121"/>
      <c r="GF113" s="121"/>
      <c r="GG113" s="121"/>
      <c r="GH113" s="121"/>
    </row>
    <row r="114" spans="1:190">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c r="AE114" s="121"/>
      <c r="AF114" s="121"/>
      <c r="AG114" s="121"/>
      <c r="AH114" s="121"/>
      <c r="AI114" s="121"/>
      <c r="AJ114" s="121"/>
      <c r="AK114" s="121"/>
      <c r="AL114" s="121"/>
      <c r="AM114" s="121"/>
      <c r="AN114" s="121"/>
      <c r="AO114" s="121"/>
      <c r="AP114" s="121"/>
      <c r="AQ114" s="121"/>
      <c r="AR114" s="121"/>
      <c r="AS114" s="121"/>
      <c r="AT114" s="121"/>
      <c r="AU114" s="121"/>
      <c r="AV114" s="121"/>
      <c r="AW114" s="121"/>
      <c r="AX114" s="121"/>
      <c r="AY114" s="121"/>
      <c r="AZ114" s="121"/>
      <c r="BA114" s="121"/>
      <c r="BB114" s="121"/>
      <c r="BC114" s="121"/>
      <c r="BD114" s="121"/>
      <c r="BE114" s="121"/>
      <c r="BF114" s="121"/>
      <c r="BG114" s="121"/>
      <c r="BH114" s="121"/>
      <c r="BI114" s="121"/>
      <c r="BJ114" s="121"/>
      <c r="BK114" s="121"/>
      <c r="BL114" s="121"/>
      <c r="BM114" s="121"/>
      <c r="BN114" s="121"/>
      <c r="BO114" s="121"/>
      <c r="BP114" s="121"/>
      <c r="BQ114" s="121"/>
      <c r="BR114" s="121"/>
      <c r="BS114" s="121"/>
      <c r="BT114" s="121"/>
      <c r="BU114" s="121"/>
      <c r="BV114" s="121"/>
      <c r="BW114" s="121"/>
      <c r="BX114" s="121"/>
      <c r="BY114" s="121"/>
      <c r="BZ114" s="121"/>
      <c r="CA114" s="121"/>
      <c r="CB114" s="121"/>
      <c r="CC114" s="121"/>
      <c r="CD114" s="121"/>
      <c r="CE114" s="121"/>
      <c r="CF114" s="121"/>
      <c r="CG114" s="121"/>
      <c r="CH114" s="121"/>
      <c r="CI114" s="121"/>
      <c r="CJ114" s="121"/>
      <c r="CK114" s="121"/>
      <c r="CL114" s="121"/>
      <c r="CM114" s="121"/>
      <c r="CN114" s="121"/>
      <c r="CO114" s="121"/>
      <c r="CP114" s="121"/>
      <c r="CQ114" s="121"/>
      <c r="CR114" s="121"/>
      <c r="CS114" s="121"/>
      <c r="CT114" s="121"/>
      <c r="CU114" s="121"/>
      <c r="CV114" s="121"/>
      <c r="CW114" s="121"/>
      <c r="CX114" s="121"/>
      <c r="CY114" s="121"/>
      <c r="CZ114" s="121"/>
      <c r="DA114" s="121"/>
      <c r="DB114" s="121"/>
      <c r="DC114" s="121"/>
      <c r="DD114" s="121"/>
      <c r="DE114" s="121"/>
      <c r="DF114" s="121"/>
      <c r="DG114" s="121"/>
      <c r="DH114" s="121"/>
      <c r="DI114" s="121"/>
      <c r="DJ114" s="121"/>
      <c r="DK114" s="121"/>
      <c r="DL114" s="121"/>
      <c r="DM114" s="121"/>
      <c r="DN114" s="121"/>
      <c r="DO114" s="121"/>
      <c r="DP114" s="121"/>
      <c r="DQ114" s="121"/>
      <c r="DR114" s="121"/>
      <c r="DS114" s="121"/>
      <c r="DT114" s="121"/>
      <c r="DU114" s="121"/>
      <c r="DV114" s="121"/>
      <c r="DW114" s="121"/>
      <c r="DX114" s="121"/>
      <c r="DY114" s="121"/>
      <c r="DZ114" s="121"/>
      <c r="EA114" s="121"/>
      <c r="EB114" s="121"/>
      <c r="EC114" s="121"/>
      <c r="ED114" s="121"/>
      <c r="EE114" s="121"/>
      <c r="EF114" s="121"/>
      <c r="EG114" s="121"/>
      <c r="EH114" s="121"/>
      <c r="EI114" s="121"/>
      <c r="EJ114" s="121"/>
      <c r="EK114" s="121"/>
      <c r="EL114" s="121"/>
      <c r="EM114" s="121"/>
      <c r="EN114" s="121"/>
      <c r="EO114" s="121"/>
      <c r="EP114" s="121"/>
      <c r="EQ114" s="121"/>
      <c r="ER114" s="121"/>
      <c r="ES114" s="121"/>
      <c r="ET114" s="121"/>
      <c r="EU114" s="121"/>
      <c r="EV114" s="121"/>
      <c r="EW114" s="121"/>
      <c r="EX114" s="121"/>
      <c r="EY114" s="121"/>
      <c r="EZ114" s="121"/>
      <c r="FA114" s="121"/>
      <c r="FB114" s="121"/>
      <c r="FC114" s="121"/>
      <c r="FD114" s="121"/>
      <c r="FE114" s="121"/>
      <c r="FF114" s="121"/>
      <c r="FG114" s="121"/>
      <c r="FH114" s="121"/>
      <c r="FI114" s="121"/>
      <c r="FJ114" s="121"/>
      <c r="FK114" s="121"/>
      <c r="FL114" s="121"/>
      <c r="FM114" s="121"/>
      <c r="FN114" s="121"/>
      <c r="FO114" s="121"/>
      <c r="FP114" s="121"/>
      <c r="FQ114" s="121"/>
      <c r="FR114" s="121"/>
      <c r="FS114" s="121"/>
      <c r="FT114" s="121"/>
      <c r="FU114" s="121"/>
      <c r="FV114" s="121"/>
      <c r="FW114" s="121"/>
      <c r="FX114" s="121"/>
      <c r="FY114" s="121"/>
      <c r="FZ114" s="121"/>
      <c r="GA114" s="121"/>
      <c r="GB114" s="121"/>
      <c r="GC114" s="121"/>
      <c r="GD114" s="121"/>
      <c r="GE114" s="121"/>
      <c r="GF114" s="121"/>
      <c r="GG114" s="121"/>
      <c r="GH114" s="121"/>
    </row>
    <row r="115" spans="1:190">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c r="AI115" s="121"/>
      <c r="AJ115" s="121"/>
      <c r="AK115" s="121"/>
      <c r="AL115" s="121"/>
      <c r="AM115" s="121"/>
      <c r="AN115" s="121"/>
      <c r="AO115" s="121"/>
      <c r="AP115" s="121"/>
      <c r="AQ115" s="121"/>
      <c r="AR115" s="121"/>
      <c r="AS115" s="121"/>
      <c r="AT115" s="121"/>
      <c r="AU115" s="121"/>
      <c r="AV115" s="121"/>
      <c r="AW115" s="121"/>
      <c r="AX115" s="121"/>
      <c r="AY115" s="121"/>
      <c r="AZ115" s="121"/>
      <c r="BA115" s="121"/>
      <c r="BB115" s="121"/>
      <c r="BC115" s="121"/>
      <c r="BD115" s="121"/>
      <c r="BE115" s="121"/>
      <c r="BF115" s="121"/>
      <c r="BG115" s="121"/>
      <c r="BH115" s="121"/>
      <c r="BI115" s="121"/>
      <c r="BJ115" s="121"/>
      <c r="BK115" s="121"/>
      <c r="BL115" s="121"/>
      <c r="BM115" s="121"/>
      <c r="BN115" s="121"/>
      <c r="BO115" s="121"/>
      <c r="BP115" s="121"/>
      <c r="BQ115" s="121"/>
      <c r="BR115" s="121"/>
      <c r="BS115" s="121"/>
      <c r="BT115" s="121"/>
      <c r="BU115" s="121"/>
      <c r="BV115" s="121"/>
      <c r="BW115" s="121"/>
      <c r="BX115" s="121"/>
      <c r="BY115" s="121"/>
      <c r="BZ115" s="121"/>
      <c r="CA115" s="121"/>
      <c r="CB115" s="121"/>
      <c r="CC115" s="121"/>
      <c r="CD115" s="121"/>
      <c r="CE115" s="121"/>
      <c r="CF115" s="121"/>
      <c r="CG115" s="121"/>
      <c r="CH115" s="121"/>
      <c r="CI115" s="121"/>
      <c r="CJ115" s="121"/>
      <c r="CK115" s="121"/>
      <c r="CL115" s="121"/>
      <c r="CM115" s="121"/>
      <c r="CN115" s="121"/>
      <c r="CO115" s="121"/>
      <c r="CP115" s="121"/>
      <c r="CQ115" s="121"/>
      <c r="CR115" s="121"/>
      <c r="CS115" s="121"/>
      <c r="CT115" s="121"/>
      <c r="CU115" s="121"/>
      <c r="CV115" s="121"/>
      <c r="CW115" s="121"/>
      <c r="CX115" s="121"/>
      <c r="CY115" s="121"/>
      <c r="CZ115" s="121"/>
      <c r="DA115" s="121"/>
      <c r="DB115" s="121"/>
      <c r="DC115" s="121"/>
      <c r="DD115" s="121"/>
      <c r="DE115" s="121"/>
      <c r="DF115" s="121"/>
      <c r="DG115" s="121"/>
      <c r="DH115" s="121"/>
      <c r="DI115" s="121"/>
      <c r="DJ115" s="121"/>
      <c r="DK115" s="121"/>
      <c r="DL115" s="121"/>
      <c r="DM115" s="121"/>
      <c r="DN115" s="121"/>
      <c r="DO115" s="121"/>
      <c r="DP115" s="121"/>
      <c r="DQ115" s="121"/>
      <c r="DR115" s="121"/>
      <c r="DS115" s="121"/>
      <c r="DT115" s="121"/>
      <c r="DU115" s="121"/>
      <c r="DV115" s="121"/>
      <c r="DW115" s="121"/>
      <c r="DX115" s="121"/>
      <c r="DY115" s="121"/>
      <c r="DZ115" s="121"/>
      <c r="EA115" s="121"/>
      <c r="EB115" s="121"/>
      <c r="EC115" s="121"/>
      <c r="ED115" s="121"/>
      <c r="EE115" s="121"/>
      <c r="EF115" s="121"/>
      <c r="EG115" s="121"/>
      <c r="EH115" s="121"/>
      <c r="EI115" s="121"/>
      <c r="EJ115" s="121"/>
      <c r="EK115" s="121"/>
      <c r="EL115" s="121"/>
      <c r="EM115" s="121"/>
      <c r="EN115" s="121"/>
      <c r="EO115" s="121"/>
      <c r="EP115" s="121"/>
      <c r="EQ115" s="121"/>
      <c r="ER115" s="121"/>
      <c r="ES115" s="121"/>
      <c r="ET115" s="121"/>
      <c r="EU115" s="121"/>
      <c r="EV115" s="121"/>
      <c r="EW115" s="121"/>
      <c r="EX115" s="121"/>
      <c r="EY115" s="121"/>
      <c r="EZ115" s="121"/>
      <c r="FA115" s="121"/>
      <c r="FB115" s="121"/>
      <c r="FC115" s="121"/>
      <c r="FD115" s="121"/>
      <c r="FE115" s="121"/>
      <c r="FF115" s="121"/>
      <c r="FG115" s="121"/>
      <c r="FH115" s="121"/>
      <c r="FI115" s="121"/>
      <c r="FJ115" s="121"/>
      <c r="FK115" s="121"/>
      <c r="FL115" s="121"/>
      <c r="FM115" s="121"/>
      <c r="FN115" s="121"/>
      <c r="FO115" s="121"/>
      <c r="FP115" s="121"/>
      <c r="FQ115" s="121"/>
      <c r="FR115" s="121"/>
      <c r="FS115" s="121"/>
      <c r="FT115" s="121"/>
      <c r="FU115" s="121"/>
      <c r="FV115" s="121"/>
      <c r="FW115" s="121"/>
      <c r="FX115" s="121"/>
      <c r="FY115" s="121"/>
      <c r="FZ115" s="121"/>
      <c r="GA115" s="121"/>
      <c r="GB115" s="121"/>
      <c r="GC115" s="121"/>
      <c r="GD115" s="121"/>
      <c r="GE115" s="121"/>
      <c r="GF115" s="121"/>
      <c r="GG115" s="121"/>
      <c r="GH115" s="121"/>
    </row>
    <row r="116" spans="1:190">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1"/>
      <c r="AP116" s="121"/>
      <c r="AQ116" s="121"/>
      <c r="AR116" s="121"/>
      <c r="AS116" s="121"/>
      <c r="AT116" s="121"/>
      <c r="AU116" s="121"/>
      <c r="AV116" s="121"/>
      <c r="AW116" s="121"/>
      <c r="AX116" s="121"/>
      <c r="AY116" s="121"/>
      <c r="AZ116" s="121"/>
      <c r="BA116" s="121"/>
      <c r="BB116" s="121"/>
      <c r="BC116" s="121"/>
      <c r="BD116" s="121"/>
      <c r="BE116" s="121"/>
      <c r="BF116" s="121"/>
      <c r="BG116" s="121"/>
      <c r="BH116" s="121"/>
      <c r="BI116" s="121"/>
      <c r="BJ116" s="121"/>
      <c r="BK116" s="121"/>
      <c r="BL116" s="121"/>
      <c r="BM116" s="121"/>
      <c r="BN116" s="121"/>
      <c r="BO116" s="121"/>
      <c r="BP116" s="121"/>
      <c r="BQ116" s="121"/>
      <c r="BR116" s="121"/>
      <c r="BS116" s="121"/>
      <c r="BT116" s="121"/>
      <c r="BU116" s="121"/>
      <c r="BV116" s="121"/>
      <c r="BW116" s="121"/>
      <c r="BX116" s="121"/>
      <c r="BY116" s="121"/>
      <c r="BZ116" s="121"/>
      <c r="CA116" s="121"/>
      <c r="CB116" s="121"/>
      <c r="CC116" s="121"/>
      <c r="CD116" s="121"/>
      <c r="CE116" s="121"/>
      <c r="CF116" s="121"/>
      <c r="CG116" s="121"/>
      <c r="CH116" s="121"/>
      <c r="CI116" s="121"/>
      <c r="CJ116" s="121"/>
      <c r="CK116" s="121"/>
      <c r="CL116" s="121"/>
      <c r="CM116" s="121"/>
      <c r="CN116" s="121"/>
      <c r="CO116" s="121"/>
      <c r="CP116" s="121"/>
      <c r="CQ116" s="121"/>
      <c r="CR116" s="121"/>
      <c r="CS116" s="121"/>
      <c r="CT116" s="121"/>
      <c r="CU116" s="121"/>
      <c r="CV116" s="121"/>
      <c r="CW116" s="121"/>
      <c r="CX116" s="121"/>
      <c r="CY116" s="121"/>
      <c r="CZ116" s="121"/>
      <c r="DA116" s="121"/>
      <c r="DB116" s="121"/>
      <c r="DC116" s="121"/>
      <c r="DD116" s="121"/>
      <c r="DE116" s="121"/>
      <c r="DF116" s="121"/>
      <c r="DG116" s="121"/>
      <c r="DH116" s="121"/>
      <c r="DI116" s="121"/>
      <c r="DJ116" s="121"/>
      <c r="DK116" s="121"/>
      <c r="DL116" s="121"/>
      <c r="DM116" s="121"/>
      <c r="DN116" s="121"/>
      <c r="DO116" s="121"/>
      <c r="DP116" s="121"/>
      <c r="DQ116" s="121"/>
      <c r="DR116" s="121"/>
      <c r="DS116" s="121"/>
      <c r="DT116" s="121"/>
      <c r="DU116" s="121"/>
      <c r="DV116" s="121"/>
      <c r="DW116" s="121"/>
      <c r="DX116" s="121"/>
      <c r="DY116" s="121"/>
      <c r="DZ116" s="121"/>
      <c r="EA116" s="121"/>
      <c r="EB116" s="121"/>
      <c r="EC116" s="121"/>
      <c r="ED116" s="121"/>
      <c r="EE116" s="121"/>
      <c r="EF116" s="121"/>
      <c r="EG116" s="121"/>
      <c r="EH116" s="121"/>
      <c r="EI116" s="121"/>
      <c r="EJ116" s="121"/>
      <c r="EK116" s="121"/>
      <c r="EL116" s="121"/>
      <c r="EM116" s="121"/>
      <c r="EN116" s="121"/>
      <c r="EO116" s="121"/>
      <c r="EP116" s="121"/>
      <c r="EQ116" s="121"/>
      <c r="ER116" s="121"/>
      <c r="ES116" s="121"/>
      <c r="ET116" s="121"/>
      <c r="EU116" s="121"/>
      <c r="EV116" s="121"/>
      <c r="EW116" s="121"/>
      <c r="EX116" s="121"/>
      <c r="EY116" s="121"/>
      <c r="EZ116" s="121"/>
      <c r="FA116" s="121"/>
      <c r="FB116" s="121"/>
      <c r="FC116" s="121"/>
      <c r="FD116" s="121"/>
      <c r="FE116" s="121"/>
      <c r="FF116" s="121"/>
      <c r="FG116" s="121"/>
      <c r="FH116" s="121"/>
      <c r="FI116" s="121"/>
      <c r="FJ116" s="121"/>
      <c r="FK116" s="121"/>
      <c r="FL116" s="121"/>
      <c r="FM116" s="121"/>
      <c r="FN116" s="121"/>
      <c r="FO116" s="121"/>
      <c r="FP116" s="121"/>
      <c r="FQ116" s="121"/>
      <c r="FR116" s="121"/>
      <c r="FS116" s="121"/>
      <c r="FT116" s="121"/>
      <c r="FU116" s="121"/>
      <c r="FV116" s="121"/>
      <c r="FW116" s="121"/>
      <c r="FX116" s="121"/>
      <c r="FY116" s="121"/>
      <c r="FZ116" s="121"/>
      <c r="GA116" s="121"/>
      <c r="GB116" s="121"/>
      <c r="GC116" s="121"/>
      <c r="GD116" s="121"/>
      <c r="GE116" s="121"/>
      <c r="GF116" s="121"/>
      <c r="GG116" s="121"/>
      <c r="GH116" s="121"/>
    </row>
    <row r="117" spans="1:190">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c r="AE117" s="121"/>
      <c r="AF117" s="121"/>
      <c r="AG117" s="121"/>
      <c r="AH117" s="121"/>
      <c r="AI117" s="121"/>
      <c r="AJ117" s="121"/>
      <c r="AK117" s="121"/>
      <c r="AL117" s="121"/>
      <c r="AM117" s="121"/>
      <c r="AN117" s="121"/>
      <c r="AO117" s="121"/>
      <c r="AP117" s="121"/>
      <c r="AQ117" s="121"/>
      <c r="AR117" s="121"/>
      <c r="AS117" s="121"/>
      <c r="AT117" s="121"/>
      <c r="AU117" s="121"/>
      <c r="AV117" s="121"/>
      <c r="AW117" s="121"/>
      <c r="AX117" s="121"/>
      <c r="AY117" s="121"/>
      <c r="AZ117" s="121"/>
      <c r="BA117" s="121"/>
      <c r="BB117" s="121"/>
      <c r="BC117" s="121"/>
      <c r="BD117" s="121"/>
      <c r="BE117" s="121"/>
      <c r="BF117" s="121"/>
      <c r="BG117" s="121"/>
      <c r="BH117" s="121"/>
      <c r="BI117" s="121"/>
      <c r="BJ117" s="121"/>
      <c r="BK117" s="121"/>
      <c r="BL117" s="121"/>
      <c r="BM117" s="121"/>
      <c r="BN117" s="121"/>
      <c r="BO117" s="121"/>
      <c r="BP117" s="121"/>
      <c r="BQ117" s="121"/>
      <c r="BR117" s="121"/>
      <c r="BS117" s="121"/>
      <c r="BT117" s="121"/>
      <c r="BU117" s="121"/>
      <c r="BV117" s="121"/>
      <c r="BW117" s="121"/>
      <c r="BX117" s="121"/>
      <c r="BY117" s="121"/>
      <c r="BZ117" s="121"/>
      <c r="CA117" s="121"/>
      <c r="CB117" s="121"/>
      <c r="CC117" s="121"/>
      <c r="CD117" s="121"/>
      <c r="CE117" s="121"/>
      <c r="CF117" s="121"/>
      <c r="CG117" s="121"/>
      <c r="CH117" s="121"/>
      <c r="CI117" s="121"/>
      <c r="CJ117" s="121"/>
      <c r="CK117" s="121"/>
      <c r="CL117" s="121"/>
      <c r="CM117" s="121"/>
      <c r="CN117" s="121"/>
      <c r="CO117" s="121"/>
      <c r="CP117" s="121"/>
      <c r="CQ117" s="121"/>
      <c r="CR117" s="121"/>
      <c r="CS117" s="121"/>
      <c r="CT117" s="121"/>
      <c r="CU117" s="121"/>
      <c r="CV117" s="121"/>
      <c r="CW117" s="121"/>
      <c r="CX117" s="121"/>
      <c r="CY117" s="121"/>
      <c r="CZ117" s="121"/>
      <c r="DA117" s="121"/>
      <c r="DB117" s="121"/>
      <c r="DC117" s="121"/>
      <c r="DD117" s="121"/>
      <c r="DE117" s="121"/>
      <c r="DF117" s="121"/>
      <c r="DG117" s="121"/>
      <c r="DH117" s="121"/>
      <c r="DI117" s="121"/>
      <c r="DJ117" s="121"/>
      <c r="DK117" s="121"/>
      <c r="DL117" s="121"/>
      <c r="DM117" s="121"/>
      <c r="DN117" s="121"/>
      <c r="DO117" s="121"/>
      <c r="DP117" s="121"/>
      <c r="DQ117" s="121"/>
      <c r="DR117" s="121"/>
      <c r="DS117" s="121"/>
      <c r="DT117" s="121"/>
      <c r="DU117" s="121"/>
      <c r="DV117" s="121"/>
      <c r="DW117" s="121"/>
      <c r="DX117" s="121"/>
      <c r="DY117" s="121"/>
      <c r="DZ117" s="121"/>
      <c r="EA117" s="121"/>
      <c r="EB117" s="121"/>
      <c r="EC117" s="121"/>
      <c r="ED117" s="121"/>
      <c r="EE117" s="121"/>
      <c r="EF117" s="121"/>
      <c r="EG117" s="121"/>
      <c r="EH117" s="121"/>
      <c r="EI117" s="121"/>
      <c r="EJ117" s="121"/>
      <c r="EK117" s="121"/>
      <c r="EL117" s="121"/>
      <c r="EM117" s="121"/>
      <c r="EN117" s="121"/>
      <c r="EO117" s="121"/>
      <c r="EP117" s="121"/>
      <c r="EQ117" s="121"/>
      <c r="ER117" s="121"/>
      <c r="ES117" s="121"/>
      <c r="ET117" s="121"/>
      <c r="EU117" s="121"/>
      <c r="EV117" s="121"/>
      <c r="EW117" s="121"/>
      <c r="EX117" s="121"/>
      <c r="EY117" s="121"/>
      <c r="EZ117" s="121"/>
      <c r="FA117" s="121"/>
      <c r="FB117" s="121"/>
      <c r="FC117" s="121"/>
      <c r="FD117" s="121"/>
      <c r="FE117" s="121"/>
      <c r="FF117" s="121"/>
      <c r="FG117" s="121"/>
      <c r="FH117" s="121"/>
      <c r="FI117" s="121"/>
      <c r="FJ117" s="121"/>
      <c r="FK117" s="121"/>
      <c r="FL117" s="121"/>
      <c r="FM117" s="121"/>
      <c r="FN117" s="121"/>
      <c r="FO117" s="121"/>
      <c r="FP117" s="121"/>
      <c r="FQ117" s="121"/>
      <c r="FR117" s="121"/>
      <c r="FS117" s="121"/>
      <c r="FT117" s="121"/>
      <c r="FU117" s="121"/>
      <c r="FV117" s="121"/>
      <c r="FW117" s="121"/>
      <c r="FX117" s="121"/>
      <c r="FY117" s="121"/>
      <c r="FZ117" s="121"/>
      <c r="GA117" s="121"/>
      <c r="GB117" s="121"/>
      <c r="GC117" s="121"/>
      <c r="GD117" s="121"/>
      <c r="GE117" s="121"/>
      <c r="GF117" s="121"/>
      <c r="GG117" s="121"/>
      <c r="GH117" s="121"/>
    </row>
    <row r="118" spans="1:190">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c r="AE118" s="121"/>
      <c r="AF118" s="121"/>
      <c r="AG118" s="121"/>
      <c r="AH118" s="121"/>
      <c r="AI118" s="121"/>
      <c r="AJ118" s="121"/>
      <c r="AK118" s="121"/>
      <c r="AL118" s="121"/>
      <c r="AM118" s="121"/>
      <c r="AN118" s="121"/>
      <c r="AO118" s="121"/>
      <c r="AP118" s="121"/>
      <c r="AQ118" s="121"/>
      <c r="AR118" s="121"/>
      <c r="AS118" s="121"/>
      <c r="AT118" s="121"/>
      <c r="AU118" s="121"/>
      <c r="AV118" s="121"/>
      <c r="AW118" s="121"/>
      <c r="AX118" s="121"/>
      <c r="AY118" s="121"/>
      <c r="AZ118" s="121"/>
      <c r="BA118" s="121"/>
      <c r="BB118" s="121"/>
      <c r="BC118" s="121"/>
      <c r="BD118" s="121"/>
      <c r="BE118" s="121"/>
      <c r="BF118" s="121"/>
      <c r="BG118" s="121"/>
      <c r="BH118" s="121"/>
      <c r="BI118" s="121"/>
      <c r="BJ118" s="121"/>
      <c r="BK118" s="121"/>
      <c r="BL118" s="121"/>
      <c r="BM118" s="121"/>
      <c r="BN118" s="121"/>
      <c r="BO118" s="121"/>
      <c r="BP118" s="121"/>
      <c r="BQ118" s="121"/>
      <c r="BR118" s="121"/>
      <c r="BS118" s="121"/>
      <c r="BT118" s="121"/>
      <c r="BU118" s="121"/>
      <c r="BV118" s="121"/>
      <c r="BW118" s="121"/>
      <c r="BX118" s="121"/>
      <c r="BY118" s="121"/>
      <c r="BZ118" s="121"/>
      <c r="CA118" s="121"/>
      <c r="CB118" s="121"/>
      <c r="CC118" s="121"/>
      <c r="CD118" s="121"/>
      <c r="CE118" s="121"/>
      <c r="CF118" s="121"/>
      <c r="CG118" s="121"/>
      <c r="CH118" s="121"/>
      <c r="CI118" s="121"/>
      <c r="CJ118" s="121"/>
      <c r="CK118" s="121"/>
      <c r="CL118" s="121"/>
      <c r="CM118" s="121"/>
      <c r="CN118" s="121"/>
      <c r="CO118" s="121"/>
      <c r="CP118" s="121"/>
      <c r="CQ118" s="121"/>
      <c r="CR118" s="121"/>
      <c r="CS118" s="121"/>
      <c r="CT118" s="121"/>
      <c r="CU118" s="121"/>
      <c r="CV118" s="121"/>
      <c r="CW118" s="121"/>
      <c r="CX118" s="121"/>
      <c r="CY118" s="121"/>
      <c r="CZ118" s="121"/>
      <c r="DA118" s="121"/>
      <c r="DB118" s="121"/>
      <c r="DC118" s="121"/>
      <c r="DD118" s="121"/>
      <c r="DE118" s="121"/>
      <c r="DF118" s="121"/>
      <c r="DG118" s="121"/>
      <c r="DH118" s="121"/>
      <c r="DI118" s="121"/>
      <c r="DJ118" s="121"/>
      <c r="DK118" s="121"/>
      <c r="DL118" s="121"/>
      <c r="DM118" s="121"/>
      <c r="DN118" s="121"/>
      <c r="DO118" s="121"/>
      <c r="DP118" s="121"/>
      <c r="DQ118" s="121"/>
      <c r="DR118" s="121"/>
      <c r="DS118" s="121"/>
      <c r="DT118" s="121"/>
      <c r="DU118" s="121"/>
      <c r="DV118" s="121"/>
      <c r="DW118" s="121"/>
      <c r="DX118" s="121"/>
      <c r="DY118" s="121"/>
      <c r="DZ118" s="121"/>
      <c r="EA118" s="121"/>
      <c r="EB118" s="121"/>
      <c r="EC118" s="121"/>
      <c r="ED118" s="121"/>
      <c r="EE118" s="121"/>
      <c r="EF118" s="121"/>
      <c r="EG118" s="121"/>
      <c r="EH118" s="121"/>
      <c r="EI118" s="121"/>
      <c r="EJ118" s="121"/>
      <c r="EK118" s="121"/>
      <c r="EL118" s="121"/>
      <c r="EM118" s="121"/>
      <c r="EN118" s="121"/>
      <c r="EO118" s="121"/>
      <c r="EP118" s="121"/>
      <c r="EQ118" s="121"/>
      <c r="ER118" s="121"/>
      <c r="ES118" s="121"/>
      <c r="ET118" s="121"/>
      <c r="EU118" s="121"/>
      <c r="EV118" s="121"/>
      <c r="EW118" s="121"/>
      <c r="EX118" s="121"/>
      <c r="EY118" s="121"/>
      <c r="EZ118" s="121"/>
      <c r="FA118" s="121"/>
      <c r="FB118" s="121"/>
      <c r="FC118" s="121"/>
      <c r="FD118" s="121"/>
      <c r="FE118" s="121"/>
      <c r="FF118" s="121"/>
      <c r="FG118" s="121"/>
      <c r="FH118" s="121"/>
      <c r="FI118" s="121"/>
      <c r="FJ118" s="121"/>
      <c r="FK118" s="121"/>
      <c r="FL118" s="121"/>
      <c r="FM118" s="121"/>
      <c r="FN118" s="121"/>
      <c r="FO118" s="121"/>
      <c r="FP118" s="121"/>
      <c r="FQ118" s="121"/>
      <c r="FR118" s="121"/>
      <c r="FS118" s="121"/>
      <c r="FT118" s="121"/>
      <c r="FU118" s="121"/>
      <c r="FV118" s="121"/>
      <c r="FW118" s="121"/>
      <c r="FX118" s="121"/>
      <c r="FY118" s="121"/>
      <c r="FZ118" s="121"/>
      <c r="GA118" s="121"/>
      <c r="GB118" s="121"/>
      <c r="GC118" s="121"/>
      <c r="GD118" s="121"/>
      <c r="GE118" s="121"/>
      <c r="GF118" s="121"/>
      <c r="GG118" s="121"/>
      <c r="GH118" s="121"/>
    </row>
    <row r="119" spans="1:190">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c r="AE119" s="121"/>
      <c r="AF119" s="121"/>
      <c r="AG119" s="121"/>
      <c r="AH119" s="121"/>
      <c r="AI119" s="121"/>
      <c r="AJ119" s="121"/>
      <c r="AK119" s="121"/>
      <c r="AL119" s="121"/>
      <c r="AM119" s="121"/>
      <c r="AN119" s="121"/>
      <c r="AO119" s="121"/>
      <c r="AP119" s="121"/>
      <c r="AQ119" s="121"/>
      <c r="AR119" s="121"/>
      <c r="AS119" s="121"/>
      <c r="AT119" s="121"/>
      <c r="AU119" s="121"/>
      <c r="AV119" s="121"/>
      <c r="AW119" s="121"/>
      <c r="AX119" s="121"/>
      <c r="AY119" s="121"/>
      <c r="AZ119" s="121"/>
      <c r="BA119" s="121"/>
      <c r="BB119" s="121"/>
      <c r="BC119" s="121"/>
      <c r="BD119" s="121"/>
      <c r="BE119" s="121"/>
      <c r="BF119" s="121"/>
      <c r="BG119" s="121"/>
      <c r="BH119" s="121"/>
      <c r="BI119" s="121"/>
      <c r="BJ119" s="121"/>
      <c r="BK119" s="121"/>
      <c r="BL119" s="121"/>
      <c r="BM119" s="121"/>
      <c r="BN119" s="121"/>
      <c r="BO119" s="121"/>
      <c r="BP119" s="121"/>
      <c r="BQ119" s="121"/>
      <c r="BR119" s="121"/>
      <c r="BS119" s="121"/>
      <c r="BT119" s="121"/>
      <c r="BU119" s="121"/>
      <c r="BV119" s="121"/>
      <c r="BW119" s="121"/>
      <c r="BX119" s="121"/>
      <c r="BY119" s="121"/>
      <c r="BZ119" s="121"/>
      <c r="CA119" s="121"/>
      <c r="CB119" s="121"/>
      <c r="CC119" s="121"/>
      <c r="CD119" s="121"/>
      <c r="CE119" s="121"/>
      <c r="CF119" s="121"/>
      <c r="CG119" s="121"/>
      <c r="CH119" s="121"/>
      <c r="CI119" s="121"/>
      <c r="CJ119" s="121"/>
      <c r="CK119" s="121"/>
      <c r="CL119" s="121"/>
      <c r="CM119" s="121"/>
      <c r="CN119" s="121"/>
      <c r="CO119" s="121"/>
      <c r="CP119" s="121"/>
      <c r="CQ119" s="121"/>
      <c r="CR119" s="121"/>
      <c r="CS119" s="121"/>
      <c r="CT119" s="121"/>
      <c r="CU119" s="121"/>
      <c r="CV119" s="121"/>
      <c r="CW119" s="121"/>
      <c r="CX119" s="121"/>
      <c r="CY119" s="121"/>
      <c r="CZ119" s="121"/>
      <c r="DA119" s="121"/>
      <c r="DB119" s="121"/>
      <c r="DC119" s="121"/>
      <c r="DD119" s="121"/>
      <c r="DE119" s="121"/>
      <c r="DF119" s="121"/>
      <c r="DG119" s="121"/>
      <c r="DH119" s="121"/>
      <c r="DI119" s="121"/>
      <c r="DJ119" s="121"/>
      <c r="DK119" s="121"/>
      <c r="DL119" s="121"/>
      <c r="DM119" s="121"/>
      <c r="DN119" s="121"/>
      <c r="DO119" s="121"/>
      <c r="DP119" s="121"/>
      <c r="DQ119" s="121"/>
      <c r="DR119" s="121"/>
      <c r="DS119" s="121"/>
      <c r="DT119" s="121"/>
      <c r="DU119" s="121"/>
      <c r="DV119" s="121"/>
      <c r="DW119" s="121"/>
      <c r="DX119" s="121"/>
      <c r="DY119" s="121"/>
      <c r="DZ119" s="121"/>
      <c r="EA119" s="121"/>
      <c r="EB119" s="121"/>
      <c r="EC119" s="121"/>
      <c r="ED119" s="121"/>
      <c r="EE119" s="121"/>
      <c r="EF119" s="121"/>
      <c r="EG119" s="121"/>
      <c r="EH119" s="121"/>
      <c r="EI119" s="121"/>
      <c r="EJ119" s="121"/>
      <c r="EK119" s="121"/>
      <c r="EL119" s="121"/>
      <c r="EM119" s="121"/>
      <c r="EN119" s="121"/>
      <c r="EO119" s="121"/>
      <c r="EP119" s="121"/>
      <c r="EQ119" s="121"/>
      <c r="ER119" s="121"/>
      <c r="ES119" s="121"/>
      <c r="ET119" s="121"/>
      <c r="EU119" s="121"/>
      <c r="EV119" s="121"/>
      <c r="EW119" s="121"/>
      <c r="EX119" s="121"/>
      <c r="EY119" s="121"/>
      <c r="EZ119" s="121"/>
      <c r="FA119" s="121"/>
      <c r="FB119" s="121"/>
      <c r="FC119" s="121"/>
      <c r="FD119" s="121"/>
      <c r="FE119" s="121"/>
      <c r="FF119" s="121"/>
      <c r="FG119" s="121"/>
      <c r="FH119" s="121"/>
      <c r="FI119" s="121"/>
      <c r="FJ119" s="121"/>
      <c r="FK119" s="121"/>
      <c r="FL119" s="121"/>
      <c r="FM119" s="121"/>
      <c r="FN119" s="121"/>
      <c r="FO119" s="121"/>
      <c r="FP119" s="121"/>
      <c r="FQ119" s="121"/>
      <c r="FR119" s="121"/>
      <c r="FS119" s="121"/>
      <c r="FT119" s="121"/>
      <c r="FU119" s="121"/>
      <c r="FV119" s="121"/>
      <c r="FW119" s="121"/>
      <c r="FX119" s="121"/>
      <c r="FY119" s="121"/>
      <c r="FZ119" s="121"/>
      <c r="GA119" s="121"/>
      <c r="GB119" s="121"/>
      <c r="GC119" s="121"/>
      <c r="GD119" s="121"/>
      <c r="GE119" s="121"/>
      <c r="GF119" s="121"/>
      <c r="GG119" s="121"/>
      <c r="GH119" s="121"/>
    </row>
    <row r="120" spans="1:190">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c r="AE120" s="121"/>
      <c r="AF120" s="121"/>
      <c r="AG120" s="121"/>
      <c r="AH120" s="121"/>
      <c r="AI120" s="121"/>
      <c r="AJ120" s="121"/>
      <c r="AK120" s="121"/>
      <c r="AL120" s="121"/>
      <c r="AM120" s="121"/>
      <c r="AN120" s="121"/>
      <c r="AO120" s="121"/>
      <c r="AP120" s="121"/>
      <c r="AQ120" s="121"/>
      <c r="AR120" s="121"/>
      <c r="AS120" s="121"/>
      <c r="AT120" s="121"/>
      <c r="AU120" s="121"/>
      <c r="AV120" s="121"/>
      <c r="AW120" s="121"/>
      <c r="AX120" s="121"/>
      <c r="AY120" s="121"/>
      <c r="AZ120" s="121"/>
      <c r="BA120" s="121"/>
      <c r="BB120" s="121"/>
      <c r="BC120" s="121"/>
      <c r="BD120" s="121"/>
      <c r="BE120" s="121"/>
      <c r="BF120" s="121"/>
      <c r="BG120" s="121"/>
      <c r="BH120" s="121"/>
      <c r="BI120" s="121"/>
      <c r="BJ120" s="121"/>
      <c r="BK120" s="121"/>
      <c r="BL120" s="121"/>
      <c r="BM120" s="121"/>
      <c r="BN120" s="121"/>
      <c r="BO120" s="121"/>
      <c r="BP120" s="121"/>
      <c r="BQ120" s="121"/>
      <c r="BR120" s="121"/>
      <c r="BS120" s="121"/>
      <c r="BT120" s="121"/>
      <c r="BU120" s="121"/>
      <c r="BV120" s="121"/>
      <c r="BW120" s="121"/>
      <c r="BX120" s="121"/>
      <c r="BY120" s="121"/>
      <c r="BZ120" s="121"/>
      <c r="CA120" s="121"/>
      <c r="CB120" s="121"/>
      <c r="CC120" s="121"/>
      <c r="CD120" s="121"/>
      <c r="CE120" s="121"/>
      <c r="CF120" s="121"/>
      <c r="CG120" s="121"/>
      <c r="CH120" s="121"/>
      <c r="CI120" s="121"/>
      <c r="CJ120" s="121"/>
      <c r="CK120" s="121"/>
      <c r="CL120" s="121"/>
      <c r="CM120" s="121"/>
      <c r="CN120" s="121"/>
      <c r="CO120" s="121"/>
      <c r="CP120" s="121"/>
      <c r="CQ120" s="121"/>
      <c r="CR120" s="121"/>
      <c r="CS120" s="121"/>
      <c r="CT120" s="121"/>
      <c r="CU120" s="121"/>
      <c r="CV120" s="121"/>
      <c r="CW120" s="121"/>
      <c r="CX120" s="121"/>
      <c r="CY120" s="121"/>
      <c r="CZ120" s="121"/>
      <c r="DA120" s="121"/>
      <c r="DB120" s="121"/>
      <c r="DC120" s="121"/>
      <c r="DD120" s="121"/>
      <c r="DE120" s="121"/>
      <c r="DF120" s="121"/>
      <c r="DG120" s="121"/>
      <c r="DH120" s="121"/>
      <c r="DI120" s="121"/>
      <c r="DJ120" s="121"/>
      <c r="DK120" s="121"/>
      <c r="DL120" s="121"/>
      <c r="DM120" s="121"/>
      <c r="DN120" s="121"/>
      <c r="DO120" s="121"/>
      <c r="DP120" s="121"/>
      <c r="DQ120" s="121"/>
      <c r="DR120" s="121"/>
      <c r="DS120" s="121"/>
      <c r="DT120" s="121"/>
      <c r="DU120" s="121"/>
      <c r="DV120" s="121"/>
      <c r="DW120" s="121"/>
      <c r="DX120" s="121"/>
      <c r="DY120" s="121"/>
      <c r="DZ120" s="121"/>
      <c r="EA120" s="121"/>
      <c r="EB120" s="121"/>
      <c r="EC120" s="121"/>
      <c r="ED120" s="121"/>
      <c r="EE120" s="121"/>
      <c r="EF120" s="121"/>
      <c r="EG120" s="121"/>
      <c r="EH120" s="121"/>
      <c r="EI120" s="121"/>
      <c r="EJ120" s="121"/>
      <c r="EK120" s="121"/>
      <c r="EL120" s="121"/>
      <c r="EM120" s="121"/>
      <c r="EN120" s="121"/>
      <c r="EO120" s="121"/>
      <c r="EP120" s="121"/>
      <c r="EQ120" s="121"/>
      <c r="ER120" s="121"/>
      <c r="ES120" s="121"/>
      <c r="ET120" s="121"/>
      <c r="EU120" s="121"/>
      <c r="EV120" s="121"/>
      <c r="EW120" s="121"/>
      <c r="EX120" s="121"/>
      <c r="EY120" s="121"/>
      <c r="EZ120" s="121"/>
      <c r="FA120" s="121"/>
      <c r="FB120" s="121"/>
      <c r="FC120" s="121"/>
      <c r="FD120" s="121"/>
      <c r="FE120" s="121"/>
      <c r="FF120" s="121"/>
      <c r="FG120" s="121"/>
      <c r="FH120" s="121"/>
      <c r="FI120" s="121"/>
      <c r="FJ120" s="121"/>
      <c r="FK120" s="121"/>
      <c r="FL120" s="121"/>
      <c r="FM120" s="121"/>
      <c r="FN120" s="121"/>
      <c r="FO120" s="121"/>
      <c r="FP120" s="121"/>
      <c r="FQ120" s="121"/>
      <c r="FR120" s="121"/>
      <c r="FS120" s="121"/>
      <c r="FT120" s="121"/>
      <c r="FU120" s="121"/>
      <c r="FV120" s="121"/>
      <c r="FW120" s="121"/>
      <c r="FX120" s="121"/>
      <c r="FY120" s="121"/>
      <c r="FZ120" s="121"/>
      <c r="GA120" s="121"/>
      <c r="GB120" s="121"/>
      <c r="GC120" s="121"/>
      <c r="GD120" s="121"/>
      <c r="GE120" s="121"/>
      <c r="GF120" s="121"/>
      <c r="GG120" s="121"/>
      <c r="GH120" s="121"/>
    </row>
    <row r="121" spans="1:190">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121"/>
      <c r="AT121" s="121"/>
      <c r="AU121" s="121"/>
      <c r="AV121" s="121"/>
      <c r="AW121" s="121"/>
      <c r="AX121" s="121"/>
      <c r="AY121" s="121"/>
      <c r="AZ121" s="121"/>
      <c r="BA121" s="121"/>
      <c r="BB121" s="121"/>
      <c r="BC121" s="121"/>
      <c r="BD121" s="121"/>
      <c r="BE121" s="121"/>
      <c r="BF121" s="121"/>
      <c r="BG121" s="121"/>
      <c r="BH121" s="121"/>
      <c r="BI121" s="121"/>
      <c r="BJ121" s="121"/>
      <c r="BK121" s="121"/>
      <c r="BL121" s="121"/>
      <c r="BM121" s="121"/>
      <c r="BN121" s="121"/>
      <c r="BO121" s="121"/>
      <c r="BP121" s="121"/>
      <c r="BQ121" s="121"/>
      <c r="BR121" s="121"/>
      <c r="BS121" s="121"/>
      <c r="BT121" s="121"/>
      <c r="BU121" s="121"/>
      <c r="BV121" s="121"/>
      <c r="BW121" s="121"/>
      <c r="BX121" s="121"/>
      <c r="BY121" s="121"/>
      <c r="BZ121" s="121"/>
      <c r="CA121" s="121"/>
      <c r="CB121" s="121"/>
      <c r="CC121" s="121"/>
      <c r="CD121" s="121"/>
      <c r="CE121" s="121"/>
      <c r="CF121" s="121"/>
      <c r="CG121" s="121"/>
      <c r="CH121" s="121"/>
      <c r="CI121" s="121"/>
      <c r="CJ121" s="121"/>
      <c r="CK121" s="121"/>
      <c r="CL121" s="121"/>
      <c r="CM121" s="121"/>
      <c r="CN121" s="121"/>
      <c r="CO121" s="121"/>
      <c r="CP121" s="121"/>
      <c r="CQ121" s="121"/>
      <c r="CR121" s="121"/>
      <c r="CS121" s="121"/>
      <c r="CT121" s="121"/>
      <c r="CU121" s="121"/>
      <c r="CV121" s="121"/>
      <c r="CW121" s="121"/>
      <c r="CX121" s="121"/>
      <c r="CY121" s="121"/>
      <c r="CZ121" s="121"/>
      <c r="DA121" s="121"/>
      <c r="DB121" s="121"/>
      <c r="DC121" s="121"/>
      <c r="DD121" s="121"/>
      <c r="DE121" s="121"/>
      <c r="DF121" s="121"/>
      <c r="DG121" s="121"/>
      <c r="DH121" s="121"/>
      <c r="DI121" s="121"/>
      <c r="DJ121" s="121"/>
      <c r="DK121" s="121"/>
      <c r="DL121" s="121"/>
      <c r="DM121" s="121"/>
      <c r="DN121" s="121"/>
      <c r="DO121" s="121"/>
      <c r="DP121" s="121"/>
      <c r="DQ121" s="121"/>
      <c r="DR121" s="121"/>
      <c r="DS121" s="121"/>
      <c r="DT121" s="121"/>
      <c r="DU121" s="121"/>
      <c r="DV121" s="121"/>
      <c r="DW121" s="121"/>
      <c r="DX121" s="121"/>
      <c r="DY121" s="121"/>
      <c r="DZ121" s="121"/>
      <c r="EA121" s="121"/>
      <c r="EB121" s="121"/>
      <c r="EC121" s="121"/>
      <c r="ED121" s="121"/>
      <c r="EE121" s="121"/>
      <c r="EF121" s="121"/>
      <c r="EG121" s="121"/>
      <c r="EH121" s="121"/>
      <c r="EI121" s="121"/>
      <c r="EJ121" s="121"/>
      <c r="EK121" s="121"/>
      <c r="EL121" s="121"/>
      <c r="EM121" s="121"/>
      <c r="EN121" s="121"/>
      <c r="EO121" s="121"/>
      <c r="EP121" s="121"/>
      <c r="EQ121" s="121"/>
      <c r="ER121" s="121"/>
      <c r="ES121" s="121"/>
      <c r="ET121" s="121"/>
      <c r="EU121" s="121"/>
      <c r="EV121" s="121"/>
      <c r="EW121" s="121"/>
      <c r="EX121" s="121"/>
      <c r="EY121" s="121"/>
      <c r="EZ121" s="121"/>
      <c r="FA121" s="121"/>
      <c r="FB121" s="121"/>
      <c r="FC121" s="121"/>
      <c r="FD121" s="121"/>
      <c r="FE121" s="121"/>
      <c r="FF121" s="121"/>
      <c r="FG121" s="121"/>
      <c r="FH121" s="121"/>
      <c r="FI121" s="121"/>
      <c r="FJ121" s="121"/>
      <c r="FK121" s="121"/>
      <c r="FL121" s="121"/>
      <c r="FM121" s="121"/>
      <c r="FN121" s="121"/>
      <c r="FO121" s="121"/>
      <c r="FP121" s="121"/>
      <c r="FQ121" s="121"/>
      <c r="FR121" s="121"/>
      <c r="FS121" s="121"/>
      <c r="FT121" s="121"/>
      <c r="FU121" s="121"/>
      <c r="FV121" s="121"/>
      <c r="FW121" s="121"/>
      <c r="FX121" s="121"/>
      <c r="FY121" s="121"/>
      <c r="FZ121" s="121"/>
      <c r="GA121" s="121"/>
      <c r="GB121" s="121"/>
      <c r="GC121" s="121"/>
      <c r="GD121" s="121"/>
      <c r="GE121" s="121"/>
      <c r="GF121" s="121"/>
      <c r="GG121" s="121"/>
      <c r="GH121" s="121"/>
    </row>
    <row r="122" spans="1:190">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1"/>
      <c r="AJ122" s="121"/>
      <c r="AK122" s="121"/>
      <c r="AL122" s="121"/>
      <c r="AM122" s="121"/>
      <c r="AN122" s="121"/>
      <c r="AO122" s="121"/>
      <c r="AP122" s="121"/>
      <c r="AQ122" s="121"/>
      <c r="AR122" s="121"/>
      <c r="AS122" s="121"/>
      <c r="AT122" s="121"/>
      <c r="AU122" s="121"/>
      <c r="AV122" s="121"/>
      <c r="AW122" s="121"/>
      <c r="AX122" s="121"/>
      <c r="AY122" s="121"/>
      <c r="AZ122" s="121"/>
      <c r="BA122" s="121"/>
      <c r="BB122" s="121"/>
      <c r="BC122" s="121"/>
      <c r="BD122" s="121"/>
      <c r="BE122" s="121"/>
      <c r="BF122" s="121"/>
      <c r="BG122" s="121"/>
      <c r="BH122" s="121"/>
      <c r="BI122" s="121"/>
      <c r="BJ122" s="121"/>
      <c r="BK122" s="121"/>
      <c r="BL122" s="121"/>
      <c r="BM122" s="121"/>
      <c r="BN122" s="121"/>
      <c r="BO122" s="121"/>
      <c r="BP122" s="121"/>
      <c r="BQ122" s="121"/>
      <c r="BR122" s="121"/>
      <c r="BS122" s="121"/>
      <c r="BT122" s="121"/>
      <c r="BU122" s="121"/>
      <c r="BV122" s="121"/>
      <c r="BW122" s="121"/>
      <c r="BX122" s="121"/>
      <c r="BY122" s="121"/>
      <c r="BZ122" s="121"/>
      <c r="CA122" s="121"/>
      <c r="CB122" s="121"/>
      <c r="CC122" s="121"/>
      <c r="CD122" s="121"/>
      <c r="CE122" s="121"/>
      <c r="CF122" s="121"/>
      <c r="CG122" s="121"/>
      <c r="CH122" s="121"/>
      <c r="CI122" s="121"/>
      <c r="CJ122" s="121"/>
      <c r="CK122" s="121"/>
      <c r="CL122" s="121"/>
      <c r="CM122" s="121"/>
      <c r="CN122" s="121"/>
      <c r="CO122" s="121"/>
      <c r="CP122" s="121"/>
      <c r="CQ122" s="121"/>
      <c r="CR122" s="121"/>
      <c r="CS122" s="121"/>
      <c r="CT122" s="121"/>
      <c r="CU122" s="121"/>
      <c r="CV122" s="121"/>
      <c r="CW122" s="121"/>
      <c r="CX122" s="121"/>
      <c r="CY122" s="121"/>
      <c r="CZ122" s="121"/>
      <c r="DA122" s="121"/>
      <c r="DB122" s="121"/>
      <c r="DC122" s="121"/>
      <c r="DD122" s="121"/>
      <c r="DE122" s="121"/>
      <c r="DF122" s="121"/>
      <c r="DG122" s="121"/>
      <c r="DH122" s="121"/>
      <c r="DI122" s="121"/>
      <c r="DJ122" s="121"/>
      <c r="DK122" s="121"/>
      <c r="DL122" s="121"/>
      <c r="DM122" s="121"/>
      <c r="DN122" s="121"/>
      <c r="DO122" s="121"/>
      <c r="DP122" s="121"/>
      <c r="DQ122" s="121"/>
      <c r="DR122" s="121"/>
      <c r="DS122" s="121"/>
      <c r="DT122" s="121"/>
      <c r="DU122" s="121"/>
      <c r="DV122" s="121"/>
      <c r="DW122" s="121"/>
      <c r="DX122" s="121"/>
      <c r="DY122" s="121"/>
      <c r="DZ122" s="121"/>
      <c r="EA122" s="121"/>
      <c r="EB122" s="121"/>
      <c r="EC122" s="121"/>
      <c r="ED122" s="121"/>
      <c r="EE122" s="121"/>
      <c r="EF122" s="121"/>
      <c r="EG122" s="121"/>
      <c r="EH122" s="121"/>
      <c r="EI122" s="121"/>
      <c r="EJ122" s="121"/>
      <c r="EK122" s="121"/>
      <c r="EL122" s="121"/>
      <c r="EM122" s="121"/>
      <c r="EN122" s="121"/>
      <c r="EO122" s="121"/>
      <c r="EP122" s="121"/>
      <c r="EQ122" s="121"/>
      <c r="ER122" s="121"/>
      <c r="ES122" s="121"/>
      <c r="ET122" s="121"/>
      <c r="EU122" s="121"/>
      <c r="EV122" s="121"/>
      <c r="EW122" s="121"/>
      <c r="EX122" s="121"/>
      <c r="EY122" s="121"/>
      <c r="EZ122" s="121"/>
      <c r="FA122" s="121"/>
      <c r="FB122" s="121"/>
      <c r="FC122" s="121"/>
      <c r="FD122" s="121"/>
      <c r="FE122" s="121"/>
      <c r="FF122" s="121"/>
      <c r="FG122" s="121"/>
      <c r="FH122" s="121"/>
      <c r="FI122" s="121"/>
      <c r="FJ122" s="121"/>
      <c r="FK122" s="121"/>
      <c r="FL122" s="121"/>
      <c r="FM122" s="121"/>
      <c r="FN122" s="121"/>
      <c r="FO122" s="121"/>
      <c r="FP122" s="121"/>
      <c r="FQ122" s="121"/>
      <c r="FR122" s="121"/>
      <c r="FS122" s="121"/>
      <c r="FT122" s="121"/>
      <c r="FU122" s="121"/>
      <c r="FV122" s="121"/>
      <c r="FW122" s="121"/>
      <c r="FX122" s="121"/>
      <c r="FY122" s="121"/>
      <c r="FZ122" s="121"/>
      <c r="GA122" s="121"/>
      <c r="GB122" s="121"/>
      <c r="GC122" s="121"/>
      <c r="GD122" s="121"/>
      <c r="GE122" s="121"/>
      <c r="GF122" s="121"/>
      <c r="GG122" s="121"/>
      <c r="GH122" s="121"/>
    </row>
    <row r="123" spans="1:190">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1"/>
      <c r="AJ123" s="121"/>
      <c r="AK123" s="121"/>
      <c r="AL123" s="121"/>
      <c r="AM123" s="121"/>
      <c r="AN123" s="121"/>
      <c r="AO123" s="121"/>
      <c r="AP123" s="121"/>
      <c r="AQ123" s="121"/>
      <c r="AR123" s="121"/>
      <c r="AS123" s="121"/>
      <c r="AT123" s="121"/>
      <c r="AU123" s="121"/>
      <c r="AV123" s="121"/>
      <c r="AW123" s="121"/>
      <c r="AX123" s="121"/>
      <c r="AY123" s="121"/>
      <c r="AZ123" s="121"/>
      <c r="BA123" s="121"/>
      <c r="BB123" s="121"/>
      <c r="BC123" s="121"/>
      <c r="BD123" s="121"/>
      <c r="BE123" s="121"/>
      <c r="BF123" s="121"/>
      <c r="BG123" s="121"/>
      <c r="BH123" s="121"/>
      <c r="BI123" s="121"/>
      <c r="BJ123" s="121"/>
      <c r="BK123" s="121"/>
      <c r="BL123" s="121"/>
      <c r="BM123" s="121"/>
      <c r="BN123" s="121"/>
      <c r="BO123" s="121"/>
      <c r="BP123" s="121"/>
      <c r="BQ123" s="121"/>
      <c r="BR123" s="121"/>
      <c r="BS123" s="121"/>
      <c r="BT123" s="121"/>
      <c r="BU123" s="121"/>
      <c r="BV123" s="121"/>
      <c r="BW123" s="121"/>
      <c r="BX123" s="121"/>
      <c r="BY123" s="121"/>
      <c r="BZ123" s="121"/>
      <c r="CA123" s="121"/>
      <c r="CB123" s="121"/>
      <c r="CC123" s="121"/>
      <c r="CD123" s="121"/>
      <c r="CE123" s="121"/>
      <c r="CF123" s="121"/>
      <c r="CG123" s="121"/>
      <c r="CH123" s="121"/>
      <c r="CI123" s="121"/>
      <c r="CJ123" s="121"/>
      <c r="CK123" s="121"/>
      <c r="CL123" s="121"/>
      <c r="CM123" s="121"/>
      <c r="CN123" s="121"/>
      <c r="CO123" s="121"/>
      <c r="CP123" s="121"/>
      <c r="CQ123" s="121"/>
      <c r="CR123" s="121"/>
      <c r="CS123" s="121"/>
      <c r="CT123" s="121"/>
      <c r="CU123" s="121"/>
      <c r="CV123" s="121"/>
      <c r="CW123" s="121"/>
      <c r="CX123" s="121"/>
      <c r="CY123" s="121"/>
      <c r="CZ123" s="121"/>
      <c r="DA123" s="121"/>
      <c r="DB123" s="121"/>
      <c r="DC123" s="121"/>
      <c r="DD123" s="121"/>
      <c r="DE123" s="121"/>
      <c r="DF123" s="121"/>
      <c r="DG123" s="121"/>
      <c r="DH123" s="121"/>
      <c r="DI123" s="121"/>
      <c r="DJ123" s="121"/>
      <c r="DK123" s="121"/>
      <c r="DL123" s="121"/>
      <c r="DM123" s="121"/>
      <c r="DN123" s="121"/>
      <c r="DO123" s="121"/>
      <c r="DP123" s="121"/>
      <c r="DQ123" s="121"/>
      <c r="DR123" s="121"/>
      <c r="DS123" s="121"/>
      <c r="DT123" s="121"/>
      <c r="DU123" s="121"/>
      <c r="DV123" s="121"/>
      <c r="DW123" s="121"/>
      <c r="DX123" s="121"/>
      <c r="DY123" s="121"/>
      <c r="DZ123" s="121"/>
      <c r="EA123" s="121"/>
      <c r="EB123" s="121"/>
      <c r="EC123" s="121"/>
      <c r="ED123" s="121"/>
      <c r="EE123" s="121"/>
      <c r="EF123" s="121"/>
      <c r="EG123" s="121"/>
      <c r="EH123" s="121"/>
      <c r="EI123" s="121"/>
      <c r="EJ123" s="121"/>
      <c r="EK123" s="121"/>
      <c r="EL123" s="121"/>
      <c r="EM123" s="121"/>
      <c r="EN123" s="121"/>
      <c r="EO123" s="121"/>
      <c r="EP123" s="121"/>
      <c r="EQ123" s="121"/>
      <c r="ER123" s="121"/>
      <c r="ES123" s="121"/>
      <c r="ET123" s="121"/>
      <c r="EU123" s="121"/>
      <c r="EV123" s="121"/>
      <c r="EW123" s="121"/>
      <c r="EX123" s="121"/>
      <c r="EY123" s="121"/>
      <c r="EZ123" s="121"/>
      <c r="FA123" s="121"/>
      <c r="FB123" s="121"/>
      <c r="FC123" s="121"/>
      <c r="FD123" s="121"/>
      <c r="FE123" s="121"/>
      <c r="FF123" s="121"/>
      <c r="FG123" s="121"/>
      <c r="FH123" s="121"/>
      <c r="FI123" s="121"/>
      <c r="FJ123" s="121"/>
      <c r="FK123" s="121"/>
      <c r="FL123" s="121"/>
      <c r="FM123" s="121"/>
      <c r="FN123" s="121"/>
      <c r="FO123" s="121"/>
      <c r="FP123" s="121"/>
      <c r="FQ123" s="121"/>
      <c r="FR123" s="121"/>
      <c r="FS123" s="121"/>
      <c r="FT123" s="121"/>
      <c r="FU123" s="121"/>
      <c r="FV123" s="121"/>
      <c r="FW123" s="121"/>
      <c r="FX123" s="121"/>
      <c r="FY123" s="121"/>
      <c r="FZ123" s="121"/>
      <c r="GA123" s="121"/>
      <c r="GB123" s="121"/>
      <c r="GC123" s="121"/>
      <c r="GD123" s="121"/>
      <c r="GE123" s="121"/>
      <c r="GF123" s="121"/>
      <c r="GG123" s="121"/>
      <c r="GH123" s="121"/>
    </row>
    <row r="124" spans="1:190">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c r="AI124" s="121"/>
      <c r="AJ124" s="121"/>
      <c r="AK124" s="121"/>
      <c r="AL124" s="121"/>
      <c r="AM124" s="121"/>
      <c r="AN124" s="121"/>
      <c r="AO124" s="121"/>
      <c r="AP124" s="121"/>
      <c r="AQ124" s="121"/>
      <c r="AR124" s="121"/>
      <c r="AS124" s="121"/>
      <c r="AT124" s="121"/>
      <c r="AU124" s="121"/>
      <c r="AV124" s="121"/>
      <c r="AW124" s="121"/>
      <c r="AX124" s="121"/>
      <c r="AY124" s="121"/>
      <c r="AZ124" s="121"/>
      <c r="BA124" s="121"/>
      <c r="BB124" s="121"/>
      <c r="BC124" s="121"/>
      <c r="BD124" s="121"/>
      <c r="BE124" s="121"/>
      <c r="BF124" s="121"/>
      <c r="BG124" s="121"/>
      <c r="BH124" s="121"/>
      <c r="BI124" s="121"/>
      <c r="BJ124" s="121"/>
      <c r="BK124" s="121"/>
      <c r="BL124" s="121"/>
      <c r="BM124" s="121"/>
      <c r="BN124" s="121"/>
      <c r="BO124" s="121"/>
      <c r="BP124" s="121"/>
      <c r="BQ124" s="121"/>
      <c r="BR124" s="121"/>
      <c r="BS124" s="121"/>
      <c r="BT124" s="121"/>
      <c r="BU124" s="121"/>
      <c r="BV124" s="121"/>
      <c r="BW124" s="121"/>
      <c r="BX124" s="121"/>
      <c r="BY124" s="121"/>
      <c r="BZ124" s="121"/>
      <c r="CA124" s="121"/>
      <c r="CB124" s="121"/>
      <c r="CC124" s="121"/>
      <c r="CD124" s="121"/>
      <c r="CE124" s="121"/>
      <c r="CF124" s="121"/>
      <c r="CG124" s="121"/>
      <c r="CH124" s="121"/>
      <c r="CI124" s="121"/>
      <c r="CJ124" s="121"/>
      <c r="CK124" s="121"/>
      <c r="CL124" s="121"/>
      <c r="CM124" s="121"/>
      <c r="CN124" s="121"/>
      <c r="CO124" s="121"/>
      <c r="CP124" s="121"/>
      <c r="CQ124" s="121"/>
      <c r="CR124" s="121"/>
      <c r="CS124" s="121"/>
      <c r="CT124" s="121"/>
      <c r="CU124" s="121"/>
      <c r="CV124" s="121"/>
      <c r="CW124" s="121"/>
      <c r="CX124" s="121"/>
      <c r="CY124" s="121"/>
      <c r="CZ124" s="121"/>
      <c r="DA124" s="121"/>
      <c r="DB124" s="121"/>
      <c r="DC124" s="121"/>
      <c r="DD124" s="121"/>
      <c r="DE124" s="121"/>
      <c r="DF124" s="121"/>
      <c r="DG124" s="121"/>
      <c r="DH124" s="121"/>
      <c r="DI124" s="121"/>
      <c r="DJ124" s="121"/>
      <c r="DK124" s="121"/>
      <c r="DL124" s="121"/>
      <c r="DM124" s="121"/>
      <c r="DN124" s="121"/>
      <c r="DO124" s="121"/>
      <c r="DP124" s="121"/>
      <c r="DQ124" s="121"/>
      <c r="DR124" s="121"/>
      <c r="DS124" s="121"/>
      <c r="DT124" s="121"/>
      <c r="DU124" s="121"/>
      <c r="DV124" s="121"/>
      <c r="DW124" s="121"/>
      <c r="DX124" s="121"/>
      <c r="DY124" s="121"/>
      <c r="DZ124" s="121"/>
      <c r="EA124" s="121"/>
      <c r="EB124" s="121"/>
      <c r="EC124" s="121"/>
      <c r="ED124" s="121"/>
      <c r="EE124" s="121"/>
      <c r="EF124" s="121"/>
      <c r="EG124" s="121"/>
      <c r="EH124" s="121"/>
      <c r="EI124" s="121"/>
      <c r="EJ124" s="121"/>
      <c r="EK124" s="121"/>
      <c r="EL124" s="121"/>
      <c r="EM124" s="121"/>
      <c r="EN124" s="121"/>
      <c r="EO124" s="121"/>
      <c r="EP124" s="121"/>
      <c r="EQ124" s="121"/>
      <c r="ER124" s="121"/>
      <c r="ES124" s="121"/>
      <c r="ET124" s="121"/>
      <c r="EU124" s="121"/>
      <c r="EV124" s="121"/>
      <c r="EW124" s="121"/>
      <c r="EX124" s="121"/>
      <c r="EY124" s="121"/>
      <c r="EZ124" s="121"/>
      <c r="FA124" s="121"/>
      <c r="FB124" s="121"/>
      <c r="FC124" s="121"/>
      <c r="FD124" s="121"/>
      <c r="FE124" s="121"/>
      <c r="FF124" s="121"/>
      <c r="FG124" s="121"/>
      <c r="FH124" s="121"/>
      <c r="FI124" s="121"/>
      <c r="FJ124" s="121"/>
      <c r="FK124" s="121"/>
      <c r="FL124" s="121"/>
      <c r="FM124" s="121"/>
      <c r="FN124" s="121"/>
      <c r="FO124" s="121"/>
      <c r="FP124" s="121"/>
      <c r="FQ124" s="121"/>
      <c r="FR124" s="121"/>
      <c r="FS124" s="121"/>
      <c r="FT124" s="121"/>
      <c r="FU124" s="121"/>
      <c r="FV124" s="121"/>
      <c r="FW124" s="121"/>
      <c r="FX124" s="121"/>
      <c r="FY124" s="121"/>
      <c r="FZ124" s="121"/>
      <c r="GA124" s="121"/>
      <c r="GB124" s="121"/>
      <c r="GC124" s="121"/>
      <c r="GD124" s="121"/>
      <c r="GE124" s="121"/>
      <c r="GF124" s="121"/>
      <c r="GG124" s="121"/>
      <c r="GH124" s="121"/>
    </row>
    <row r="125" spans="1:190">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c r="AE125" s="121"/>
      <c r="AF125" s="121"/>
      <c r="AG125" s="121"/>
      <c r="AH125" s="121"/>
      <c r="AI125" s="121"/>
      <c r="AJ125" s="121"/>
      <c r="AK125" s="121"/>
      <c r="AL125" s="121"/>
      <c r="AM125" s="121"/>
      <c r="AN125" s="121"/>
      <c r="AO125" s="121"/>
      <c r="AP125" s="121"/>
      <c r="AQ125" s="121"/>
      <c r="AR125" s="121"/>
      <c r="AS125" s="121"/>
      <c r="AT125" s="121"/>
      <c r="AU125" s="121"/>
      <c r="AV125" s="121"/>
      <c r="AW125" s="121"/>
      <c r="AX125" s="121"/>
      <c r="AY125" s="121"/>
      <c r="AZ125" s="121"/>
      <c r="BA125" s="121"/>
      <c r="BB125" s="121"/>
      <c r="BC125" s="121"/>
      <c r="BD125" s="121"/>
      <c r="BE125" s="121"/>
      <c r="BF125" s="121"/>
      <c r="BG125" s="121"/>
      <c r="BH125" s="121"/>
      <c r="BI125" s="121"/>
      <c r="BJ125" s="121"/>
      <c r="BK125" s="121"/>
      <c r="BL125" s="121"/>
      <c r="BM125" s="121"/>
      <c r="BN125" s="121"/>
      <c r="BO125" s="121"/>
      <c r="BP125" s="121"/>
      <c r="BQ125" s="121"/>
      <c r="BR125" s="121"/>
      <c r="BS125" s="121"/>
      <c r="BT125" s="121"/>
      <c r="BU125" s="121"/>
      <c r="BV125" s="121"/>
      <c r="BW125" s="121"/>
      <c r="BX125" s="121"/>
      <c r="BY125" s="121"/>
      <c r="BZ125" s="121"/>
      <c r="CA125" s="121"/>
      <c r="CB125" s="121"/>
      <c r="CC125" s="121"/>
      <c r="CD125" s="121"/>
      <c r="CE125" s="121"/>
      <c r="CF125" s="121"/>
      <c r="CG125" s="121"/>
      <c r="CH125" s="121"/>
      <c r="CI125" s="121"/>
      <c r="CJ125" s="121"/>
      <c r="CK125" s="121"/>
      <c r="CL125" s="121"/>
      <c r="CM125" s="121"/>
      <c r="CN125" s="121"/>
      <c r="CO125" s="121"/>
      <c r="CP125" s="121"/>
      <c r="CQ125" s="121"/>
      <c r="CR125" s="121"/>
      <c r="CS125" s="121"/>
      <c r="CT125" s="121"/>
      <c r="CU125" s="121"/>
      <c r="CV125" s="121"/>
      <c r="CW125" s="121"/>
      <c r="CX125" s="121"/>
      <c r="CY125" s="121"/>
      <c r="CZ125" s="121"/>
      <c r="DA125" s="121"/>
      <c r="DB125" s="121"/>
      <c r="DC125" s="121"/>
      <c r="DD125" s="121"/>
      <c r="DE125" s="121"/>
      <c r="DF125" s="121"/>
      <c r="DG125" s="121"/>
      <c r="DH125" s="121"/>
      <c r="DI125" s="121"/>
      <c r="DJ125" s="121"/>
      <c r="DK125" s="121"/>
      <c r="DL125" s="121"/>
      <c r="DM125" s="121"/>
      <c r="DN125" s="121"/>
      <c r="DO125" s="121"/>
      <c r="DP125" s="121"/>
      <c r="DQ125" s="121"/>
      <c r="DR125" s="121"/>
      <c r="DS125" s="121"/>
      <c r="DT125" s="121"/>
      <c r="DU125" s="121"/>
      <c r="DV125" s="121"/>
      <c r="DW125" s="121"/>
      <c r="DX125" s="121"/>
      <c r="DY125" s="121"/>
      <c r="DZ125" s="121"/>
      <c r="EA125" s="121"/>
      <c r="EB125" s="121"/>
      <c r="EC125" s="121"/>
      <c r="ED125" s="121"/>
      <c r="EE125" s="121"/>
      <c r="EF125" s="121"/>
      <c r="EG125" s="121"/>
      <c r="EH125" s="121"/>
      <c r="EI125" s="121"/>
      <c r="EJ125" s="121"/>
      <c r="EK125" s="121"/>
      <c r="EL125" s="121"/>
      <c r="EM125" s="121"/>
      <c r="EN125" s="121"/>
      <c r="EO125" s="121"/>
      <c r="EP125" s="121"/>
      <c r="EQ125" s="121"/>
      <c r="ER125" s="121"/>
      <c r="ES125" s="121"/>
      <c r="ET125" s="121"/>
      <c r="EU125" s="121"/>
      <c r="EV125" s="121"/>
      <c r="EW125" s="121"/>
      <c r="EX125" s="121"/>
      <c r="EY125" s="121"/>
      <c r="EZ125" s="121"/>
      <c r="FA125" s="121"/>
      <c r="FB125" s="121"/>
      <c r="FC125" s="121"/>
      <c r="FD125" s="121"/>
      <c r="FE125" s="121"/>
      <c r="FF125" s="121"/>
      <c r="FG125" s="121"/>
      <c r="FH125" s="121"/>
      <c r="FI125" s="121"/>
      <c r="FJ125" s="121"/>
      <c r="FK125" s="121"/>
      <c r="FL125" s="121"/>
      <c r="FM125" s="121"/>
      <c r="FN125" s="121"/>
      <c r="FO125" s="121"/>
      <c r="FP125" s="121"/>
      <c r="FQ125" s="121"/>
      <c r="FR125" s="121"/>
      <c r="FS125" s="121"/>
      <c r="FT125" s="121"/>
      <c r="FU125" s="121"/>
      <c r="FV125" s="121"/>
      <c r="FW125" s="121"/>
      <c r="FX125" s="121"/>
      <c r="FY125" s="121"/>
      <c r="FZ125" s="121"/>
      <c r="GA125" s="121"/>
      <c r="GB125" s="121"/>
      <c r="GC125" s="121"/>
      <c r="GD125" s="121"/>
      <c r="GE125" s="121"/>
      <c r="GF125" s="121"/>
      <c r="GG125" s="121"/>
      <c r="GH125" s="121"/>
    </row>
    <row r="126" spans="1:190">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121"/>
      <c r="AK126" s="121"/>
      <c r="AL126" s="121"/>
      <c r="AM126" s="121"/>
      <c r="AN126" s="121"/>
      <c r="AO126" s="121"/>
      <c r="AP126" s="121"/>
      <c r="AQ126" s="121"/>
      <c r="AR126" s="121"/>
      <c r="AS126" s="121"/>
      <c r="AT126" s="121"/>
      <c r="AU126" s="121"/>
      <c r="AV126" s="121"/>
      <c r="AW126" s="121"/>
      <c r="AX126" s="121"/>
      <c r="AY126" s="121"/>
      <c r="AZ126" s="121"/>
      <c r="BA126" s="121"/>
      <c r="BB126" s="121"/>
      <c r="BC126" s="121"/>
      <c r="BD126" s="121"/>
      <c r="BE126" s="121"/>
      <c r="BF126" s="121"/>
      <c r="BG126" s="121"/>
      <c r="BH126" s="121"/>
      <c r="BI126" s="121"/>
      <c r="BJ126" s="121"/>
      <c r="BK126" s="121"/>
      <c r="BL126" s="121"/>
      <c r="BM126" s="121"/>
      <c r="BN126" s="121"/>
      <c r="BO126" s="121"/>
      <c r="BP126" s="121"/>
      <c r="BQ126" s="121"/>
      <c r="BR126" s="121"/>
      <c r="BS126" s="121"/>
      <c r="BT126" s="121"/>
      <c r="BU126" s="121"/>
      <c r="BV126" s="121"/>
      <c r="BW126" s="121"/>
      <c r="BX126" s="121"/>
      <c r="BY126" s="121"/>
      <c r="BZ126" s="121"/>
      <c r="CA126" s="121"/>
      <c r="CB126" s="121"/>
      <c r="CC126" s="121"/>
      <c r="CD126" s="121"/>
      <c r="CE126" s="121"/>
      <c r="CF126" s="121"/>
      <c r="CG126" s="121"/>
      <c r="CH126" s="121"/>
      <c r="CI126" s="121"/>
      <c r="CJ126" s="121"/>
      <c r="CK126" s="121"/>
      <c r="CL126" s="121"/>
      <c r="CM126" s="121"/>
      <c r="CN126" s="121"/>
      <c r="CO126" s="121"/>
      <c r="CP126" s="121"/>
      <c r="CQ126" s="121"/>
      <c r="CR126" s="121"/>
      <c r="CS126" s="121"/>
      <c r="CT126" s="121"/>
      <c r="CU126" s="121"/>
      <c r="CV126" s="121"/>
      <c r="CW126" s="121"/>
      <c r="CX126" s="121"/>
      <c r="CY126" s="121"/>
      <c r="CZ126" s="121"/>
      <c r="DA126" s="121"/>
      <c r="DB126" s="121"/>
      <c r="DC126" s="121"/>
      <c r="DD126" s="121"/>
      <c r="DE126" s="121"/>
      <c r="DF126" s="121"/>
      <c r="DG126" s="121"/>
      <c r="DH126" s="121"/>
      <c r="DI126" s="121"/>
      <c r="DJ126" s="121"/>
      <c r="DK126" s="121"/>
      <c r="DL126" s="121"/>
      <c r="DM126" s="121"/>
      <c r="DN126" s="121"/>
      <c r="DO126" s="121"/>
      <c r="DP126" s="121"/>
      <c r="DQ126" s="121"/>
      <c r="DR126" s="121"/>
      <c r="DS126" s="121"/>
      <c r="DT126" s="121"/>
      <c r="DU126" s="121"/>
      <c r="DV126" s="121"/>
      <c r="DW126" s="121"/>
      <c r="DX126" s="121"/>
      <c r="DY126" s="121"/>
      <c r="DZ126" s="121"/>
      <c r="EA126" s="121"/>
      <c r="EB126" s="121"/>
      <c r="EC126" s="121"/>
      <c r="ED126" s="121"/>
      <c r="EE126" s="121"/>
      <c r="EF126" s="121"/>
      <c r="EG126" s="121"/>
      <c r="EH126" s="121"/>
      <c r="EI126" s="121"/>
      <c r="EJ126" s="121"/>
      <c r="EK126" s="121"/>
      <c r="EL126" s="121"/>
      <c r="EM126" s="121"/>
      <c r="EN126" s="121"/>
      <c r="EO126" s="121"/>
      <c r="EP126" s="121"/>
      <c r="EQ126" s="121"/>
      <c r="ER126" s="121"/>
      <c r="ES126" s="121"/>
      <c r="ET126" s="121"/>
      <c r="EU126" s="121"/>
      <c r="EV126" s="121"/>
      <c r="EW126" s="121"/>
      <c r="EX126" s="121"/>
      <c r="EY126" s="121"/>
      <c r="EZ126" s="121"/>
      <c r="FA126" s="121"/>
      <c r="FB126" s="121"/>
      <c r="FC126" s="121"/>
      <c r="FD126" s="121"/>
      <c r="FE126" s="121"/>
      <c r="FF126" s="121"/>
      <c r="FG126" s="121"/>
      <c r="FH126" s="121"/>
      <c r="FI126" s="121"/>
      <c r="FJ126" s="121"/>
      <c r="FK126" s="121"/>
      <c r="FL126" s="121"/>
      <c r="FM126" s="121"/>
      <c r="FN126" s="121"/>
      <c r="FO126" s="121"/>
      <c r="FP126" s="121"/>
      <c r="FQ126" s="121"/>
      <c r="FR126" s="121"/>
      <c r="FS126" s="121"/>
      <c r="FT126" s="121"/>
      <c r="FU126" s="121"/>
      <c r="FV126" s="121"/>
      <c r="FW126" s="121"/>
      <c r="FX126" s="121"/>
      <c r="FY126" s="121"/>
      <c r="FZ126" s="121"/>
      <c r="GA126" s="121"/>
      <c r="GB126" s="121"/>
      <c r="GC126" s="121"/>
      <c r="GD126" s="121"/>
      <c r="GE126" s="121"/>
      <c r="GF126" s="121"/>
      <c r="GG126" s="121"/>
      <c r="GH126" s="121"/>
    </row>
    <row r="127" spans="1:190">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1"/>
      <c r="AP127" s="121"/>
      <c r="AQ127" s="121"/>
      <c r="AR127" s="121"/>
      <c r="AS127" s="121"/>
      <c r="AT127" s="121"/>
      <c r="AU127" s="121"/>
      <c r="AV127" s="121"/>
      <c r="AW127" s="121"/>
      <c r="AX127" s="121"/>
      <c r="AY127" s="121"/>
      <c r="AZ127" s="121"/>
      <c r="BA127" s="121"/>
      <c r="BB127" s="121"/>
      <c r="BC127" s="121"/>
      <c r="BD127" s="121"/>
      <c r="BE127" s="121"/>
      <c r="BF127" s="121"/>
      <c r="BG127" s="121"/>
      <c r="BH127" s="121"/>
      <c r="BI127" s="121"/>
      <c r="BJ127" s="121"/>
      <c r="BK127" s="121"/>
      <c r="BL127" s="121"/>
      <c r="BM127" s="121"/>
      <c r="BN127" s="121"/>
      <c r="BO127" s="121"/>
      <c r="BP127" s="121"/>
      <c r="BQ127" s="121"/>
      <c r="BR127" s="121"/>
      <c r="BS127" s="121"/>
      <c r="BT127" s="121"/>
      <c r="BU127" s="121"/>
      <c r="BV127" s="121"/>
      <c r="BW127" s="121"/>
      <c r="BX127" s="121"/>
      <c r="BY127" s="121"/>
      <c r="BZ127" s="121"/>
      <c r="CA127" s="121"/>
      <c r="CB127" s="121"/>
      <c r="CC127" s="121"/>
      <c r="CD127" s="121"/>
      <c r="CE127" s="121"/>
      <c r="CF127" s="121"/>
      <c r="CG127" s="121"/>
      <c r="CH127" s="121"/>
      <c r="CI127" s="121"/>
      <c r="CJ127" s="121"/>
      <c r="CK127" s="121"/>
      <c r="CL127" s="121"/>
      <c r="CM127" s="121"/>
      <c r="CN127" s="121"/>
      <c r="CO127" s="121"/>
      <c r="CP127" s="121"/>
      <c r="CQ127" s="121"/>
      <c r="CR127" s="121"/>
      <c r="CS127" s="121"/>
      <c r="CT127" s="121"/>
      <c r="CU127" s="121"/>
      <c r="CV127" s="121"/>
      <c r="CW127" s="121"/>
      <c r="CX127" s="121"/>
      <c r="CY127" s="121"/>
      <c r="CZ127" s="121"/>
      <c r="DA127" s="121"/>
      <c r="DB127" s="121"/>
      <c r="DC127" s="121"/>
      <c r="DD127" s="121"/>
      <c r="DE127" s="121"/>
      <c r="DF127" s="121"/>
      <c r="DG127" s="121"/>
      <c r="DH127" s="121"/>
      <c r="DI127" s="121"/>
      <c r="DJ127" s="121"/>
      <c r="DK127" s="121"/>
      <c r="DL127" s="121"/>
      <c r="DM127" s="121"/>
      <c r="DN127" s="121"/>
      <c r="DO127" s="121"/>
      <c r="DP127" s="121"/>
      <c r="DQ127" s="121"/>
      <c r="DR127" s="121"/>
      <c r="DS127" s="121"/>
      <c r="DT127" s="121"/>
      <c r="DU127" s="121"/>
      <c r="DV127" s="121"/>
      <c r="DW127" s="121"/>
      <c r="DX127" s="121"/>
      <c r="DY127" s="121"/>
      <c r="DZ127" s="121"/>
      <c r="EA127" s="121"/>
      <c r="EB127" s="121"/>
      <c r="EC127" s="121"/>
      <c r="ED127" s="121"/>
      <c r="EE127" s="121"/>
      <c r="EF127" s="121"/>
      <c r="EG127" s="121"/>
      <c r="EH127" s="121"/>
      <c r="EI127" s="121"/>
      <c r="EJ127" s="121"/>
      <c r="EK127" s="121"/>
      <c r="EL127" s="121"/>
      <c r="EM127" s="121"/>
      <c r="EN127" s="121"/>
      <c r="EO127" s="121"/>
      <c r="EP127" s="121"/>
      <c r="EQ127" s="121"/>
      <c r="ER127" s="121"/>
      <c r="ES127" s="121"/>
      <c r="ET127" s="121"/>
      <c r="EU127" s="121"/>
      <c r="EV127" s="121"/>
      <c r="EW127" s="121"/>
      <c r="EX127" s="121"/>
      <c r="EY127" s="121"/>
      <c r="EZ127" s="121"/>
      <c r="FA127" s="121"/>
      <c r="FB127" s="121"/>
      <c r="FC127" s="121"/>
      <c r="FD127" s="121"/>
      <c r="FE127" s="121"/>
      <c r="FF127" s="121"/>
      <c r="FG127" s="121"/>
      <c r="FH127" s="121"/>
      <c r="FI127" s="121"/>
      <c r="FJ127" s="121"/>
      <c r="FK127" s="121"/>
      <c r="FL127" s="121"/>
      <c r="FM127" s="121"/>
      <c r="FN127" s="121"/>
      <c r="FO127" s="121"/>
      <c r="FP127" s="121"/>
      <c r="FQ127" s="121"/>
      <c r="FR127" s="121"/>
      <c r="FS127" s="121"/>
      <c r="FT127" s="121"/>
      <c r="FU127" s="121"/>
      <c r="FV127" s="121"/>
      <c r="FW127" s="121"/>
      <c r="FX127" s="121"/>
      <c r="FY127" s="121"/>
      <c r="FZ127" s="121"/>
      <c r="GA127" s="121"/>
      <c r="GB127" s="121"/>
      <c r="GC127" s="121"/>
      <c r="GD127" s="121"/>
      <c r="GE127" s="121"/>
      <c r="GF127" s="121"/>
      <c r="GG127" s="121"/>
      <c r="GH127" s="121"/>
    </row>
    <row r="128" spans="1:190">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1"/>
      <c r="AP128" s="121"/>
      <c r="AQ128" s="121"/>
      <c r="AR128" s="121"/>
      <c r="AS128" s="121"/>
      <c r="AT128" s="121"/>
      <c r="AU128" s="121"/>
      <c r="AV128" s="121"/>
      <c r="AW128" s="121"/>
      <c r="AX128" s="121"/>
      <c r="AY128" s="121"/>
      <c r="AZ128" s="121"/>
      <c r="BA128" s="121"/>
      <c r="BB128" s="121"/>
      <c r="BC128" s="121"/>
      <c r="BD128" s="121"/>
      <c r="BE128" s="121"/>
      <c r="BF128" s="121"/>
      <c r="BG128" s="121"/>
      <c r="BH128" s="121"/>
      <c r="BI128" s="121"/>
      <c r="BJ128" s="121"/>
      <c r="BK128" s="121"/>
      <c r="BL128" s="121"/>
      <c r="BM128" s="121"/>
      <c r="BN128" s="121"/>
      <c r="BO128" s="121"/>
      <c r="BP128" s="121"/>
      <c r="BQ128" s="121"/>
      <c r="BR128" s="121"/>
      <c r="BS128" s="121"/>
      <c r="BT128" s="121"/>
      <c r="BU128" s="121"/>
      <c r="BV128" s="121"/>
      <c r="BW128" s="121"/>
      <c r="BX128" s="121"/>
      <c r="BY128" s="121"/>
      <c r="BZ128" s="121"/>
      <c r="CA128" s="121"/>
      <c r="CB128" s="121"/>
      <c r="CC128" s="121"/>
      <c r="CD128" s="121"/>
      <c r="CE128" s="121"/>
      <c r="CF128" s="121"/>
      <c r="CG128" s="121"/>
      <c r="CH128" s="121"/>
      <c r="CI128" s="121"/>
      <c r="CJ128" s="121"/>
      <c r="CK128" s="121"/>
      <c r="CL128" s="121"/>
      <c r="CM128" s="121"/>
      <c r="CN128" s="121"/>
      <c r="CO128" s="121"/>
      <c r="CP128" s="121"/>
      <c r="CQ128" s="121"/>
      <c r="CR128" s="121"/>
      <c r="CS128" s="121"/>
      <c r="CT128" s="121"/>
      <c r="CU128" s="121"/>
      <c r="CV128" s="121"/>
      <c r="CW128" s="121"/>
      <c r="CX128" s="121"/>
      <c r="CY128" s="121"/>
      <c r="CZ128" s="121"/>
      <c r="DA128" s="121"/>
      <c r="DB128" s="121"/>
      <c r="DC128" s="121"/>
      <c r="DD128" s="121"/>
      <c r="DE128" s="121"/>
      <c r="DF128" s="121"/>
      <c r="DG128" s="121"/>
      <c r="DH128" s="121"/>
      <c r="DI128" s="121"/>
      <c r="DJ128" s="121"/>
      <c r="DK128" s="121"/>
      <c r="DL128" s="121"/>
      <c r="DM128" s="121"/>
      <c r="DN128" s="121"/>
      <c r="DO128" s="121"/>
      <c r="DP128" s="121"/>
      <c r="DQ128" s="121"/>
      <c r="DR128" s="121"/>
      <c r="DS128" s="121"/>
      <c r="DT128" s="121"/>
      <c r="DU128" s="121"/>
      <c r="DV128" s="121"/>
      <c r="DW128" s="121"/>
      <c r="DX128" s="121"/>
      <c r="DY128" s="121"/>
      <c r="DZ128" s="121"/>
      <c r="EA128" s="121"/>
      <c r="EB128" s="121"/>
      <c r="EC128" s="121"/>
      <c r="ED128" s="121"/>
      <c r="EE128" s="121"/>
      <c r="EF128" s="121"/>
      <c r="EG128" s="121"/>
      <c r="EH128" s="121"/>
      <c r="EI128" s="121"/>
      <c r="EJ128" s="121"/>
      <c r="EK128" s="121"/>
      <c r="EL128" s="121"/>
      <c r="EM128" s="121"/>
      <c r="EN128" s="121"/>
      <c r="EO128" s="121"/>
      <c r="EP128" s="121"/>
      <c r="EQ128" s="121"/>
      <c r="ER128" s="121"/>
      <c r="ES128" s="121"/>
      <c r="ET128" s="121"/>
      <c r="EU128" s="121"/>
      <c r="EV128" s="121"/>
      <c r="EW128" s="121"/>
      <c r="EX128" s="121"/>
      <c r="EY128" s="121"/>
      <c r="EZ128" s="121"/>
      <c r="FA128" s="121"/>
      <c r="FB128" s="121"/>
      <c r="FC128" s="121"/>
      <c r="FD128" s="121"/>
      <c r="FE128" s="121"/>
      <c r="FF128" s="121"/>
      <c r="FG128" s="121"/>
      <c r="FH128" s="121"/>
      <c r="FI128" s="121"/>
      <c r="FJ128" s="121"/>
      <c r="FK128" s="121"/>
      <c r="FL128" s="121"/>
      <c r="FM128" s="121"/>
      <c r="FN128" s="121"/>
      <c r="FO128" s="121"/>
      <c r="FP128" s="121"/>
      <c r="FQ128" s="121"/>
      <c r="FR128" s="121"/>
      <c r="FS128" s="121"/>
      <c r="FT128" s="121"/>
      <c r="FU128" s="121"/>
      <c r="FV128" s="121"/>
      <c r="FW128" s="121"/>
      <c r="FX128" s="121"/>
      <c r="FY128" s="121"/>
      <c r="FZ128" s="121"/>
      <c r="GA128" s="121"/>
      <c r="GB128" s="121"/>
      <c r="GC128" s="121"/>
      <c r="GD128" s="121"/>
      <c r="GE128" s="121"/>
      <c r="GF128" s="121"/>
      <c r="GG128" s="121"/>
      <c r="GH128" s="121"/>
    </row>
    <row r="129" spans="1:190">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c r="AI129" s="121"/>
      <c r="AJ129" s="121"/>
      <c r="AK129" s="121"/>
      <c r="AL129" s="121"/>
      <c r="AM129" s="121"/>
      <c r="AN129" s="121"/>
      <c r="AO129" s="121"/>
      <c r="AP129" s="121"/>
      <c r="AQ129" s="121"/>
      <c r="AR129" s="121"/>
      <c r="AS129" s="121"/>
      <c r="AT129" s="121"/>
      <c r="AU129" s="121"/>
      <c r="AV129" s="121"/>
      <c r="AW129" s="121"/>
      <c r="AX129" s="121"/>
      <c r="AY129" s="121"/>
      <c r="AZ129" s="121"/>
      <c r="BA129" s="121"/>
      <c r="BB129" s="121"/>
      <c r="BC129" s="121"/>
      <c r="BD129" s="121"/>
      <c r="BE129" s="121"/>
      <c r="BF129" s="121"/>
      <c r="BG129" s="121"/>
      <c r="BH129" s="121"/>
      <c r="BI129" s="121"/>
      <c r="BJ129" s="121"/>
      <c r="BK129" s="121"/>
      <c r="BL129" s="121"/>
      <c r="BM129" s="121"/>
      <c r="BN129" s="121"/>
      <c r="BO129" s="121"/>
      <c r="BP129" s="121"/>
      <c r="BQ129" s="121"/>
      <c r="BR129" s="121"/>
      <c r="BS129" s="121"/>
      <c r="BT129" s="121"/>
      <c r="BU129" s="121"/>
      <c r="BV129" s="121"/>
      <c r="BW129" s="121"/>
      <c r="BX129" s="121"/>
      <c r="BY129" s="121"/>
      <c r="BZ129" s="121"/>
      <c r="CA129" s="121"/>
      <c r="CB129" s="121"/>
      <c r="CC129" s="121"/>
      <c r="CD129" s="121"/>
      <c r="CE129" s="121"/>
      <c r="CF129" s="121"/>
      <c r="CG129" s="121"/>
      <c r="CH129" s="121"/>
      <c r="CI129" s="121"/>
      <c r="CJ129" s="121"/>
      <c r="CK129" s="121"/>
      <c r="CL129" s="121"/>
      <c r="CM129" s="121"/>
      <c r="CN129" s="121"/>
      <c r="CO129" s="121"/>
      <c r="CP129" s="121"/>
      <c r="CQ129" s="121"/>
      <c r="CR129" s="121"/>
      <c r="CS129" s="121"/>
      <c r="CT129" s="121"/>
      <c r="CU129" s="121"/>
      <c r="CV129" s="121"/>
      <c r="CW129" s="121"/>
      <c r="CX129" s="121"/>
      <c r="CY129" s="121"/>
      <c r="CZ129" s="121"/>
      <c r="DA129" s="121"/>
      <c r="DB129" s="121"/>
      <c r="DC129" s="121"/>
      <c r="DD129" s="121"/>
      <c r="DE129" s="121"/>
      <c r="DF129" s="121"/>
      <c r="DG129" s="121"/>
      <c r="DH129" s="121"/>
      <c r="DI129" s="121"/>
      <c r="DJ129" s="121"/>
      <c r="DK129" s="121"/>
      <c r="DL129" s="121"/>
      <c r="DM129" s="121"/>
      <c r="DN129" s="121"/>
      <c r="DO129" s="121"/>
      <c r="DP129" s="121"/>
      <c r="DQ129" s="121"/>
      <c r="DR129" s="121"/>
      <c r="DS129" s="121"/>
      <c r="DT129" s="121"/>
      <c r="DU129" s="121"/>
      <c r="DV129" s="121"/>
      <c r="DW129" s="121"/>
      <c r="DX129" s="121"/>
      <c r="DY129" s="121"/>
      <c r="DZ129" s="121"/>
      <c r="EA129" s="121"/>
      <c r="EB129" s="121"/>
      <c r="EC129" s="121"/>
      <c r="ED129" s="121"/>
      <c r="EE129" s="121"/>
      <c r="EF129" s="121"/>
      <c r="EG129" s="121"/>
      <c r="EH129" s="121"/>
      <c r="EI129" s="121"/>
      <c r="EJ129" s="121"/>
      <c r="EK129" s="121"/>
      <c r="EL129" s="121"/>
      <c r="EM129" s="121"/>
      <c r="EN129" s="121"/>
      <c r="EO129" s="121"/>
      <c r="EP129" s="121"/>
      <c r="EQ129" s="121"/>
      <c r="ER129" s="121"/>
      <c r="ES129" s="121"/>
      <c r="ET129" s="121"/>
      <c r="EU129" s="121"/>
      <c r="EV129" s="121"/>
      <c r="EW129" s="121"/>
      <c r="EX129" s="121"/>
      <c r="EY129" s="121"/>
      <c r="EZ129" s="121"/>
      <c r="FA129" s="121"/>
      <c r="FB129" s="121"/>
      <c r="FC129" s="121"/>
      <c r="FD129" s="121"/>
      <c r="FE129" s="121"/>
      <c r="FF129" s="121"/>
      <c r="FG129" s="121"/>
      <c r="FH129" s="121"/>
      <c r="FI129" s="121"/>
      <c r="FJ129" s="121"/>
      <c r="FK129" s="121"/>
      <c r="FL129" s="121"/>
      <c r="FM129" s="121"/>
      <c r="FN129" s="121"/>
      <c r="FO129" s="121"/>
      <c r="FP129" s="121"/>
      <c r="FQ129" s="121"/>
      <c r="FR129" s="121"/>
      <c r="FS129" s="121"/>
      <c r="FT129" s="121"/>
      <c r="FU129" s="121"/>
      <c r="FV129" s="121"/>
      <c r="FW129" s="121"/>
      <c r="FX129" s="121"/>
      <c r="FY129" s="121"/>
      <c r="FZ129" s="121"/>
      <c r="GA129" s="121"/>
      <c r="GB129" s="121"/>
      <c r="GC129" s="121"/>
      <c r="GD129" s="121"/>
      <c r="GE129" s="121"/>
      <c r="GF129" s="121"/>
      <c r="GG129" s="121"/>
      <c r="GH129" s="121"/>
    </row>
    <row r="130" spans="1:190">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1"/>
      <c r="AO130" s="121"/>
      <c r="AP130" s="121"/>
      <c r="AQ130" s="121"/>
      <c r="AR130" s="121"/>
      <c r="AS130" s="121"/>
      <c r="AT130" s="121"/>
      <c r="AU130" s="121"/>
      <c r="AV130" s="121"/>
      <c r="AW130" s="121"/>
      <c r="AX130" s="121"/>
      <c r="AY130" s="121"/>
      <c r="AZ130" s="121"/>
      <c r="BA130" s="121"/>
      <c r="BB130" s="121"/>
      <c r="BC130" s="121"/>
      <c r="BD130" s="121"/>
      <c r="BE130" s="121"/>
      <c r="BF130" s="121"/>
      <c r="BG130" s="121"/>
      <c r="BH130" s="121"/>
      <c r="BI130" s="121"/>
      <c r="BJ130" s="121"/>
      <c r="BK130" s="121"/>
      <c r="BL130" s="121"/>
      <c r="BM130" s="121"/>
      <c r="BN130" s="121"/>
      <c r="BO130" s="121"/>
      <c r="BP130" s="121"/>
      <c r="BQ130" s="121"/>
      <c r="BR130" s="121"/>
      <c r="BS130" s="121"/>
      <c r="BT130" s="121"/>
      <c r="BU130" s="121"/>
      <c r="BV130" s="121"/>
      <c r="BW130" s="121"/>
      <c r="BX130" s="121"/>
      <c r="BY130" s="121"/>
      <c r="BZ130" s="121"/>
      <c r="CA130" s="121"/>
      <c r="CB130" s="121"/>
      <c r="CC130" s="121"/>
      <c r="CD130" s="121"/>
      <c r="CE130" s="121"/>
      <c r="CF130" s="121"/>
      <c r="CG130" s="121"/>
      <c r="CH130" s="121"/>
      <c r="CI130" s="121"/>
      <c r="CJ130" s="121"/>
      <c r="CK130" s="121"/>
      <c r="CL130" s="121"/>
      <c r="CM130" s="121"/>
      <c r="CN130" s="121"/>
      <c r="CO130" s="121"/>
      <c r="CP130" s="121"/>
      <c r="CQ130" s="121"/>
      <c r="CR130" s="121"/>
      <c r="CS130" s="121"/>
      <c r="CT130" s="121"/>
      <c r="CU130" s="121"/>
      <c r="CV130" s="121"/>
      <c r="CW130" s="121"/>
      <c r="CX130" s="121"/>
      <c r="CY130" s="121"/>
      <c r="CZ130" s="121"/>
      <c r="DA130" s="121"/>
      <c r="DB130" s="121"/>
      <c r="DC130" s="121"/>
      <c r="DD130" s="121"/>
      <c r="DE130" s="121"/>
      <c r="DF130" s="121"/>
      <c r="DG130" s="121"/>
      <c r="DH130" s="121"/>
      <c r="DI130" s="121"/>
      <c r="DJ130" s="121"/>
      <c r="DK130" s="121"/>
      <c r="DL130" s="121"/>
      <c r="DM130" s="121"/>
      <c r="DN130" s="121"/>
      <c r="DO130" s="121"/>
      <c r="DP130" s="121"/>
      <c r="DQ130" s="121"/>
      <c r="DR130" s="121"/>
      <c r="DS130" s="121"/>
      <c r="DT130" s="121"/>
      <c r="DU130" s="121"/>
      <c r="DV130" s="121"/>
      <c r="DW130" s="121"/>
      <c r="DX130" s="121"/>
      <c r="DY130" s="121"/>
      <c r="DZ130" s="121"/>
      <c r="EA130" s="121"/>
      <c r="EB130" s="121"/>
      <c r="EC130" s="121"/>
      <c r="ED130" s="121"/>
      <c r="EE130" s="121"/>
      <c r="EF130" s="121"/>
      <c r="EG130" s="121"/>
      <c r="EH130" s="121"/>
      <c r="EI130" s="121"/>
      <c r="EJ130" s="121"/>
      <c r="EK130" s="121"/>
      <c r="EL130" s="121"/>
      <c r="EM130" s="121"/>
      <c r="EN130" s="121"/>
      <c r="EO130" s="121"/>
      <c r="EP130" s="121"/>
      <c r="EQ130" s="121"/>
      <c r="ER130" s="121"/>
      <c r="ES130" s="121"/>
      <c r="ET130" s="121"/>
      <c r="EU130" s="121"/>
      <c r="EV130" s="121"/>
      <c r="EW130" s="121"/>
      <c r="EX130" s="121"/>
      <c r="EY130" s="121"/>
      <c r="EZ130" s="121"/>
      <c r="FA130" s="121"/>
      <c r="FB130" s="121"/>
      <c r="FC130" s="121"/>
      <c r="FD130" s="121"/>
      <c r="FE130" s="121"/>
      <c r="FF130" s="121"/>
      <c r="FG130" s="121"/>
      <c r="FH130" s="121"/>
      <c r="FI130" s="121"/>
      <c r="FJ130" s="121"/>
      <c r="FK130" s="121"/>
      <c r="FL130" s="121"/>
      <c r="FM130" s="121"/>
      <c r="FN130" s="121"/>
      <c r="FO130" s="121"/>
      <c r="FP130" s="121"/>
      <c r="FQ130" s="121"/>
      <c r="FR130" s="121"/>
      <c r="FS130" s="121"/>
      <c r="FT130" s="121"/>
      <c r="FU130" s="121"/>
      <c r="FV130" s="121"/>
      <c r="FW130" s="121"/>
      <c r="FX130" s="121"/>
      <c r="FY130" s="121"/>
      <c r="FZ130" s="121"/>
      <c r="GA130" s="121"/>
      <c r="GB130" s="121"/>
      <c r="GC130" s="121"/>
      <c r="GD130" s="121"/>
      <c r="GE130" s="121"/>
      <c r="GF130" s="121"/>
      <c r="GG130" s="121"/>
      <c r="GH130" s="121"/>
    </row>
    <row r="131" spans="1:190">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c r="AE131" s="121"/>
      <c r="AF131" s="121"/>
      <c r="AG131" s="121"/>
      <c r="AH131" s="121"/>
      <c r="AI131" s="121"/>
      <c r="AJ131" s="121"/>
      <c r="AK131" s="121"/>
      <c r="AL131" s="121"/>
      <c r="AM131" s="121"/>
      <c r="AN131" s="121"/>
      <c r="AO131" s="121"/>
      <c r="AP131" s="121"/>
      <c r="AQ131" s="121"/>
      <c r="AR131" s="121"/>
      <c r="AS131" s="121"/>
      <c r="AT131" s="121"/>
      <c r="AU131" s="121"/>
      <c r="AV131" s="121"/>
      <c r="AW131" s="121"/>
      <c r="AX131" s="121"/>
      <c r="AY131" s="121"/>
      <c r="AZ131" s="121"/>
      <c r="BA131" s="121"/>
      <c r="BB131" s="121"/>
      <c r="BC131" s="121"/>
      <c r="BD131" s="121"/>
      <c r="BE131" s="121"/>
      <c r="BF131" s="121"/>
      <c r="BG131" s="121"/>
      <c r="BH131" s="121"/>
      <c r="BI131" s="121"/>
      <c r="BJ131" s="121"/>
      <c r="BK131" s="121"/>
      <c r="BL131" s="121"/>
      <c r="BM131" s="121"/>
      <c r="BN131" s="121"/>
      <c r="BO131" s="121"/>
      <c r="BP131" s="121"/>
      <c r="BQ131" s="121"/>
      <c r="BR131" s="121"/>
      <c r="BS131" s="121"/>
      <c r="BT131" s="121"/>
      <c r="BU131" s="121"/>
      <c r="BV131" s="121"/>
      <c r="BW131" s="121"/>
      <c r="BX131" s="121"/>
      <c r="BY131" s="121"/>
      <c r="BZ131" s="121"/>
      <c r="CA131" s="121"/>
      <c r="CB131" s="121"/>
      <c r="CC131" s="121"/>
      <c r="CD131" s="121"/>
      <c r="CE131" s="121"/>
      <c r="CF131" s="121"/>
      <c r="CG131" s="121"/>
      <c r="CH131" s="121"/>
      <c r="CI131" s="121"/>
      <c r="CJ131" s="121"/>
      <c r="CK131" s="121"/>
      <c r="CL131" s="121"/>
      <c r="CM131" s="121"/>
      <c r="CN131" s="121"/>
      <c r="CO131" s="121"/>
      <c r="CP131" s="121"/>
      <c r="CQ131" s="121"/>
      <c r="CR131" s="121"/>
      <c r="CS131" s="121"/>
      <c r="CT131" s="121"/>
      <c r="CU131" s="121"/>
      <c r="CV131" s="121"/>
      <c r="CW131" s="121"/>
      <c r="CX131" s="121"/>
      <c r="CY131" s="121"/>
      <c r="CZ131" s="121"/>
      <c r="DA131" s="121"/>
      <c r="DB131" s="121"/>
      <c r="DC131" s="121"/>
      <c r="DD131" s="121"/>
      <c r="DE131" s="121"/>
      <c r="DF131" s="121"/>
      <c r="DG131" s="121"/>
      <c r="DH131" s="121"/>
      <c r="DI131" s="121"/>
      <c r="DJ131" s="121"/>
      <c r="DK131" s="121"/>
      <c r="DL131" s="121"/>
      <c r="DM131" s="121"/>
      <c r="DN131" s="121"/>
      <c r="DO131" s="121"/>
      <c r="DP131" s="121"/>
      <c r="DQ131" s="121"/>
      <c r="DR131" s="121"/>
      <c r="DS131" s="121"/>
      <c r="DT131" s="121"/>
      <c r="DU131" s="121"/>
      <c r="DV131" s="121"/>
      <c r="DW131" s="121"/>
      <c r="DX131" s="121"/>
      <c r="DY131" s="121"/>
      <c r="DZ131" s="121"/>
      <c r="EA131" s="121"/>
      <c r="EB131" s="121"/>
      <c r="EC131" s="121"/>
      <c r="ED131" s="121"/>
      <c r="EE131" s="121"/>
      <c r="EF131" s="121"/>
      <c r="EG131" s="121"/>
      <c r="EH131" s="121"/>
      <c r="EI131" s="121"/>
      <c r="EJ131" s="121"/>
      <c r="EK131" s="121"/>
      <c r="EL131" s="121"/>
      <c r="EM131" s="121"/>
      <c r="EN131" s="121"/>
      <c r="EO131" s="121"/>
      <c r="EP131" s="121"/>
      <c r="EQ131" s="121"/>
      <c r="ER131" s="121"/>
      <c r="ES131" s="121"/>
      <c r="ET131" s="121"/>
      <c r="EU131" s="121"/>
      <c r="EV131" s="121"/>
      <c r="EW131" s="121"/>
      <c r="EX131" s="121"/>
      <c r="EY131" s="121"/>
      <c r="EZ131" s="121"/>
      <c r="FA131" s="121"/>
      <c r="FB131" s="121"/>
      <c r="FC131" s="121"/>
      <c r="FD131" s="121"/>
      <c r="FE131" s="121"/>
      <c r="FF131" s="121"/>
      <c r="FG131" s="121"/>
      <c r="FH131" s="121"/>
      <c r="FI131" s="121"/>
      <c r="FJ131" s="121"/>
      <c r="FK131" s="121"/>
      <c r="FL131" s="121"/>
      <c r="FM131" s="121"/>
      <c r="FN131" s="121"/>
      <c r="FO131" s="121"/>
      <c r="FP131" s="121"/>
      <c r="FQ131" s="121"/>
      <c r="FR131" s="121"/>
      <c r="FS131" s="121"/>
      <c r="FT131" s="121"/>
      <c r="FU131" s="121"/>
      <c r="FV131" s="121"/>
      <c r="FW131" s="121"/>
      <c r="FX131" s="121"/>
      <c r="FY131" s="121"/>
      <c r="FZ131" s="121"/>
      <c r="GA131" s="121"/>
      <c r="GB131" s="121"/>
      <c r="GC131" s="121"/>
      <c r="GD131" s="121"/>
      <c r="GE131" s="121"/>
      <c r="GF131" s="121"/>
      <c r="GG131" s="121"/>
      <c r="GH131" s="121"/>
    </row>
    <row r="132" spans="1:190">
      <c r="A132" s="121"/>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c r="AE132" s="121"/>
      <c r="AF132" s="121"/>
      <c r="AG132" s="121"/>
      <c r="AH132" s="121"/>
      <c r="AI132" s="121"/>
      <c r="AJ132" s="121"/>
      <c r="AK132" s="121"/>
      <c r="AL132" s="121"/>
      <c r="AM132" s="121"/>
      <c r="AN132" s="121"/>
      <c r="AO132" s="121"/>
      <c r="AP132" s="121"/>
      <c r="AQ132" s="121"/>
      <c r="AR132" s="121"/>
      <c r="AS132" s="121"/>
      <c r="AT132" s="121"/>
      <c r="AU132" s="121"/>
      <c r="AV132" s="121"/>
      <c r="AW132" s="121"/>
      <c r="AX132" s="121"/>
      <c r="AY132" s="121"/>
      <c r="AZ132" s="121"/>
      <c r="BA132" s="121"/>
      <c r="BB132" s="121"/>
      <c r="BC132" s="121"/>
      <c r="BD132" s="121"/>
      <c r="BE132" s="121"/>
      <c r="BF132" s="121"/>
      <c r="BG132" s="121"/>
      <c r="BH132" s="121"/>
      <c r="BI132" s="121"/>
      <c r="BJ132" s="121"/>
      <c r="BK132" s="121"/>
      <c r="BL132" s="121"/>
      <c r="BM132" s="121"/>
      <c r="BN132" s="121"/>
      <c r="BO132" s="121"/>
      <c r="BP132" s="121"/>
      <c r="BQ132" s="121"/>
      <c r="BR132" s="121"/>
      <c r="BS132" s="121"/>
      <c r="BT132" s="121"/>
      <c r="BU132" s="121"/>
      <c r="BV132" s="121"/>
      <c r="BW132" s="121"/>
      <c r="BX132" s="121"/>
      <c r="BY132" s="121"/>
      <c r="BZ132" s="121"/>
      <c r="CA132" s="121"/>
      <c r="CB132" s="121"/>
      <c r="CC132" s="121"/>
      <c r="CD132" s="121"/>
      <c r="CE132" s="121"/>
      <c r="CF132" s="121"/>
      <c r="CG132" s="121"/>
      <c r="CH132" s="121"/>
      <c r="CI132" s="121"/>
      <c r="CJ132" s="121"/>
      <c r="CK132" s="121"/>
      <c r="CL132" s="121"/>
      <c r="CM132" s="121"/>
      <c r="CN132" s="121"/>
      <c r="CO132" s="121"/>
      <c r="CP132" s="121"/>
      <c r="CQ132" s="121"/>
      <c r="CR132" s="121"/>
      <c r="CS132" s="121"/>
      <c r="CT132" s="121"/>
      <c r="CU132" s="121"/>
      <c r="CV132" s="121"/>
      <c r="CW132" s="121"/>
      <c r="CX132" s="121"/>
      <c r="CY132" s="121"/>
      <c r="CZ132" s="121"/>
      <c r="DA132" s="121"/>
      <c r="DB132" s="121"/>
      <c r="DC132" s="121"/>
      <c r="DD132" s="121"/>
      <c r="DE132" s="121"/>
      <c r="DF132" s="121"/>
      <c r="DG132" s="121"/>
      <c r="DH132" s="121"/>
      <c r="DI132" s="121"/>
      <c r="DJ132" s="121"/>
      <c r="DK132" s="121"/>
      <c r="DL132" s="121"/>
      <c r="DM132" s="121"/>
      <c r="DN132" s="121"/>
      <c r="DO132" s="121"/>
      <c r="DP132" s="121"/>
      <c r="DQ132" s="121"/>
      <c r="DR132" s="121"/>
      <c r="DS132" s="121"/>
      <c r="DT132" s="121"/>
      <c r="DU132" s="121"/>
      <c r="DV132" s="121"/>
      <c r="DW132" s="121"/>
      <c r="DX132" s="121"/>
      <c r="DY132" s="121"/>
      <c r="DZ132" s="121"/>
      <c r="EA132" s="121"/>
      <c r="EB132" s="121"/>
      <c r="EC132" s="121"/>
      <c r="ED132" s="121"/>
      <c r="EE132" s="121"/>
      <c r="EF132" s="121"/>
      <c r="EG132" s="121"/>
      <c r="EH132" s="121"/>
      <c r="EI132" s="121"/>
      <c r="EJ132" s="121"/>
      <c r="EK132" s="121"/>
      <c r="EL132" s="121"/>
      <c r="EM132" s="121"/>
      <c r="EN132" s="121"/>
      <c r="EO132" s="121"/>
      <c r="EP132" s="121"/>
      <c r="EQ132" s="121"/>
      <c r="ER132" s="121"/>
      <c r="ES132" s="121"/>
      <c r="ET132" s="121"/>
      <c r="EU132" s="121"/>
      <c r="EV132" s="121"/>
      <c r="EW132" s="121"/>
      <c r="EX132" s="121"/>
      <c r="EY132" s="121"/>
      <c r="EZ132" s="121"/>
      <c r="FA132" s="121"/>
      <c r="FB132" s="121"/>
      <c r="FC132" s="121"/>
      <c r="FD132" s="121"/>
      <c r="FE132" s="121"/>
      <c r="FF132" s="121"/>
      <c r="FG132" s="121"/>
      <c r="FH132" s="121"/>
      <c r="FI132" s="121"/>
      <c r="FJ132" s="121"/>
      <c r="FK132" s="121"/>
      <c r="FL132" s="121"/>
      <c r="FM132" s="121"/>
      <c r="FN132" s="121"/>
      <c r="FO132" s="121"/>
      <c r="FP132" s="121"/>
      <c r="FQ132" s="121"/>
      <c r="FR132" s="121"/>
      <c r="FS132" s="121"/>
      <c r="FT132" s="121"/>
      <c r="FU132" s="121"/>
      <c r="FV132" s="121"/>
      <c r="FW132" s="121"/>
      <c r="FX132" s="121"/>
      <c r="FY132" s="121"/>
      <c r="FZ132" s="121"/>
      <c r="GA132" s="121"/>
      <c r="GB132" s="121"/>
      <c r="GC132" s="121"/>
      <c r="GD132" s="121"/>
      <c r="GE132" s="121"/>
      <c r="GF132" s="121"/>
      <c r="GG132" s="121"/>
      <c r="GH132" s="121"/>
    </row>
    <row r="133" spans="1:190">
      <c r="A133" s="121"/>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c r="AE133" s="121"/>
      <c r="AF133" s="121"/>
      <c r="AG133" s="121"/>
      <c r="AH133" s="121"/>
      <c r="AI133" s="121"/>
      <c r="AJ133" s="121"/>
      <c r="AK133" s="121"/>
      <c r="AL133" s="121"/>
      <c r="AM133" s="121"/>
      <c r="AN133" s="121"/>
      <c r="AO133" s="121"/>
      <c r="AP133" s="121"/>
      <c r="AQ133" s="121"/>
      <c r="AR133" s="121"/>
      <c r="AS133" s="121"/>
      <c r="AT133" s="121"/>
      <c r="AU133" s="121"/>
      <c r="AV133" s="121"/>
      <c r="AW133" s="121"/>
      <c r="AX133" s="121"/>
      <c r="AY133" s="121"/>
      <c r="AZ133" s="121"/>
      <c r="BA133" s="121"/>
      <c r="BB133" s="121"/>
      <c r="BC133" s="121"/>
      <c r="BD133" s="121"/>
      <c r="BE133" s="121"/>
      <c r="BF133" s="121"/>
      <c r="BG133" s="121"/>
      <c r="BH133" s="121"/>
      <c r="BI133" s="121"/>
      <c r="BJ133" s="121"/>
      <c r="BK133" s="121"/>
      <c r="BL133" s="121"/>
      <c r="BM133" s="121"/>
      <c r="BN133" s="121"/>
      <c r="BO133" s="121"/>
      <c r="BP133" s="121"/>
      <c r="BQ133" s="121"/>
      <c r="BR133" s="121"/>
      <c r="BS133" s="121"/>
      <c r="BT133" s="121"/>
      <c r="BU133" s="121"/>
      <c r="BV133" s="121"/>
      <c r="BW133" s="121"/>
      <c r="BX133" s="121"/>
      <c r="BY133" s="121"/>
      <c r="BZ133" s="121"/>
      <c r="CA133" s="121"/>
      <c r="CB133" s="121"/>
      <c r="CC133" s="121"/>
      <c r="CD133" s="121"/>
      <c r="CE133" s="121"/>
      <c r="CF133" s="121"/>
      <c r="CG133" s="121"/>
      <c r="CH133" s="121"/>
      <c r="CI133" s="121"/>
      <c r="CJ133" s="121"/>
      <c r="CK133" s="121"/>
      <c r="CL133" s="121"/>
      <c r="CM133" s="121"/>
      <c r="CN133" s="121"/>
      <c r="CO133" s="121"/>
      <c r="CP133" s="121"/>
      <c r="CQ133" s="121"/>
      <c r="CR133" s="121"/>
      <c r="CS133" s="121"/>
      <c r="CT133" s="121"/>
      <c r="CU133" s="121"/>
      <c r="CV133" s="121"/>
      <c r="CW133" s="121"/>
      <c r="CX133" s="121"/>
      <c r="CY133" s="121"/>
      <c r="CZ133" s="121"/>
      <c r="DA133" s="121"/>
      <c r="DB133" s="121"/>
      <c r="DC133" s="121"/>
      <c r="DD133" s="121"/>
      <c r="DE133" s="121"/>
      <c r="DF133" s="121"/>
      <c r="DG133" s="121"/>
      <c r="DH133" s="121"/>
      <c r="DI133" s="121"/>
      <c r="DJ133" s="121"/>
      <c r="DK133" s="121"/>
      <c r="DL133" s="121"/>
      <c r="DM133" s="121"/>
      <c r="DN133" s="121"/>
      <c r="DO133" s="121"/>
      <c r="DP133" s="121"/>
      <c r="DQ133" s="121"/>
      <c r="DR133" s="121"/>
      <c r="DS133" s="121"/>
      <c r="DT133" s="121"/>
      <c r="DU133" s="121"/>
      <c r="DV133" s="121"/>
      <c r="DW133" s="121"/>
      <c r="DX133" s="121"/>
      <c r="DY133" s="121"/>
      <c r="DZ133" s="121"/>
      <c r="EA133" s="121"/>
      <c r="EB133" s="121"/>
      <c r="EC133" s="121"/>
      <c r="ED133" s="121"/>
      <c r="EE133" s="121"/>
      <c r="EF133" s="121"/>
      <c r="EG133" s="121"/>
      <c r="EH133" s="121"/>
      <c r="EI133" s="121"/>
      <c r="EJ133" s="121"/>
      <c r="EK133" s="121"/>
      <c r="EL133" s="121"/>
      <c r="EM133" s="121"/>
      <c r="EN133" s="121"/>
      <c r="EO133" s="121"/>
      <c r="EP133" s="121"/>
      <c r="EQ133" s="121"/>
      <c r="ER133" s="121"/>
      <c r="ES133" s="121"/>
      <c r="ET133" s="121"/>
      <c r="EU133" s="121"/>
      <c r="EV133" s="121"/>
      <c r="EW133" s="121"/>
      <c r="EX133" s="121"/>
      <c r="EY133" s="121"/>
      <c r="EZ133" s="121"/>
      <c r="FA133" s="121"/>
      <c r="FB133" s="121"/>
      <c r="FC133" s="121"/>
      <c r="FD133" s="121"/>
      <c r="FE133" s="121"/>
      <c r="FF133" s="121"/>
      <c r="FG133" s="121"/>
      <c r="FH133" s="121"/>
      <c r="FI133" s="121"/>
      <c r="FJ133" s="121"/>
      <c r="FK133" s="121"/>
      <c r="FL133" s="121"/>
      <c r="FM133" s="121"/>
      <c r="FN133" s="121"/>
      <c r="FO133" s="121"/>
      <c r="FP133" s="121"/>
      <c r="FQ133" s="121"/>
      <c r="FR133" s="121"/>
      <c r="FS133" s="121"/>
      <c r="FT133" s="121"/>
      <c r="FU133" s="121"/>
      <c r="FV133" s="121"/>
      <c r="FW133" s="121"/>
      <c r="FX133" s="121"/>
      <c r="FY133" s="121"/>
      <c r="FZ133" s="121"/>
      <c r="GA133" s="121"/>
      <c r="GB133" s="121"/>
      <c r="GC133" s="121"/>
      <c r="GD133" s="121"/>
      <c r="GE133" s="121"/>
      <c r="GF133" s="121"/>
      <c r="GG133" s="121"/>
      <c r="GH133" s="121"/>
    </row>
    <row r="134" spans="1:190">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c r="AF134" s="121"/>
      <c r="AG134" s="121"/>
      <c r="AH134" s="121"/>
      <c r="AI134" s="121"/>
      <c r="AJ134" s="121"/>
      <c r="AK134" s="121"/>
      <c r="AL134" s="121"/>
      <c r="AM134" s="121"/>
      <c r="AN134" s="121"/>
      <c r="AO134" s="121"/>
      <c r="AP134" s="121"/>
      <c r="AQ134" s="121"/>
      <c r="AR134" s="121"/>
      <c r="AS134" s="121"/>
      <c r="AT134" s="121"/>
      <c r="AU134" s="121"/>
      <c r="AV134" s="121"/>
      <c r="AW134" s="121"/>
      <c r="AX134" s="121"/>
      <c r="AY134" s="121"/>
      <c r="AZ134" s="121"/>
      <c r="BA134" s="121"/>
      <c r="BB134" s="121"/>
      <c r="BC134" s="121"/>
      <c r="BD134" s="121"/>
      <c r="BE134" s="121"/>
      <c r="BF134" s="121"/>
      <c r="BG134" s="121"/>
      <c r="BH134" s="121"/>
      <c r="BI134" s="121"/>
      <c r="BJ134" s="121"/>
      <c r="BK134" s="121"/>
      <c r="BL134" s="121"/>
      <c r="BM134" s="121"/>
      <c r="BN134" s="121"/>
      <c r="BO134" s="121"/>
      <c r="BP134" s="121"/>
      <c r="BQ134" s="121"/>
      <c r="BR134" s="121"/>
      <c r="BS134" s="121"/>
      <c r="BT134" s="121"/>
      <c r="BU134" s="121"/>
      <c r="BV134" s="121"/>
      <c r="BW134" s="121"/>
      <c r="BX134" s="121"/>
      <c r="BY134" s="121"/>
      <c r="BZ134" s="121"/>
      <c r="CA134" s="121"/>
      <c r="CB134" s="121"/>
      <c r="CC134" s="121"/>
      <c r="CD134" s="121"/>
      <c r="CE134" s="121"/>
      <c r="CF134" s="121"/>
      <c r="CG134" s="121"/>
      <c r="CH134" s="121"/>
      <c r="CI134" s="121"/>
      <c r="CJ134" s="121"/>
      <c r="CK134" s="121"/>
      <c r="CL134" s="121"/>
      <c r="CM134" s="121"/>
      <c r="CN134" s="121"/>
      <c r="CO134" s="121"/>
      <c r="CP134" s="121"/>
      <c r="CQ134" s="121"/>
      <c r="CR134" s="121"/>
      <c r="CS134" s="121"/>
      <c r="CT134" s="121"/>
      <c r="CU134" s="121"/>
      <c r="CV134" s="121"/>
      <c r="CW134" s="121"/>
      <c r="CX134" s="121"/>
      <c r="CY134" s="121"/>
      <c r="CZ134" s="121"/>
      <c r="DA134" s="121"/>
      <c r="DB134" s="121"/>
      <c r="DC134" s="121"/>
      <c r="DD134" s="121"/>
      <c r="DE134" s="121"/>
      <c r="DF134" s="121"/>
      <c r="DG134" s="121"/>
      <c r="DH134" s="121"/>
      <c r="DI134" s="121"/>
      <c r="DJ134" s="121"/>
      <c r="DK134" s="121"/>
      <c r="DL134" s="121"/>
      <c r="DM134" s="121"/>
      <c r="DN134" s="121"/>
      <c r="DO134" s="121"/>
      <c r="DP134" s="121"/>
      <c r="DQ134" s="121"/>
      <c r="DR134" s="121"/>
      <c r="DS134" s="121"/>
      <c r="DT134" s="121"/>
      <c r="DU134" s="121"/>
      <c r="DV134" s="121"/>
      <c r="DW134" s="121"/>
      <c r="DX134" s="121"/>
      <c r="DY134" s="121"/>
      <c r="DZ134" s="121"/>
      <c r="EA134" s="121"/>
      <c r="EB134" s="121"/>
      <c r="EC134" s="121"/>
      <c r="ED134" s="121"/>
      <c r="EE134" s="121"/>
      <c r="EF134" s="121"/>
      <c r="EG134" s="121"/>
      <c r="EH134" s="121"/>
      <c r="EI134" s="121"/>
      <c r="EJ134" s="121"/>
      <c r="EK134" s="121"/>
      <c r="EL134" s="121"/>
      <c r="EM134" s="121"/>
      <c r="EN134" s="121"/>
      <c r="EO134" s="121"/>
      <c r="EP134" s="121"/>
      <c r="EQ134" s="121"/>
      <c r="ER134" s="121"/>
      <c r="ES134" s="121"/>
      <c r="ET134" s="121"/>
      <c r="EU134" s="121"/>
      <c r="EV134" s="121"/>
      <c r="EW134" s="121"/>
      <c r="EX134" s="121"/>
      <c r="EY134" s="121"/>
      <c r="EZ134" s="121"/>
      <c r="FA134" s="121"/>
      <c r="FB134" s="121"/>
      <c r="FC134" s="121"/>
      <c r="FD134" s="121"/>
      <c r="FE134" s="121"/>
      <c r="FF134" s="121"/>
      <c r="FG134" s="121"/>
      <c r="FH134" s="121"/>
      <c r="FI134" s="121"/>
      <c r="FJ134" s="121"/>
      <c r="FK134" s="121"/>
      <c r="FL134" s="121"/>
      <c r="FM134" s="121"/>
      <c r="FN134" s="121"/>
      <c r="FO134" s="121"/>
      <c r="FP134" s="121"/>
      <c r="FQ134" s="121"/>
      <c r="FR134" s="121"/>
      <c r="FS134" s="121"/>
      <c r="FT134" s="121"/>
      <c r="FU134" s="121"/>
      <c r="FV134" s="121"/>
      <c r="FW134" s="121"/>
      <c r="FX134" s="121"/>
      <c r="FY134" s="121"/>
      <c r="FZ134" s="121"/>
      <c r="GA134" s="121"/>
      <c r="GB134" s="121"/>
      <c r="GC134" s="121"/>
      <c r="GD134" s="121"/>
      <c r="GE134" s="121"/>
      <c r="GF134" s="121"/>
      <c r="GG134" s="121"/>
      <c r="GH134" s="121"/>
    </row>
    <row r="135" spans="1:190">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c r="AE135" s="121"/>
      <c r="AF135" s="121"/>
      <c r="AG135" s="121"/>
      <c r="AH135" s="121"/>
      <c r="AI135" s="121"/>
      <c r="AJ135" s="121"/>
      <c r="AK135" s="121"/>
      <c r="AL135" s="121"/>
      <c r="AM135" s="121"/>
      <c r="AN135" s="121"/>
      <c r="AO135" s="121"/>
      <c r="AP135" s="121"/>
      <c r="AQ135" s="121"/>
      <c r="AR135" s="121"/>
      <c r="AS135" s="121"/>
      <c r="AT135" s="121"/>
      <c r="AU135" s="121"/>
      <c r="AV135" s="121"/>
      <c r="AW135" s="121"/>
      <c r="AX135" s="121"/>
      <c r="AY135" s="121"/>
      <c r="AZ135" s="121"/>
      <c r="BA135" s="121"/>
      <c r="BB135" s="121"/>
      <c r="BC135" s="121"/>
      <c r="BD135" s="121"/>
      <c r="BE135" s="121"/>
      <c r="BF135" s="121"/>
      <c r="BG135" s="121"/>
      <c r="BH135" s="121"/>
      <c r="BI135" s="121"/>
      <c r="BJ135" s="121"/>
      <c r="BK135" s="121"/>
      <c r="BL135" s="121"/>
      <c r="BM135" s="121"/>
      <c r="BN135" s="121"/>
      <c r="BO135" s="121"/>
      <c r="BP135" s="121"/>
      <c r="BQ135" s="121"/>
      <c r="BR135" s="121"/>
      <c r="BS135" s="121"/>
      <c r="BT135" s="121"/>
      <c r="BU135" s="121"/>
      <c r="BV135" s="121"/>
      <c r="BW135" s="121"/>
      <c r="BX135" s="121"/>
      <c r="BY135" s="121"/>
      <c r="BZ135" s="121"/>
      <c r="CA135" s="121"/>
      <c r="CB135" s="121"/>
      <c r="CC135" s="121"/>
      <c r="CD135" s="121"/>
      <c r="CE135" s="121"/>
      <c r="CF135" s="121"/>
      <c r="CG135" s="121"/>
      <c r="CH135" s="121"/>
      <c r="CI135" s="121"/>
      <c r="CJ135" s="121"/>
      <c r="CK135" s="121"/>
      <c r="CL135" s="121"/>
      <c r="CM135" s="121"/>
      <c r="CN135" s="121"/>
      <c r="CO135" s="121"/>
      <c r="CP135" s="121"/>
      <c r="CQ135" s="121"/>
      <c r="CR135" s="121"/>
      <c r="CS135" s="121"/>
      <c r="CT135" s="121"/>
      <c r="CU135" s="121"/>
      <c r="CV135" s="121"/>
      <c r="CW135" s="121"/>
      <c r="CX135" s="121"/>
      <c r="CY135" s="121"/>
      <c r="CZ135" s="121"/>
      <c r="DA135" s="121"/>
      <c r="DB135" s="121"/>
      <c r="DC135" s="121"/>
      <c r="DD135" s="121"/>
      <c r="DE135" s="121"/>
      <c r="DF135" s="121"/>
      <c r="DG135" s="121"/>
      <c r="DH135" s="121"/>
      <c r="DI135" s="121"/>
      <c r="DJ135" s="121"/>
      <c r="DK135" s="121"/>
      <c r="DL135" s="121"/>
      <c r="DM135" s="121"/>
      <c r="DN135" s="121"/>
      <c r="DO135" s="121"/>
      <c r="DP135" s="121"/>
      <c r="DQ135" s="121"/>
      <c r="DR135" s="121"/>
      <c r="DS135" s="121"/>
      <c r="DT135" s="121"/>
      <c r="DU135" s="121"/>
      <c r="DV135" s="121"/>
      <c r="DW135" s="121"/>
      <c r="DX135" s="121"/>
      <c r="DY135" s="121"/>
      <c r="DZ135" s="121"/>
      <c r="EA135" s="121"/>
      <c r="EB135" s="121"/>
      <c r="EC135" s="121"/>
      <c r="ED135" s="121"/>
      <c r="EE135" s="121"/>
      <c r="EF135" s="121"/>
      <c r="EG135" s="121"/>
      <c r="EH135" s="121"/>
      <c r="EI135" s="121"/>
      <c r="EJ135" s="121"/>
      <c r="EK135" s="121"/>
      <c r="EL135" s="121"/>
      <c r="EM135" s="121"/>
      <c r="EN135" s="121"/>
      <c r="EO135" s="121"/>
      <c r="EP135" s="121"/>
      <c r="EQ135" s="121"/>
      <c r="ER135" s="121"/>
      <c r="ES135" s="121"/>
      <c r="ET135" s="121"/>
      <c r="EU135" s="121"/>
      <c r="EV135" s="121"/>
      <c r="EW135" s="121"/>
      <c r="EX135" s="121"/>
      <c r="EY135" s="121"/>
      <c r="EZ135" s="121"/>
      <c r="FA135" s="121"/>
      <c r="FB135" s="121"/>
      <c r="FC135" s="121"/>
      <c r="FD135" s="121"/>
      <c r="FE135" s="121"/>
      <c r="FF135" s="121"/>
      <c r="FG135" s="121"/>
      <c r="FH135" s="121"/>
      <c r="FI135" s="121"/>
      <c r="FJ135" s="121"/>
      <c r="FK135" s="121"/>
      <c r="FL135" s="121"/>
      <c r="FM135" s="121"/>
      <c r="FN135" s="121"/>
      <c r="FO135" s="121"/>
      <c r="FP135" s="121"/>
      <c r="FQ135" s="121"/>
      <c r="FR135" s="121"/>
      <c r="FS135" s="121"/>
      <c r="FT135" s="121"/>
      <c r="FU135" s="121"/>
      <c r="FV135" s="121"/>
      <c r="FW135" s="121"/>
      <c r="FX135" s="121"/>
      <c r="FY135" s="121"/>
      <c r="FZ135" s="121"/>
      <c r="GA135" s="121"/>
      <c r="GB135" s="121"/>
      <c r="GC135" s="121"/>
      <c r="GD135" s="121"/>
      <c r="GE135" s="121"/>
      <c r="GF135" s="121"/>
      <c r="GG135" s="121"/>
      <c r="GH135" s="121"/>
    </row>
    <row r="136" spans="1:190">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c r="AD136" s="121"/>
      <c r="AE136" s="121"/>
      <c r="AF136" s="121"/>
      <c r="AG136" s="121"/>
      <c r="AH136" s="121"/>
      <c r="AI136" s="121"/>
      <c r="AJ136" s="121"/>
      <c r="AK136" s="121"/>
      <c r="AL136" s="121"/>
      <c r="AM136" s="121"/>
      <c r="AN136" s="121"/>
      <c r="AO136" s="121"/>
      <c r="AP136" s="121"/>
      <c r="AQ136" s="121"/>
      <c r="AR136" s="121"/>
      <c r="AS136" s="121"/>
      <c r="AT136" s="121"/>
      <c r="AU136" s="121"/>
      <c r="AV136" s="121"/>
      <c r="AW136" s="121"/>
      <c r="AX136" s="121"/>
      <c r="AY136" s="121"/>
      <c r="AZ136" s="121"/>
      <c r="BA136" s="121"/>
      <c r="BB136" s="121"/>
      <c r="BC136" s="121"/>
      <c r="BD136" s="121"/>
      <c r="BE136" s="121"/>
      <c r="BF136" s="121"/>
      <c r="BG136" s="121"/>
      <c r="BH136" s="121"/>
      <c r="BI136" s="121"/>
      <c r="BJ136" s="121"/>
      <c r="BK136" s="121"/>
      <c r="BL136" s="121"/>
      <c r="BM136" s="121"/>
      <c r="BN136" s="121"/>
      <c r="BO136" s="121"/>
      <c r="BP136" s="121"/>
      <c r="BQ136" s="121"/>
      <c r="BR136" s="121"/>
      <c r="BS136" s="121"/>
      <c r="BT136" s="121"/>
      <c r="BU136" s="121"/>
      <c r="BV136" s="121"/>
      <c r="BW136" s="121"/>
      <c r="BX136" s="121"/>
      <c r="BY136" s="121"/>
      <c r="BZ136" s="121"/>
      <c r="CA136" s="121"/>
      <c r="CB136" s="121"/>
      <c r="CC136" s="121"/>
      <c r="CD136" s="121"/>
      <c r="CE136" s="121"/>
      <c r="CF136" s="121"/>
      <c r="CG136" s="121"/>
      <c r="CH136" s="121"/>
      <c r="CI136" s="121"/>
      <c r="CJ136" s="121"/>
      <c r="CK136" s="121"/>
      <c r="CL136" s="121"/>
      <c r="CM136" s="121"/>
      <c r="CN136" s="121"/>
      <c r="CO136" s="121"/>
      <c r="CP136" s="121"/>
      <c r="CQ136" s="121"/>
      <c r="CR136" s="121"/>
      <c r="CS136" s="121"/>
      <c r="CT136" s="121"/>
      <c r="CU136" s="121"/>
      <c r="CV136" s="121"/>
      <c r="CW136" s="121"/>
      <c r="CX136" s="121"/>
      <c r="CY136" s="121"/>
      <c r="CZ136" s="121"/>
      <c r="DA136" s="121"/>
      <c r="DB136" s="121"/>
      <c r="DC136" s="121"/>
      <c r="DD136" s="121"/>
      <c r="DE136" s="121"/>
      <c r="DF136" s="121"/>
      <c r="DG136" s="121"/>
      <c r="DH136" s="121"/>
      <c r="DI136" s="121"/>
      <c r="DJ136" s="121"/>
      <c r="DK136" s="121"/>
      <c r="DL136" s="121"/>
      <c r="DM136" s="121"/>
      <c r="DN136" s="121"/>
      <c r="DO136" s="121"/>
      <c r="DP136" s="121"/>
      <c r="DQ136" s="121"/>
      <c r="DR136" s="121"/>
      <c r="DS136" s="121"/>
      <c r="DT136" s="121"/>
      <c r="DU136" s="121"/>
      <c r="DV136" s="121"/>
      <c r="DW136" s="121"/>
      <c r="DX136" s="121"/>
      <c r="DY136" s="121"/>
      <c r="DZ136" s="121"/>
      <c r="EA136" s="121"/>
      <c r="EB136" s="121"/>
      <c r="EC136" s="121"/>
      <c r="ED136" s="121"/>
      <c r="EE136" s="121"/>
      <c r="EF136" s="121"/>
      <c r="EG136" s="121"/>
      <c r="EH136" s="121"/>
      <c r="EI136" s="121"/>
      <c r="EJ136" s="121"/>
      <c r="EK136" s="121"/>
      <c r="EL136" s="121"/>
      <c r="EM136" s="121"/>
      <c r="EN136" s="121"/>
      <c r="EO136" s="121"/>
      <c r="EP136" s="121"/>
      <c r="EQ136" s="121"/>
      <c r="ER136" s="121"/>
      <c r="ES136" s="121"/>
      <c r="ET136" s="121"/>
      <c r="EU136" s="121"/>
      <c r="EV136" s="121"/>
      <c r="EW136" s="121"/>
      <c r="EX136" s="121"/>
      <c r="EY136" s="121"/>
      <c r="EZ136" s="121"/>
      <c r="FA136" s="121"/>
      <c r="FB136" s="121"/>
      <c r="FC136" s="121"/>
      <c r="FD136" s="121"/>
      <c r="FE136" s="121"/>
      <c r="FF136" s="121"/>
      <c r="FG136" s="121"/>
      <c r="FH136" s="121"/>
      <c r="FI136" s="121"/>
      <c r="FJ136" s="121"/>
      <c r="FK136" s="121"/>
      <c r="FL136" s="121"/>
      <c r="FM136" s="121"/>
      <c r="FN136" s="121"/>
      <c r="FO136" s="121"/>
      <c r="FP136" s="121"/>
      <c r="FQ136" s="121"/>
      <c r="FR136" s="121"/>
      <c r="FS136" s="121"/>
      <c r="FT136" s="121"/>
      <c r="FU136" s="121"/>
      <c r="FV136" s="121"/>
      <c r="FW136" s="121"/>
      <c r="FX136" s="121"/>
      <c r="FY136" s="121"/>
      <c r="FZ136" s="121"/>
      <c r="GA136" s="121"/>
      <c r="GB136" s="121"/>
      <c r="GC136" s="121"/>
      <c r="GD136" s="121"/>
      <c r="GE136" s="121"/>
      <c r="GF136" s="121"/>
      <c r="GG136" s="121"/>
      <c r="GH136" s="121"/>
    </row>
    <row r="137" spans="1:190">
      <c r="A137" s="121"/>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c r="AE137" s="121"/>
      <c r="AF137" s="121"/>
      <c r="AG137" s="121"/>
      <c r="AH137" s="121"/>
      <c r="AI137" s="121"/>
      <c r="AJ137" s="121"/>
      <c r="AK137" s="121"/>
      <c r="AL137" s="121"/>
      <c r="AM137" s="121"/>
      <c r="AN137" s="121"/>
      <c r="AO137" s="121"/>
      <c r="AP137" s="121"/>
      <c r="AQ137" s="121"/>
      <c r="AR137" s="121"/>
      <c r="AS137" s="121"/>
      <c r="AT137" s="121"/>
      <c r="AU137" s="121"/>
      <c r="AV137" s="121"/>
      <c r="AW137" s="121"/>
      <c r="AX137" s="121"/>
      <c r="AY137" s="121"/>
      <c r="AZ137" s="121"/>
      <c r="BA137" s="121"/>
      <c r="BB137" s="121"/>
      <c r="BC137" s="121"/>
      <c r="BD137" s="121"/>
      <c r="BE137" s="121"/>
      <c r="BF137" s="121"/>
      <c r="BG137" s="121"/>
      <c r="BH137" s="121"/>
      <c r="BI137" s="121"/>
      <c r="BJ137" s="121"/>
      <c r="BK137" s="121"/>
      <c r="BL137" s="121"/>
      <c r="BM137" s="121"/>
      <c r="BN137" s="121"/>
      <c r="BO137" s="121"/>
      <c r="BP137" s="121"/>
      <c r="BQ137" s="121"/>
      <c r="BR137" s="121"/>
      <c r="BS137" s="121"/>
      <c r="BT137" s="121"/>
      <c r="BU137" s="121"/>
      <c r="BV137" s="121"/>
      <c r="BW137" s="121"/>
      <c r="BX137" s="121"/>
      <c r="BY137" s="121"/>
      <c r="BZ137" s="121"/>
      <c r="CA137" s="121"/>
      <c r="CB137" s="121"/>
      <c r="CC137" s="121"/>
      <c r="CD137" s="121"/>
      <c r="CE137" s="121"/>
      <c r="CF137" s="121"/>
      <c r="CG137" s="121"/>
      <c r="CH137" s="121"/>
      <c r="CI137" s="121"/>
      <c r="CJ137" s="121"/>
      <c r="CK137" s="121"/>
      <c r="CL137" s="121"/>
      <c r="CM137" s="121"/>
      <c r="CN137" s="121"/>
      <c r="CO137" s="121"/>
      <c r="CP137" s="121"/>
      <c r="CQ137" s="121"/>
      <c r="CR137" s="121"/>
      <c r="CS137" s="121"/>
      <c r="CT137" s="121"/>
      <c r="CU137" s="121"/>
      <c r="CV137" s="121"/>
      <c r="CW137" s="121"/>
      <c r="CX137" s="121"/>
      <c r="CY137" s="121"/>
      <c r="CZ137" s="121"/>
      <c r="DA137" s="121"/>
      <c r="DB137" s="121"/>
      <c r="DC137" s="121"/>
      <c r="DD137" s="121"/>
      <c r="DE137" s="121"/>
      <c r="DF137" s="121"/>
      <c r="DG137" s="121"/>
      <c r="DH137" s="121"/>
      <c r="DI137" s="121"/>
      <c r="DJ137" s="121"/>
      <c r="DK137" s="121"/>
      <c r="DL137" s="121"/>
      <c r="DM137" s="121"/>
      <c r="DN137" s="121"/>
      <c r="DO137" s="121"/>
      <c r="DP137" s="121"/>
      <c r="DQ137" s="121"/>
      <c r="DR137" s="121"/>
      <c r="DS137" s="121"/>
      <c r="DT137" s="121"/>
      <c r="DU137" s="121"/>
      <c r="DV137" s="121"/>
      <c r="DW137" s="121"/>
      <c r="DX137" s="121"/>
      <c r="DY137" s="121"/>
      <c r="DZ137" s="121"/>
      <c r="EA137" s="121"/>
      <c r="EB137" s="121"/>
      <c r="EC137" s="121"/>
      <c r="ED137" s="121"/>
      <c r="EE137" s="121"/>
      <c r="EF137" s="121"/>
      <c r="EG137" s="121"/>
      <c r="EH137" s="121"/>
      <c r="EI137" s="121"/>
      <c r="EJ137" s="121"/>
      <c r="EK137" s="121"/>
      <c r="EL137" s="121"/>
      <c r="EM137" s="121"/>
      <c r="EN137" s="121"/>
      <c r="EO137" s="121"/>
      <c r="EP137" s="121"/>
      <c r="EQ137" s="121"/>
      <c r="ER137" s="121"/>
      <c r="ES137" s="121"/>
      <c r="ET137" s="121"/>
      <c r="EU137" s="121"/>
      <c r="EV137" s="121"/>
      <c r="EW137" s="121"/>
      <c r="EX137" s="121"/>
      <c r="EY137" s="121"/>
      <c r="EZ137" s="121"/>
      <c r="FA137" s="121"/>
      <c r="FB137" s="121"/>
      <c r="FC137" s="121"/>
      <c r="FD137" s="121"/>
      <c r="FE137" s="121"/>
      <c r="FF137" s="121"/>
      <c r="FG137" s="121"/>
      <c r="FH137" s="121"/>
      <c r="FI137" s="121"/>
      <c r="FJ137" s="121"/>
      <c r="FK137" s="121"/>
      <c r="FL137" s="121"/>
      <c r="FM137" s="121"/>
      <c r="FN137" s="121"/>
      <c r="FO137" s="121"/>
      <c r="FP137" s="121"/>
      <c r="FQ137" s="121"/>
      <c r="FR137" s="121"/>
      <c r="FS137" s="121"/>
      <c r="FT137" s="121"/>
      <c r="FU137" s="121"/>
      <c r="FV137" s="121"/>
      <c r="FW137" s="121"/>
      <c r="FX137" s="121"/>
      <c r="FY137" s="121"/>
      <c r="FZ137" s="121"/>
      <c r="GA137" s="121"/>
      <c r="GB137" s="121"/>
      <c r="GC137" s="121"/>
      <c r="GD137" s="121"/>
      <c r="GE137" s="121"/>
      <c r="GF137" s="121"/>
      <c r="GG137" s="121"/>
      <c r="GH137" s="121"/>
    </row>
    <row r="138" spans="1:190">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c r="AE138" s="121"/>
      <c r="AF138" s="121"/>
      <c r="AG138" s="121"/>
      <c r="AH138" s="121"/>
      <c r="AI138" s="121"/>
      <c r="AJ138" s="121"/>
      <c r="AK138" s="121"/>
      <c r="AL138" s="121"/>
      <c r="AM138" s="121"/>
      <c r="AN138" s="121"/>
      <c r="AO138" s="121"/>
      <c r="AP138" s="121"/>
      <c r="AQ138" s="121"/>
      <c r="AR138" s="121"/>
      <c r="AS138" s="121"/>
      <c r="AT138" s="121"/>
      <c r="AU138" s="121"/>
      <c r="AV138" s="121"/>
      <c r="AW138" s="121"/>
      <c r="AX138" s="121"/>
      <c r="AY138" s="121"/>
      <c r="AZ138" s="121"/>
      <c r="BA138" s="121"/>
      <c r="BB138" s="121"/>
      <c r="BC138" s="121"/>
      <c r="BD138" s="121"/>
      <c r="BE138" s="121"/>
      <c r="BF138" s="121"/>
      <c r="BG138" s="121"/>
      <c r="BH138" s="121"/>
      <c r="BI138" s="121"/>
      <c r="BJ138" s="121"/>
      <c r="BK138" s="121"/>
      <c r="BL138" s="121"/>
      <c r="BM138" s="121"/>
      <c r="BN138" s="121"/>
      <c r="BO138" s="121"/>
      <c r="BP138" s="121"/>
      <c r="BQ138" s="121"/>
      <c r="BR138" s="121"/>
      <c r="BS138" s="121"/>
      <c r="BT138" s="121"/>
      <c r="BU138" s="121"/>
      <c r="BV138" s="121"/>
      <c r="BW138" s="121"/>
      <c r="BX138" s="121"/>
      <c r="BY138" s="121"/>
      <c r="BZ138" s="121"/>
      <c r="CA138" s="121"/>
      <c r="CB138" s="121"/>
      <c r="CC138" s="121"/>
      <c r="CD138" s="121"/>
      <c r="CE138" s="121"/>
      <c r="CF138" s="121"/>
      <c r="CG138" s="121"/>
      <c r="CH138" s="121"/>
      <c r="CI138" s="121"/>
      <c r="CJ138" s="121"/>
      <c r="CK138" s="121"/>
      <c r="CL138" s="121"/>
      <c r="CM138" s="121"/>
      <c r="CN138" s="121"/>
      <c r="CO138" s="121"/>
      <c r="CP138" s="121"/>
      <c r="CQ138" s="121"/>
      <c r="CR138" s="121"/>
      <c r="CS138" s="121"/>
      <c r="CT138" s="121"/>
      <c r="CU138" s="121"/>
      <c r="CV138" s="121"/>
      <c r="CW138" s="121"/>
      <c r="CX138" s="121"/>
      <c r="CY138" s="121"/>
      <c r="CZ138" s="121"/>
      <c r="DA138" s="121"/>
      <c r="DB138" s="121"/>
      <c r="DC138" s="121"/>
      <c r="DD138" s="121"/>
      <c r="DE138" s="121"/>
      <c r="DF138" s="121"/>
      <c r="DG138" s="121"/>
      <c r="DH138" s="121"/>
      <c r="DI138" s="121"/>
      <c r="DJ138" s="121"/>
      <c r="DK138" s="121"/>
      <c r="DL138" s="121"/>
      <c r="DM138" s="121"/>
      <c r="DN138" s="121"/>
      <c r="DO138" s="121"/>
      <c r="DP138" s="121"/>
      <c r="DQ138" s="121"/>
      <c r="DR138" s="121"/>
      <c r="DS138" s="121"/>
      <c r="DT138" s="121"/>
      <c r="DU138" s="121"/>
      <c r="DV138" s="121"/>
      <c r="DW138" s="121"/>
      <c r="DX138" s="121"/>
      <c r="DY138" s="121"/>
      <c r="DZ138" s="121"/>
      <c r="EA138" s="121"/>
      <c r="EB138" s="121"/>
      <c r="EC138" s="121"/>
      <c r="ED138" s="121"/>
      <c r="EE138" s="121"/>
      <c r="EF138" s="121"/>
      <c r="EG138" s="121"/>
      <c r="EH138" s="121"/>
      <c r="EI138" s="121"/>
      <c r="EJ138" s="121"/>
      <c r="EK138" s="121"/>
      <c r="EL138" s="121"/>
      <c r="EM138" s="121"/>
      <c r="EN138" s="121"/>
      <c r="EO138" s="121"/>
      <c r="EP138" s="121"/>
      <c r="EQ138" s="121"/>
      <c r="ER138" s="121"/>
      <c r="ES138" s="121"/>
      <c r="ET138" s="121"/>
      <c r="EU138" s="121"/>
      <c r="EV138" s="121"/>
      <c r="EW138" s="121"/>
      <c r="EX138" s="121"/>
      <c r="EY138" s="121"/>
      <c r="EZ138" s="121"/>
      <c r="FA138" s="121"/>
      <c r="FB138" s="121"/>
      <c r="FC138" s="121"/>
      <c r="FD138" s="121"/>
      <c r="FE138" s="121"/>
      <c r="FF138" s="121"/>
      <c r="FG138" s="121"/>
      <c r="FH138" s="121"/>
      <c r="FI138" s="121"/>
      <c r="FJ138" s="121"/>
      <c r="FK138" s="121"/>
      <c r="FL138" s="121"/>
      <c r="FM138" s="121"/>
      <c r="FN138" s="121"/>
      <c r="FO138" s="121"/>
      <c r="FP138" s="121"/>
      <c r="FQ138" s="121"/>
      <c r="FR138" s="121"/>
      <c r="FS138" s="121"/>
      <c r="FT138" s="121"/>
      <c r="FU138" s="121"/>
      <c r="FV138" s="121"/>
      <c r="FW138" s="121"/>
      <c r="FX138" s="121"/>
      <c r="FY138" s="121"/>
      <c r="FZ138" s="121"/>
      <c r="GA138" s="121"/>
      <c r="GB138" s="121"/>
      <c r="GC138" s="121"/>
      <c r="GD138" s="121"/>
      <c r="GE138" s="121"/>
      <c r="GF138" s="121"/>
      <c r="GG138" s="121"/>
      <c r="GH138" s="121"/>
    </row>
    <row r="139" spans="1:190">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c r="AE139" s="121"/>
      <c r="AF139" s="121"/>
      <c r="AG139" s="121"/>
      <c r="AH139" s="121"/>
      <c r="AI139" s="121"/>
      <c r="AJ139" s="121"/>
      <c r="AK139" s="121"/>
      <c r="AL139" s="121"/>
      <c r="AM139" s="121"/>
      <c r="AN139" s="121"/>
      <c r="AO139" s="121"/>
      <c r="AP139" s="121"/>
      <c r="AQ139" s="121"/>
      <c r="AR139" s="121"/>
      <c r="AS139" s="121"/>
      <c r="AT139" s="121"/>
      <c r="AU139" s="121"/>
      <c r="AV139" s="121"/>
      <c r="AW139" s="121"/>
      <c r="AX139" s="121"/>
      <c r="AY139" s="121"/>
      <c r="AZ139" s="121"/>
      <c r="BA139" s="121"/>
      <c r="BB139" s="121"/>
      <c r="BC139" s="121"/>
      <c r="BD139" s="121"/>
      <c r="BE139" s="121"/>
      <c r="BF139" s="121"/>
      <c r="BG139" s="121"/>
      <c r="BH139" s="121"/>
      <c r="BI139" s="121"/>
      <c r="BJ139" s="121"/>
      <c r="BK139" s="121"/>
      <c r="BL139" s="121"/>
      <c r="BM139" s="121"/>
      <c r="BN139" s="121"/>
      <c r="BO139" s="121"/>
      <c r="BP139" s="121"/>
      <c r="BQ139" s="121"/>
      <c r="BR139" s="121"/>
      <c r="BS139" s="121"/>
      <c r="BT139" s="121"/>
      <c r="BU139" s="121"/>
      <c r="BV139" s="121"/>
      <c r="BW139" s="121"/>
      <c r="BX139" s="121"/>
      <c r="BY139" s="121"/>
      <c r="BZ139" s="121"/>
      <c r="CA139" s="121"/>
      <c r="CB139" s="121"/>
      <c r="CC139" s="121"/>
      <c r="CD139" s="121"/>
      <c r="CE139" s="121"/>
      <c r="CF139" s="121"/>
      <c r="CG139" s="121"/>
      <c r="CH139" s="121"/>
      <c r="CI139" s="121"/>
      <c r="CJ139" s="121"/>
      <c r="CK139" s="121"/>
      <c r="CL139" s="121"/>
      <c r="CM139" s="121"/>
      <c r="CN139" s="121"/>
      <c r="CO139" s="121"/>
      <c r="CP139" s="121"/>
      <c r="CQ139" s="121"/>
      <c r="CR139" s="121"/>
      <c r="CS139" s="121"/>
      <c r="CT139" s="121"/>
      <c r="CU139" s="121"/>
      <c r="CV139" s="121"/>
      <c r="CW139" s="121"/>
      <c r="CX139" s="121"/>
      <c r="CY139" s="121"/>
      <c r="CZ139" s="121"/>
      <c r="DA139" s="121"/>
      <c r="DB139" s="121"/>
      <c r="DC139" s="121"/>
      <c r="DD139" s="121"/>
      <c r="DE139" s="121"/>
      <c r="DF139" s="121"/>
      <c r="DG139" s="121"/>
      <c r="DH139" s="121"/>
      <c r="DI139" s="121"/>
      <c r="DJ139" s="121"/>
      <c r="DK139" s="121"/>
      <c r="DL139" s="121"/>
      <c r="DM139" s="121"/>
      <c r="DN139" s="121"/>
      <c r="DO139" s="121"/>
      <c r="DP139" s="121"/>
      <c r="DQ139" s="121"/>
      <c r="DR139" s="121"/>
      <c r="DS139" s="121"/>
      <c r="DT139" s="121"/>
      <c r="DU139" s="121"/>
      <c r="DV139" s="121"/>
      <c r="DW139" s="121"/>
      <c r="DX139" s="121"/>
      <c r="DY139" s="121"/>
      <c r="DZ139" s="121"/>
      <c r="EA139" s="121"/>
      <c r="EB139" s="121"/>
      <c r="EC139" s="121"/>
      <c r="ED139" s="121"/>
      <c r="EE139" s="121"/>
      <c r="EF139" s="121"/>
      <c r="EG139" s="121"/>
      <c r="EH139" s="121"/>
      <c r="EI139" s="121"/>
      <c r="EJ139" s="121"/>
      <c r="EK139" s="121"/>
      <c r="EL139" s="121"/>
      <c r="EM139" s="121"/>
      <c r="EN139" s="121"/>
      <c r="EO139" s="121"/>
      <c r="EP139" s="121"/>
      <c r="EQ139" s="121"/>
      <c r="ER139" s="121"/>
      <c r="ES139" s="121"/>
      <c r="ET139" s="121"/>
      <c r="EU139" s="121"/>
      <c r="EV139" s="121"/>
      <c r="EW139" s="121"/>
      <c r="EX139" s="121"/>
      <c r="EY139" s="121"/>
      <c r="EZ139" s="121"/>
      <c r="FA139" s="121"/>
      <c r="FB139" s="121"/>
      <c r="FC139" s="121"/>
      <c r="FD139" s="121"/>
      <c r="FE139" s="121"/>
      <c r="FF139" s="121"/>
      <c r="FG139" s="121"/>
      <c r="FH139" s="121"/>
      <c r="FI139" s="121"/>
      <c r="FJ139" s="121"/>
      <c r="FK139" s="121"/>
      <c r="FL139" s="121"/>
      <c r="FM139" s="121"/>
      <c r="FN139" s="121"/>
      <c r="FO139" s="121"/>
      <c r="FP139" s="121"/>
      <c r="FQ139" s="121"/>
      <c r="FR139" s="121"/>
      <c r="FS139" s="121"/>
      <c r="FT139" s="121"/>
      <c r="FU139" s="121"/>
      <c r="FV139" s="121"/>
      <c r="FW139" s="121"/>
      <c r="FX139" s="121"/>
      <c r="FY139" s="121"/>
      <c r="FZ139" s="121"/>
      <c r="GA139" s="121"/>
      <c r="GB139" s="121"/>
      <c r="GC139" s="121"/>
      <c r="GD139" s="121"/>
      <c r="GE139" s="121"/>
      <c r="GF139" s="121"/>
      <c r="GG139" s="121"/>
      <c r="GH139" s="121"/>
    </row>
    <row r="140" spans="1:190">
      <c r="A140" s="121"/>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c r="AE140" s="121"/>
      <c r="AF140" s="121"/>
      <c r="AG140" s="121"/>
      <c r="AH140" s="121"/>
      <c r="AI140" s="121"/>
      <c r="AJ140" s="121"/>
      <c r="AK140" s="121"/>
      <c r="AL140" s="121"/>
      <c r="AM140" s="121"/>
      <c r="AN140" s="121"/>
      <c r="AO140" s="121"/>
      <c r="AP140" s="121"/>
      <c r="AQ140" s="121"/>
      <c r="AR140" s="121"/>
      <c r="AS140" s="121"/>
      <c r="AT140" s="121"/>
      <c r="AU140" s="121"/>
      <c r="AV140" s="121"/>
      <c r="AW140" s="121"/>
      <c r="AX140" s="121"/>
      <c r="AY140" s="121"/>
      <c r="AZ140" s="121"/>
      <c r="BA140" s="121"/>
      <c r="BB140" s="121"/>
      <c r="BC140" s="121"/>
      <c r="BD140" s="121"/>
      <c r="BE140" s="121"/>
      <c r="BF140" s="121"/>
      <c r="BG140" s="121"/>
      <c r="BH140" s="121"/>
      <c r="BI140" s="121"/>
      <c r="BJ140" s="121"/>
      <c r="BK140" s="121"/>
      <c r="BL140" s="121"/>
      <c r="BM140" s="121"/>
      <c r="BN140" s="121"/>
      <c r="BO140" s="121"/>
      <c r="BP140" s="121"/>
      <c r="BQ140" s="121"/>
      <c r="BR140" s="121"/>
      <c r="BS140" s="121"/>
      <c r="BT140" s="121"/>
      <c r="BU140" s="121"/>
      <c r="BV140" s="121"/>
      <c r="BW140" s="121"/>
      <c r="BX140" s="121"/>
      <c r="BY140" s="121"/>
      <c r="BZ140" s="121"/>
      <c r="CA140" s="121"/>
      <c r="CB140" s="121"/>
      <c r="CC140" s="121"/>
      <c r="CD140" s="121"/>
      <c r="CE140" s="121"/>
      <c r="CF140" s="121"/>
      <c r="CG140" s="121"/>
      <c r="CH140" s="121"/>
      <c r="CI140" s="121"/>
      <c r="CJ140" s="121"/>
      <c r="CK140" s="121"/>
      <c r="CL140" s="121"/>
      <c r="CM140" s="121"/>
      <c r="CN140" s="121"/>
      <c r="CO140" s="121"/>
      <c r="CP140" s="121"/>
      <c r="CQ140" s="121"/>
      <c r="CR140" s="121"/>
      <c r="CS140" s="121"/>
      <c r="CT140" s="121"/>
      <c r="CU140" s="121"/>
      <c r="CV140" s="121"/>
      <c r="CW140" s="121"/>
      <c r="CX140" s="121"/>
      <c r="CY140" s="121"/>
      <c r="CZ140" s="121"/>
      <c r="DA140" s="121"/>
      <c r="DB140" s="121"/>
      <c r="DC140" s="121"/>
      <c r="DD140" s="121"/>
      <c r="DE140" s="121"/>
      <c r="DF140" s="121"/>
      <c r="DG140" s="121"/>
      <c r="DH140" s="121"/>
      <c r="DI140" s="121"/>
      <c r="DJ140" s="121"/>
      <c r="DK140" s="121"/>
      <c r="DL140" s="121"/>
      <c r="DM140" s="121"/>
      <c r="DN140" s="121"/>
      <c r="DO140" s="121"/>
      <c r="DP140" s="121"/>
      <c r="DQ140" s="121"/>
      <c r="DR140" s="121"/>
      <c r="DS140" s="121"/>
      <c r="DT140" s="121"/>
      <c r="DU140" s="121"/>
      <c r="DV140" s="121"/>
      <c r="DW140" s="121"/>
      <c r="DX140" s="121"/>
      <c r="DY140" s="121"/>
      <c r="DZ140" s="121"/>
      <c r="EA140" s="121"/>
      <c r="EB140" s="121"/>
      <c r="EC140" s="121"/>
      <c r="ED140" s="121"/>
      <c r="EE140" s="121"/>
      <c r="EF140" s="121"/>
      <c r="EG140" s="121"/>
      <c r="EH140" s="121"/>
      <c r="EI140" s="121"/>
      <c r="EJ140" s="121"/>
      <c r="EK140" s="121"/>
      <c r="EL140" s="121"/>
      <c r="EM140" s="121"/>
      <c r="EN140" s="121"/>
      <c r="EO140" s="121"/>
      <c r="EP140" s="121"/>
      <c r="EQ140" s="121"/>
      <c r="ER140" s="121"/>
      <c r="ES140" s="121"/>
      <c r="ET140" s="121"/>
      <c r="EU140" s="121"/>
      <c r="EV140" s="121"/>
      <c r="EW140" s="121"/>
      <c r="EX140" s="121"/>
      <c r="EY140" s="121"/>
      <c r="EZ140" s="121"/>
      <c r="FA140" s="121"/>
      <c r="FB140" s="121"/>
      <c r="FC140" s="121"/>
      <c r="FD140" s="121"/>
      <c r="FE140" s="121"/>
      <c r="FF140" s="121"/>
      <c r="FG140" s="121"/>
      <c r="FH140" s="121"/>
      <c r="FI140" s="121"/>
      <c r="FJ140" s="121"/>
      <c r="FK140" s="121"/>
      <c r="FL140" s="121"/>
      <c r="FM140" s="121"/>
      <c r="FN140" s="121"/>
      <c r="FO140" s="121"/>
      <c r="FP140" s="121"/>
      <c r="FQ140" s="121"/>
      <c r="FR140" s="121"/>
      <c r="FS140" s="121"/>
      <c r="FT140" s="121"/>
      <c r="FU140" s="121"/>
      <c r="FV140" s="121"/>
      <c r="FW140" s="121"/>
      <c r="FX140" s="121"/>
      <c r="FY140" s="121"/>
      <c r="FZ140" s="121"/>
      <c r="GA140" s="121"/>
      <c r="GB140" s="121"/>
      <c r="GC140" s="121"/>
      <c r="GD140" s="121"/>
      <c r="GE140" s="121"/>
      <c r="GF140" s="121"/>
      <c r="GG140" s="121"/>
      <c r="GH140" s="121"/>
    </row>
    <row r="141" spans="1:190">
      <c r="A141" s="121"/>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c r="AE141" s="121"/>
      <c r="AF141" s="121"/>
      <c r="AG141" s="121"/>
      <c r="AH141" s="121"/>
      <c r="AI141" s="121"/>
      <c r="AJ141" s="121"/>
      <c r="AK141" s="121"/>
      <c r="AL141" s="121"/>
      <c r="AM141" s="121"/>
      <c r="AN141" s="121"/>
      <c r="AO141" s="121"/>
      <c r="AP141" s="121"/>
      <c r="AQ141" s="121"/>
      <c r="AR141" s="121"/>
      <c r="AS141" s="121"/>
      <c r="AT141" s="121"/>
      <c r="AU141" s="121"/>
      <c r="AV141" s="121"/>
      <c r="AW141" s="121"/>
      <c r="AX141" s="121"/>
      <c r="AY141" s="121"/>
      <c r="AZ141" s="121"/>
      <c r="BA141" s="121"/>
      <c r="BB141" s="121"/>
      <c r="BC141" s="121"/>
      <c r="BD141" s="121"/>
      <c r="BE141" s="121"/>
      <c r="BF141" s="121"/>
      <c r="BG141" s="121"/>
      <c r="BH141" s="121"/>
      <c r="BI141" s="121"/>
      <c r="BJ141" s="121"/>
      <c r="BK141" s="121"/>
      <c r="BL141" s="121"/>
      <c r="BM141" s="121"/>
      <c r="BN141" s="121"/>
      <c r="BO141" s="121"/>
      <c r="BP141" s="121"/>
      <c r="BQ141" s="121"/>
      <c r="BR141" s="121"/>
      <c r="BS141" s="121"/>
      <c r="BT141" s="121"/>
      <c r="BU141" s="121"/>
      <c r="BV141" s="121"/>
      <c r="BW141" s="121"/>
      <c r="BX141" s="121"/>
      <c r="BY141" s="121"/>
      <c r="BZ141" s="121"/>
      <c r="CA141" s="121"/>
      <c r="CB141" s="121"/>
      <c r="CC141" s="121"/>
      <c r="CD141" s="121"/>
      <c r="CE141" s="121"/>
      <c r="CF141" s="121"/>
      <c r="CG141" s="121"/>
      <c r="CH141" s="121"/>
      <c r="CI141" s="121"/>
      <c r="CJ141" s="121"/>
      <c r="CK141" s="121"/>
      <c r="CL141" s="121"/>
      <c r="CM141" s="121"/>
      <c r="CN141" s="121"/>
      <c r="CO141" s="121"/>
      <c r="CP141" s="121"/>
      <c r="CQ141" s="121"/>
      <c r="CR141" s="121"/>
      <c r="CS141" s="121"/>
      <c r="CT141" s="121"/>
      <c r="CU141" s="121"/>
      <c r="CV141" s="121"/>
      <c r="CW141" s="121"/>
      <c r="CX141" s="121"/>
      <c r="CY141" s="121"/>
      <c r="CZ141" s="121"/>
      <c r="DA141" s="121"/>
      <c r="DB141" s="121"/>
      <c r="DC141" s="121"/>
      <c r="DD141" s="121"/>
      <c r="DE141" s="121"/>
      <c r="DF141" s="121"/>
      <c r="DG141" s="121"/>
      <c r="DH141" s="121"/>
      <c r="DI141" s="121"/>
      <c r="DJ141" s="121"/>
      <c r="DK141" s="121"/>
      <c r="DL141" s="121"/>
      <c r="DM141" s="121"/>
      <c r="DN141" s="121"/>
      <c r="DO141" s="121"/>
      <c r="DP141" s="121"/>
      <c r="DQ141" s="121"/>
      <c r="DR141" s="121"/>
      <c r="DS141" s="121"/>
      <c r="DT141" s="121"/>
      <c r="DU141" s="121"/>
      <c r="DV141" s="121"/>
      <c r="DW141" s="121"/>
      <c r="DX141" s="121"/>
      <c r="DY141" s="121"/>
      <c r="DZ141" s="121"/>
      <c r="EA141" s="121"/>
      <c r="EB141" s="121"/>
      <c r="EC141" s="121"/>
      <c r="ED141" s="121"/>
      <c r="EE141" s="121"/>
      <c r="EF141" s="121"/>
      <c r="EG141" s="121"/>
      <c r="EH141" s="121"/>
      <c r="EI141" s="121"/>
      <c r="EJ141" s="121"/>
      <c r="EK141" s="121"/>
      <c r="EL141" s="121"/>
      <c r="EM141" s="121"/>
      <c r="EN141" s="121"/>
      <c r="EO141" s="121"/>
      <c r="EP141" s="121"/>
      <c r="EQ141" s="121"/>
      <c r="ER141" s="121"/>
      <c r="ES141" s="121"/>
      <c r="ET141" s="121"/>
      <c r="EU141" s="121"/>
      <c r="EV141" s="121"/>
      <c r="EW141" s="121"/>
      <c r="EX141" s="121"/>
      <c r="EY141" s="121"/>
      <c r="EZ141" s="121"/>
      <c r="FA141" s="121"/>
      <c r="FB141" s="121"/>
      <c r="FC141" s="121"/>
      <c r="FD141" s="121"/>
      <c r="FE141" s="121"/>
      <c r="FF141" s="121"/>
      <c r="FG141" s="121"/>
      <c r="FH141" s="121"/>
      <c r="FI141" s="121"/>
      <c r="FJ141" s="121"/>
      <c r="FK141" s="121"/>
      <c r="FL141" s="121"/>
      <c r="FM141" s="121"/>
      <c r="FN141" s="121"/>
      <c r="FO141" s="121"/>
      <c r="FP141" s="121"/>
      <c r="FQ141" s="121"/>
      <c r="FR141" s="121"/>
      <c r="FS141" s="121"/>
      <c r="FT141" s="121"/>
      <c r="FU141" s="121"/>
      <c r="FV141" s="121"/>
      <c r="FW141" s="121"/>
      <c r="FX141" s="121"/>
      <c r="FY141" s="121"/>
      <c r="FZ141" s="121"/>
      <c r="GA141" s="121"/>
      <c r="GB141" s="121"/>
      <c r="GC141" s="121"/>
      <c r="GD141" s="121"/>
      <c r="GE141" s="121"/>
      <c r="GF141" s="121"/>
      <c r="GG141" s="121"/>
      <c r="GH141" s="121"/>
    </row>
    <row r="142" spans="1:190">
      <c r="A142" s="121"/>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121"/>
      <c r="AT142" s="121"/>
      <c r="AU142" s="121"/>
      <c r="AV142" s="121"/>
      <c r="AW142" s="121"/>
      <c r="AX142" s="121"/>
      <c r="AY142" s="121"/>
      <c r="AZ142" s="121"/>
      <c r="BA142" s="121"/>
      <c r="BB142" s="121"/>
      <c r="BC142" s="121"/>
      <c r="BD142" s="121"/>
      <c r="BE142" s="121"/>
      <c r="BF142" s="121"/>
      <c r="BG142" s="121"/>
      <c r="BH142" s="121"/>
      <c r="BI142" s="121"/>
      <c r="BJ142" s="121"/>
      <c r="BK142" s="121"/>
      <c r="BL142" s="121"/>
      <c r="BM142" s="121"/>
      <c r="BN142" s="121"/>
      <c r="BO142" s="121"/>
      <c r="BP142" s="121"/>
      <c r="BQ142" s="121"/>
      <c r="BR142" s="121"/>
      <c r="BS142" s="121"/>
      <c r="BT142" s="121"/>
      <c r="BU142" s="121"/>
      <c r="BV142" s="121"/>
      <c r="BW142" s="121"/>
      <c r="BX142" s="121"/>
      <c r="BY142" s="121"/>
      <c r="BZ142" s="121"/>
      <c r="CA142" s="121"/>
      <c r="CB142" s="121"/>
      <c r="CC142" s="121"/>
      <c r="CD142" s="121"/>
      <c r="CE142" s="121"/>
      <c r="CF142" s="121"/>
      <c r="CG142" s="121"/>
      <c r="CH142" s="121"/>
      <c r="CI142" s="121"/>
      <c r="CJ142" s="121"/>
      <c r="CK142" s="121"/>
      <c r="CL142" s="121"/>
      <c r="CM142" s="121"/>
      <c r="CN142" s="121"/>
      <c r="CO142" s="121"/>
      <c r="CP142" s="121"/>
      <c r="CQ142" s="121"/>
      <c r="CR142" s="121"/>
      <c r="CS142" s="121"/>
      <c r="CT142" s="121"/>
      <c r="CU142" s="121"/>
      <c r="CV142" s="121"/>
      <c r="CW142" s="121"/>
      <c r="CX142" s="121"/>
      <c r="CY142" s="121"/>
      <c r="CZ142" s="121"/>
      <c r="DA142" s="121"/>
      <c r="DB142" s="121"/>
      <c r="DC142" s="121"/>
      <c r="DD142" s="121"/>
      <c r="DE142" s="121"/>
      <c r="DF142" s="121"/>
      <c r="DG142" s="121"/>
      <c r="DH142" s="121"/>
      <c r="DI142" s="121"/>
      <c r="DJ142" s="121"/>
      <c r="DK142" s="121"/>
      <c r="DL142" s="121"/>
      <c r="DM142" s="121"/>
      <c r="DN142" s="121"/>
      <c r="DO142" s="121"/>
      <c r="DP142" s="121"/>
      <c r="DQ142" s="121"/>
      <c r="DR142" s="121"/>
      <c r="DS142" s="121"/>
      <c r="DT142" s="121"/>
      <c r="DU142" s="121"/>
      <c r="DV142" s="121"/>
      <c r="DW142" s="121"/>
      <c r="DX142" s="121"/>
      <c r="DY142" s="121"/>
      <c r="DZ142" s="121"/>
      <c r="EA142" s="121"/>
      <c r="EB142" s="121"/>
      <c r="EC142" s="121"/>
      <c r="ED142" s="121"/>
      <c r="EE142" s="121"/>
      <c r="EF142" s="121"/>
      <c r="EG142" s="121"/>
      <c r="EH142" s="121"/>
      <c r="EI142" s="121"/>
      <c r="EJ142" s="121"/>
      <c r="EK142" s="121"/>
      <c r="EL142" s="121"/>
      <c r="EM142" s="121"/>
      <c r="EN142" s="121"/>
      <c r="EO142" s="121"/>
      <c r="EP142" s="121"/>
      <c r="EQ142" s="121"/>
      <c r="ER142" s="121"/>
      <c r="ES142" s="121"/>
      <c r="ET142" s="121"/>
      <c r="EU142" s="121"/>
      <c r="EV142" s="121"/>
      <c r="EW142" s="121"/>
      <c r="EX142" s="121"/>
      <c r="EY142" s="121"/>
      <c r="EZ142" s="121"/>
      <c r="FA142" s="121"/>
      <c r="FB142" s="121"/>
      <c r="FC142" s="121"/>
      <c r="FD142" s="121"/>
      <c r="FE142" s="121"/>
      <c r="FF142" s="121"/>
      <c r="FG142" s="121"/>
      <c r="FH142" s="121"/>
      <c r="FI142" s="121"/>
      <c r="FJ142" s="121"/>
      <c r="FK142" s="121"/>
      <c r="FL142" s="121"/>
      <c r="FM142" s="121"/>
      <c r="FN142" s="121"/>
      <c r="FO142" s="121"/>
      <c r="FP142" s="121"/>
      <c r="FQ142" s="121"/>
      <c r="FR142" s="121"/>
      <c r="FS142" s="121"/>
      <c r="FT142" s="121"/>
      <c r="FU142" s="121"/>
      <c r="FV142" s="121"/>
      <c r="FW142" s="121"/>
      <c r="FX142" s="121"/>
      <c r="FY142" s="121"/>
      <c r="FZ142" s="121"/>
      <c r="GA142" s="121"/>
      <c r="GB142" s="121"/>
      <c r="GC142" s="121"/>
      <c r="GD142" s="121"/>
      <c r="GE142" s="121"/>
      <c r="GF142" s="121"/>
      <c r="GG142" s="121"/>
      <c r="GH142" s="121"/>
    </row>
    <row r="143" spans="1:190">
      <c r="A143" s="121"/>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1"/>
      <c r="AN143" s="121"/>
      <c r="AO143" s="121"/>
      <c r="AP143" s="121"/>
      <c r="AQ143" s="121"/>
      <c r="AR143" s="121"/>
      <c r="AS143" s="121"/>
      <c r="AT143" s="121"/>
      <c r="AU143" s="121"/>
      <c r="AV143" s="121"/>
      <c r="AW143" s="121"/>
      <c r="AX143" s="121"/>
      <c r="AY143" s="121"/>
      <c r="AZ143" s="121"/>
      <c r="BA143" s="121"/>
      <c r="BB143" s="121"/>
      <c r="BC143" s="121"/>
      <c r="BD143" s="121"/>
      <c r="BE143" s="121"/>
      <c r="BF143" s="121"/>
      <c r="BG143" s="121"/>
      <c r="BH143" s="121"/>
      <c r="BI143" s="121"/>
      <c r="BJ143" s="121"/>
      <c r="BK143" s="121"/>
      <c r="BL143" s="121"/>
      <c r="BM143" s="121"/>
      <c r="BN143" s="121"/>
      <c r="BO143" s="121"/>
      <c r="BP143" s="121"/>
      <c r="BQ143" s="121"/>
      <c r="BR143" s="121"/>
      <c r="BS143" s="121"/>
      <c r="BT143" s="121"/>
      <c r="BU143" s="121"/>
      <c r="BV143" s="121"/>
      <c r="BW143" s="121"/>
      <c r="BX143" s="121"/>
      <c r="BY143" s="121"/>
      <c r="BZ143" s="121"/>
      <c r="CA143" s="121"/>
      <c r="CB143" s="121"/>
      <c r="CC143" s="121"/>
      <c r="CD143" s="121"/>
      <c r="CE143" s="121"/>
      <c r="CF143" s="121"/>
      <c r="CG143" s="121"/>
      <c r="CH143" s="121"/>
      <c r="CI143" s="121"/>
      <c r="CJ143" s="121"/>
      <c r="CK143" s="121"/>
      <c r="CL143" s="121"/>
      <c r="CM143" s="121"/>
      <c r="CN143" s="121"/>
      <c r="CO143" s="121"/>
      <c r="CP143" s="121"/>
      <c r="CQ143" s="121"/>
      <c r="CR143" s="121"/>
      <c r="CS143" s="121"/>
      <c r="CT143" s="121"/>
      <c r="CU143" s="121"/>
      <c r="CV143" s="121"/>
      <c r="CW143" s="121"/>
      <c r="CX143" s="121"/>
      <c r="CY143" s="121"/>
      <c r="CZ143" s="121"/>
      <c r="DA143" s="121"/>
      <c r="DB143" s="121"/>
      <c r="DC143" s="121"/>
      <c r="DD143" s="121"/>
      <c r="DE143" s="121"/>
      <c r="DF143" s="121"/>
      <c r="DG143" s="121"/>
      <c r="DH143" s="121"/>
      <c r="DI143" s="121"/>
      <c r="DJ143" s="121"/>
      <c r="DK143" s="121"/>
      <c r="DL143" s="121"/>
      <c r="DM143" s="121"/>
      <c r="DN143" s="121"/>
      <c r="DO143" s="121"/>
      <c r="DP143" s="121"/>
      <c r="DQ143" s="121"/>
      <c r="DR143" s="121"/>
      <c r="DS143" s="121"/>
      <c r="DT143" s="121"/>
      <c r="DU143" s="121"/>
      <c r="DV143" s="121"/>
      <c r="DW143" s="121"/>
      <c r="DX143" s="121"/>
      <c r="DY143" s="121"/>
      <c r="DZ143" s="121"/>
      <c r="EA143" s="121"/>
      <c r="EB143" s="121"/>
      <c r="EC143" s="121"/>
      <c r="ED143" s="121"/>
      <c r="EE143" s="121"/>
      <c r="EF143" s="121"/>
      <c r="EG143" s="121"/>
      <c r="EH143" s="121"/>
      <c r="EI143" s="121"/>
      <c r="EJ143" s="121"/>
      <c r="EK143" s="121"/>
      <c r="EL143" s="121"/>
      <c r="EM143" s="121"/>
      <c r="EN143" s="121"/>
      <c r="EO143" s="121"/>
      <c r="EP143" s="121"/>
      <c r="EQ143" s="121"/>
      <c r="ER143" s="121"/>
      <c r="ES143" s="121"/>
      <c r="ET143" s="121"/>
      <c r="EU143" s="121"/>
      <c r="EV143" s="121"/>
      <c r="EW143" s="121"/>
      <c r="EX143" s="121"/>
      <c r="EY143" s="121"/>
      <c r="EZ143" s="121"/>
      <c r="FA143" s="121"/>
      <c r="FB143" s="121"/>
      <c r="FC143" s="121"/>
      <c r="FD143" s="121"/>
      <c r="FE143" s="121"/>
      <c r="FF143" s="121"/>
      <c r="FG143" s="121"/>
      <c r="FH143" s="121"/>
      <c r="FI143" s="121"/>
      <c r="FJ143" s="121"/>
      <c r="FK143" s="121"/>
      <c r="FL143" s="121"/>
      <c r="FM143" s="121"/>
      <c r="FN143" s="121"/>
      <c r="FO143" s="121"/>
      <c r="FP143" s="121"/>
      <c r="FQ143" s="121"/>
      <c r="FR143" s="121"/>
      <c r="FS143" s="121"/>
      <c r="FT143" s="121"/>
      <c r="FU143" s="121"/>
      <c r="FV143" s="121"/>
      <c r="FW143" s="121"/>
      <c r="FX143" s="121"/>
      <c r="FY143" s="121"/>
      <c r="FZ143" s="121"/>
      <c r="GA143" s="121"/>
      <c r="GB143" s="121"/>
      <c r="GC143" s="121"/>
      <c r="GD143" s="121"/>
      <c r="GE143" s="121"/>
      <c r="GF143" s="121"/>
      <c r="GG143" s="121"/>
      <c r="GH143" s="121"/>
    </row>
    <row r="144" spans="1:190">
      <c r="A144" s="121"/>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c r="AI144" s="121"/>
      <c r="AJ144" s="121"/>
      <c r="AK144" s="121"/>
      <c r="AL144" s="121"/>
      <c r="AM144" s="121"/>
      <c r="AN144" s="121"/>
      <c r="AO144" s="121"/>
      <c r="AP144" s="121"/>
      <c r="AQ144" s="121"/>
      <c r="AR144" s="121"/>
      <c r="AS144" s="121"/>
      <c r="AT144" s="121"/>
      <c r="AU144" s="121"/>
      <c r="AV144" s="121"/>
      <c r="AW144" s="121"/>
      <c r="AX144" s="121"/>
      <c r="AY144" s="121"/>
      <c r="AZ144" s="121"/>
      <c r="BA144" s="121"/>
      <c r="BB144" s="121"/>
      <c r="BC144" s="121"/>
      <c r="BD144" s="121"/>
      <c r="BE144" s="121"/>
      <c r="BF144" s="121"/>
      <c r="BG144" s="121"/>
      <c r="BH144" s="121"/>
      <c r="BI144" s="121"/>
      <c r="BJ144" s="121"/>
      <c r="BK144" s="121"/>
      <c r="BL144" s="121"/>
      <c r="BM144" s="121"/>
      <c r="BN144" s="121"/>
      <c r="BO144" s="121"/>
      <c r="BP144" s="121"/>
      <c r="BQ144" s="121"/>
      <c r="BR144" s="121"/>
      <c r="BS144" s="121"/>
      <c r="BT144" s="121"/>
      <c r="BU144" s="121"/>
      <c r="BV144" s="121"/>
      <c r="BW144" s="121"/>
      <c r="BX144" s="121"/>
      <c r="BY144" s="121"/>
      <c r="BZ144" s="121"/>
      <c r="CA144" s="121"/>
      <c r="CB144" s="121"/>
      <c r="CC144" s="121"/>
      <c r="CD144" s="121"/>
      <c r="CE144" s="121"/>
      <c r="CF144" s="121"/>
      <c r="CG144" s="121"/>
      <c r="CH144" s="121"/>
      <c r="CI144" s="121"/>
      <c r="CJ144" s="121"/>
      <c r="CK144" s="121"/>
      <c r="CL144" s="121"/>
      <c r="CM144" s="121"/>
      <c r="CN144" s="121"/>
      <c r="CO144" s="121"/>
      <c r="CP144" s="121"/>
      <c r="CQ144" s="121"/>
      <c r="CR144" s="121"/>
      <c r="CS144" s="121"/>
      <c r="CT144" s="121"/>
      <c r="CU144" s="121"/>
      <c r="CV144" s="121"/>
      <c r="CW144" s="121"/>
      <c r="CX144" s="121"/>
      <c r="CY144" s="121"/>
      <c r="CZ144" s="121"/>
      <c r="DA144" s="121"/>
      <c r="DB144" s="121"/>
      <c r="DC144" s="121"/>
      <c r="DD144" s="121"/>
      <c r="DE144" s="121"/>
      <c r="DF144" s="121"/>
      <c r="DG144" s="121"/>
      <c r="DH144" s="121"/>
      <c r="DI144" s="121"/>
      <c r="DJ144" s="121"/>
      <c r="DK144" s="121"/>
      <c r="DL144" s="121"/>
      <c r="DM144" s="121"/>
      <c r="DN144" s="121"/>
      <c r="DO144" s="121"/>
      <c r="DP144" s="121"/>
      <c r="DQ144" s="121"/>
      <c r="DR144" s="121"/>
      <c r="DS144" s="121"/>
      <c r="DT144" s="121"/>
      <c r="DU144" s="121"/>
      <c r="DV144" s="121"/>
      <c r="DW144" s="121"/>
      <c r="DX144" s="121"/>
      <c r="DY144" s="121"/>
      <c r="DZ144" s="121"/>
      <c r="EA144" s="121"/>
      <c r="EB144" s="121"/>
      <c r="EC144" s="121"/>
      <c r="ED144" s="121"/>
      <c r="EE144" s="121"/>
      <c r="EF144" s="121"/>
      <c r="EG144" s="121"/>
      <c r="EH144" s="121"/>
      <c r="EI144" s="121"/>
      <c r="EJ144" s="121"/>
      <c r="EK144" s="121"/>
      <c r="EL144" s="121"/>
      <c r="EM144" s="121"/>
      <c r="EN144" s="121"/>
      <c r="EO144" s="121"/>
      <c r="EP144" s="121"/>
      <c r="EQ144" s="121"/>
      <c r="ER144" s="121"/>
      <c r="ES144" s="121"/>
      <c r="ET144" s="121"/>
      <c r="EU144" s="121"/>
      <c r="EV144" s="121"/>
      <c r="EW144" s="121"/>
      <c r="EX144" s="121"/>
      <c r="EY144" s="121"/>
      <c r="EZ144" s="121"/>
      <c r="FA144" s="121"/>
      <c r="FB144" s="121"/>
      <c r="FC144" s="121"/>
      <c r="FD144" s="121"/>
      <c r="FE144" s="121"/>
      <c r="FF144" s="121"/>
      <c r="FG144" s="121"/>
      <c r="FH144" s="121"/>
      <c r="FI144" s="121"/>
      <c r="FJ144" s="121"/>
      <c r="FK144" s="121"/>
      <c r="FL144" s="121"/>
      <c r="FM144" s="121"/>
      <c r="FN144" s="121"/>
      <c r="FO144" s="121"/>
      <c r="FP144" s="121"/>
      <c r="FQ144" s="121"/>
      <c r="FR144" s="121"/>
      <c r="FS144" s="121"/>
      <c r="FT144" s="121"/>
      <c r="FU144" s="121"/>
      <c r="FV144" s="121"/>
      <c r="FW144" s="121"/>
      <c r="FX144" s="121"/>
      <c r="FY144" s="121"/>
      <c r="FZ144" s="121"/>
      <c r="GA144" s="121"/>
      <c r="GB144" s="121"/>
      <c r="GC144" s="121"/>
      <c r="GD144" s="121"/>
      <c r="GE144" s="121"/>
      <c r="GF144" s="121"/>
      <c r="GG144" s="121"/>
      <c r="GH144" s="121"/>
    </row>
    <row r="145" spans="1:190">
      <c r="A145" s="121"/>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c r="AE145" s="121"/>
      <c r="AF145" s="121"/>
      <c r="AG145" s="121"/>
      <c r="AH145" s="121"/>
      <c r="AI145" s="121"/>
      <c r="AJ145" s="121"/>
      <c r="AK145" s="121"/>
      <c r="AL145" s="121"/>
      <c r="AM145" s="121"/>
      <c r="AN145" s="121"/>
      <c r="AO145" s="121"/>
      <c r="AP145" s="121"/>
      <c r="AQ145" s="121"/>
      <c r="AR145" s="121"/>
      <c r="AS145" s="121"/>
      <c r="AT145" s="121"/>
      <c r="AU145" s="121"/>
      <c r="AV145" s="121"/>
      <c r="AW145" s="121"/>
      <c r="AX145" s="121"/>
      <c r="AY145" s="121"/>
      <c r="AZ145" s="121"/>
      <c r="BA145" s="121"/>
      <c r="BB145" s="121"/>
      <c r="BC145" s="121"/>
      <c r="BD145" s="121"/>
      <c r="BE145" s="121"/>
      <c r="BF145" s="121"/>
      <c r="BG145" s="121"/>
      <c r="BH145" s="121"/>
      <c r="BI145" s="121"/>
      <c r="BJ145" s="121"/>
      <c r="BK145" s="121"/>
      <c r="BL145" s="121"/>
      <c r="BM145" s="121"/>
      <c r="BN145" s="121"/>
      <c r="BO145" s="121"/>
      <c r="BP145" s="121"/>
      <c r="BQ145" s="121"/>
      <c r="BR145" s="121"/>
      <c r="BS145" s="121"/>
      <c r="BT145" s="121"/>
      <c r="BU145" s="121"/>
      <c r="BV145" s="121"/>
      <c r="BW145" s="121"/>
      <c r="BX145" s="121"/>
      <c r="BY145" s="121"/>
      <c r="BZ145" s="121"/>
      <c r="CA145" s="121"/>
      <c r="CB145" s="121"/>
      <c r="CC145" s="121"/>
      <c r="CD145" s="121"/>
      <c r="CE145" s="121"/>
      <c r="CF145" s="121"/>
      <c r="CG145" s="121"/>
      <c r="CH145" s="121"/>
      <c r="CI145" s="121"/>
      <c r="CJ145" s="121"/>
      <c r="CK145" s="121"/>
      <c r="CL145" s="121"/>
      <c r="CM145" s="121"/>
      <c r="CN145" s="121"/>
      <c r="CO145" s="121"/>
      <c r="CP145" s="121"/>
      <c r="CQ145" s="121"/>
      <c r="CR145" s="121"/>
      <c r="CS145" s="121"/>
      <c r="CT145" s="121"/>
      <c r="CU145" s="121"/>
      <c r="CV145" s="121"/>
      <c r="CW145" s="121"/>
      <c r="CX145" s="121"/>
      <c r="CY145" s="121"/>
      <c r="CZ145" s="121"/>
      <c r="DA145" s="121"/>
      <c r="DB145" s="121"/>
      <c r="DC145" s="121"/>
      <c r="DD145" s="121"/>
      <c r="DE145" s="121"/>
      <c r="DF145" s="121"/>
      <c r="DG145" s="121"/>
      <c r="DH145" s="121"/>
      <c r="DI145" s="121"/>
      <c r="DJ145" s="121"/>
      <c r="DK145" s="121"/>
      <c r="DL145" s="121"/>
      <c r="DM145" s="121"/>
      <c r="DN145" s="121"/>
      <c r="DO145" s="121"/>
      <c r="DP145" s="121"/>
      <c r="DQ145" s="121"/>
      <c r="DR145" s="121"/>
      <c r="DS145" s="121"/>
      <c r="DT145" s="121"/>
      <c r="DU145" s="121"/>
      <c r="DV145" s="121"/>
      <c r="DW145" s="121"/>
      <c r="DX145" s="121"/>
      <c r="DY145" s="121"/>
      <c r="DZ145" s="121"/>
      <c r="EA145" s="121"/>
      <c r="EB145" s="121"/>
      <c r="EC145" s="121"/>
      <c r="ED145" s="121"/>
      <c r="EE145" s="121"/>
      <c r="EF145" s="121"/>
      <c r="EG145" s="121"/>
      <c r="EH145" s="121"/>
      <c r="EI145" s="121"/>
      <c r="EJ145" s="121"/>
      <c r="EK145" s="121"/>
      <c r="EL145" s="121"/>
      <c r="EM145" s="121"/>
      <c r="EN145" s="121"/>
      <c r="EO145" s="121"/>
      <c r="EP145" s="121"/>
      <c r="EQ145" s="121"/>
      <c r="ER145" s="121"/>
      <c r="ES145" s="121"/>
      <c r="ET145" s="121"/>
      <c r="EU145" s="121"/>
      <c r="EV145" s="121"/>
      <c r="EW145" s="121"/>
      <c r="EX145" s="121"/>
      <c r="EY145" s="121"/>
      <c r="EZ145" s="121"/>
      <c r="FA145" s="121"/>
      <c r="FB145" s="121"/>
      <c r="FC145" s="121"/>
      <c r="FD145" s="121"/>
      <c r="FE145" s="121"/>
      <c r="FF145" s="121"/>
      <c r="FG145" s="121"/>
      <c r="FH145" s="121"/>
      <c r="FI145" s="121"/>
      <c r="FJ145" s="121"/>
      <c r="FK145" s="121"/>
      <c r="FL145" s="121"/>
      <c r="FM145" s="121"/>
      <c r="FN145" s="121"/>
      <c r="FO145" s="121"/>
      <c r="FP145" s="121"/>
      <c r="FQ145" s="121"/>
      <c r="FR145" s="121"/>
      <c r="FS145" s="121"/>
      <c r="FT145" s="121"/>
      <c r="FU145" s="121"/>
      <c r="FV145" s="121"/>
      <c r="FW145" s="121"/>
      <c r="FX145" s="121"/>
      <c r="FY145" s="121"/>
      <c r="FZ145" s="121"/>
      <c r="GA145" s="121"/>
      <c r="GB145" s="121"/>
      <c r="GC145" s="121"/>
      <c r="GD145" s="121"/>
      <c r="GE145" s="121"/>
      <c r="GF145" s="121"/>
      <c r="GG145" s="121"/>
      <c r="GH145" s="121"/>
    </row>
    <row r="146" spans="1:190">
      <c r="A146" s="121"/>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c r="AD146" s="121"/>
      <c r="AE146" s="121"/>
      <c r="AF146" s="121"/>
      <c r="AG146" s="121"/>
      <c r="AH146" s="121"/>
      <c r="AI146" s="121"/>
      <c r="AJ146" s="121"/>
      <c r="AK146" s="121"/>
      <c r="AL146" s="121"/>
      <c r="AM146" s="121"/>
      <c r="AN146" s="121"/>
      <c r="AO146" s="121"/>
      <c r="AP146" s="121"/>
      <c r="AQ146" s="121"/>
      <c r="AR146" s="121"/>
      <c r="AS146" s="121"/>
      <c r="AT146" s="121"/>
      <c r="AU146" s="121"/>
      <c r="AV146" s="121"/>
      <c r="AW146" s="121"/>
      <c r="AX146" s="121"/>
      <c r="AY146" s="121"/>
      <c r="AZ146" s="121"/>
      <c r="BA146" s="121"/>
      <c r="BB146" s="121"/>
      <c r="BC146" s="121"/>
      <c r="BD146" s="121"/>
      <c r="BE146" s="121"/>
      <c r="BF146" s="121"/>
      <c r="BG146" s="121"/>
      <c r="BH146" s="121"/>
      <c r="BI146" s="121"/>
      <c r="BJ146" s="121"/>
      <c r="BK146" s="121"/>
      <c r="BL146" s="121"/>
      <c r="BM146" s="121"/>
      <c r="BN146" s="121"/>
      <c r="BO146" s="121"/>
      <c r="BP146" s="121"/>
      <c r="BQ146" s="121"/>
      <c r="BR146" s="121"/>
      <c r="BS146" s="121"/>
      <c r="BT146" s="121"/>
      <c r="BU146" s="121"/>
      <c r="BV146" s="121"/>
      <c r="BW146" s="121"/>
      <c r="BX146" s="121"/>
      <c r="BY146" s="121"/>
      <c r="BZ146" s="121"/>
      <c r="CA146" s="121"/>
      <c r="CB146" s="121"/>
      <c r="CC146" s="121"/>
      <c r="CD146" s="121"/>
      <c r="CE146" s="121"/>
      <c r="CF146" s="121"/>
      <c r="CG146" s="121"/>
      <c r="CH146" s="121"/>
      <c r="CI146" s="121"/>
      <c r="CJ146" s="121"/>
      <c r="CK146" s="121"/>
      <c r="CL146" s="121"/>
      <c r="CM146" s="121"/>
      <c r="CN146" s="121"/>
      <c r="CO146" s="121"/>
      <c r="CP146" s="121"/>
      <c r="CQ146" s="121"/>
      <c r="CR146" s="121"/>
      <c r="CS146" s="121"/>
      <c r="CT146" s="121"/>
      <c r="CU146" s="121"/>
      <c r="CV146" s="121"/>
      <c r="CW146" s="121"/>
      <c r="CX146" s="121"/>
      <c r="CY146" s="121"/>
      <c r="CZ146" s="121"/>
      <c r="DA146" s="121"/>
      <c r="DB146" s="121"/>
      <c r="DC146" s="121"/>
      <c r="DD146" s="121"/>
      <c r="DE146" s="121"/>
      <c r="DF146" s="121"/>
      <c r="DG146" s="121"/>
      <c r="DH146" s="121"/>
      <c r="DI146" s="121"/>
      <c r="DJ146" s="121"/>
      <c r="DK146" s="121"/>
      <c r="DL146" s="121"/>
      <c r="DM146" s="121"/>
      <c r="DN146" s="121"/>
      <c r="DO146" s="121"/>
      <c r="DP146" s="121"/>
      <c r="DQ146" s="121"/>
      <c r="DR146" s="121"/>
      <c r="DS146" s="121"/>
      <c r="DT146" s="121"/>
      <c r="DU146" s="121"/>
      <c r="DV146" s="121"/>
      <c r="DW146" s="121"/>
      <c r="DX146" s="121"/>
      <c r="DY146" s="121"/>
      <c r="DZ146" s="121"/>
      <c r="EA146" s="121"/>
      <c r="EB146" s="121"/>
      <c r="EC146" s="121"/>
      <c r="ED146" s="121"/>
      <c r="EE146" s="121"/>
      <c r="EF146" s="121"/>
      <c r="EG146" s="121"/>
      <c r="EH146" s="121"/>
      <c r="EI146" s="121"/>
      <c r="EJ146" s="121"/>
      <c r="EK146" s="121"/>
      <c r="EL146" s="121"/>
      <c r="EM146" s="121"/>
      <c r="EN146" s="121"/>
      <c r="EO146" s="121"/>
      <c r="EP146" s="121"/>
      <c r="EQ146" s="121"/>
      <c r="ER146" s="121"/>
      <c r="ES146" s="121"/>
      <c r="ET146" s="121"/>
      <c r="EU146" s="121"/>
      <c r="EV146" s="121"/>
      <c r="EW146" s="121"/>
      <c r="EX146" s="121"/>
      <c r="EY146" s="121"/>
      <c r="EZ146" s="121"/>
      <c r="FA146" s="121"/>
      <c r="FB146" s="121"/>
      <c r="FC146" s="121"/>
      <c r="FD146" s="121"/>
      <c r="FE146" s="121"/>
      <c r="FF146" s="121"/>
      <c r="FG146" s="121"/>
      <c r="FH146" s="121"/>
      <c r="FI146" s="121"/>
      <c r="FJ146" s="121"/>
      <c r="FK146" s="121"/>
      <c r="FL146" s="121"/>
      <c r="FM146" s="121"/>
      <c r="FN146" s="121"/>
      <c r="FO146" s="121"/>
      <c r="FP146" s="121"/>
      <c r="FQ146" s="121"/>
      <c r="FR146" s="121"/>
      <c r="FS146" s="121"/>
      <c r="FT146" s="121"/>
      <c r="FU146" s="121"/>
      <c r="FV146" s="121"/>
      <c r="FW146" s="121"/>
      <c r="FX146" s="121"/>
      <c r="FY146" s="121"/>
      <c r="FZ146" s="121"/>
      <c r="GA146" s="121"/>
      <c r="GB146" s="121"/>
      <c r="GC146" s="121"/>
      <c r="GD146" s="121"/>
      <c r="GE146" s="121"/>
      <c r="GF146" s="121"/>
      <c r="GG146" s="121"/>
      <c r="GH146" s="121"/>
    </row>
    <row r="147" spans="1:190">
      <c r="A147" s="121"/>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121"/>
      <c r="AL147" s="121"/>
      <c r="AM147" s="121"/>
      <c r="AN147" s="121"/>
      <c r="AO147" s="121"/>
      <c r="AP147" s="121"/>
      <c r="AQ147" s="121"/>
      <c r="AR147" s="121"/>
      <c r="AS147" s="121"/>
      <c r="AT147" s="121"/>
      <c r="AU147" s="121"/>
      <c r="AV147" s="121"/>
      <c r="AW147" s="121"/>
      <c r="AX147" s="121"/>
      <c r="AY147" s="121"/>
      <c r="AZ147" s="121"/>
      <c r="BA147" s="121"/>
      <c r="BB147" s="121"/>
      <c r="BC147" s="121"/>
      <c r="BD147" s="121"/>
      <c r="BE147" s="121"/>
      <c r="BF147" s="121"/>
      <c r="BG147" s="121"/>
      <c r="BH147" s="121"/>
      <c r="BI147" s="121"/>
      <c r="BJ147" s="121"/>
      <c r="BK147" s="121"/>
      <c r="BL147" s="121"/>
      <c r="BM147" s="121"/>
      <c r="BN147" s="121"/>
      <c r="BO147" s="121"/>
      <c r="BP147" s="121"/>
      <c r="BQ147" s="121"/>
      <c r="BR147" s="121"/>
      <c r="BS147" s="121"/>
      <c r="BT147" s="121"/>
      <c r="BU147" s="121"/>
      <c r="BV147" s="121"/>
      <c r="BW147" s="121"/>
      <c r="BX147" s="121"/>
      <c r="BY147" s="121"/>
      <c r="BZ147" s="121"/>
      <c r="CA147" s="121"/>
      <c r="CB147" s="121"/>
      <c r="CC147" s="121"/>
      <c r="CD147" s="121"/>
      <c r="CE147" s="121"/>
      <c r="CF147" s="121"/>
      <c r="CG147" s="121"/>
      <c r="CH147" s="121"/>
      <c r="CI147" s="121"/>
      <c r="CJ147" s="121"/>
      <c r="CK147" s="121"/>
      <c r="CL147" s="121"/>
      <c r="CM147" s="121"/>
      <c r="CN147" s="121"/>
      <c r="CO147" s="121"/>
      <c r="CP147" s="121"/>
      <c r="CQ147" s="121"/>
      <c r="CR147" s="121"/>
      <c r="CS147" s="121"/>
      <c r="CT147" s="121"/>
      <c r="CU147" s="121"/>
      <c r="CV147" s="121"/>
      <c r="CW147" s="121"/>
      <c r="CX147" s="121"/>
      <c r="CY147" s="121"/>
      <c r="CZ147" s="121"/>
      <c r="DA147" s="121"/>
      <c r="DB147" s="121"/>
      <c r="DC147" s="121"/>
      <c r="DD147" s="121"/>
      <c r="DE147" s="121"/>
      <c r="DF147" s="121"/>
      <c r="DG147" s="121"/>
      <c r="DH147" s="121"/>
      <c r="DI147" s="121"/>
      <c r="DJ147" s="121"/>
      <c r="DK147" s="121"/>
      <c r="DL147" s="121"/>
      <c r="DM147" s="121"/>
      <c r="DN147" s="121"/>
      <c r="DO147" s="121"/>
      <c r="DP147" s="121"/>
      <c r="DQ147" s="121"/>
      <c r="DR147" s="121"/>
      <c r="DS147" s="121"/>
      <c r="DT147" s="121"/>
      <c r="DU147" s="121"/>
      <c r="DV147" s="121"/>
      <c r="DW147" s="121"/>
      <c r="DX147" s="121"/>
      <c r="DY147" s="121"/>
      <c r="DZ147" s="121"/>
      <c r="EA147" s="121"/>
      <c r="EB147" s="121"/>
      <c r="EC147" s="121"/>
      <c r="ED147" s="121"/>
      <c r="EE147" s="121"/>
      <c r="EF147" s="121"/>
      <c r="EG147" s="121"/>
      <c r="EH147" s="121"/>
      <c r="EI147" s="121"/>
      <c r="EJ147" s="121"/>
      <c r="EK147" s="121"/>
      <c r="EL147" s="121"/>
      <c r="EM147" s="121"/>
      <c r="EN147" s="121"/>
      <c r="EO147" s="121"/>
      <c r="EP147" s="121"/>
      <c r="EQ147" s="121"/>
      <c r="ER147" s="121"/>
      <c r="ES147" s="121"/>
      <c r="ET147" s="121"/>
      <c r="EU147" s="121"/>
      <c r="EV147" s="121"/>
      <c r="EW147" s="121"/>
      <c r="EX147" s="121"/>
      <c r="EY147" s="121"/>
      <c r="EZ147" s="121"/>
      <c r="FA147" s="121"/>
      <c r="FB147" s="121"/>
      <c r="FC147" s="121"/>
      <c r="FD147" s="121"/>
      <c r="FE147" s="121"/>
      <c r="FF147" s="121"/>
      <c r="FG147" s="121"/>
      <c r="FH147" s="121"/>
      <c r="FI147" s="121"/>
      <c r="FJ147" s="121"/>
      <c r="FK147" s="121"/>
      <c r="FL147" s="121"/>
      <c r="FM147" s="121"/>
      <c r="FN147" s="121"/>
      <c r="FO147" s="121"/>
      <c r="FP147" s="121"/>
      <c r="FQ147" s="121"/>
      <c r="FR147" s="121"/>
      <c r="FS147" s="121"/>
      <c r="FT147" s="121"/>
      <c r="FU147" s="121"/>
      <c r="FV147" s="121"/>
      <c r="FW147" s="121"/>
      <c r="FX147" s="121"/>
      <c r="FY147" s="121"/>
      <c r="FZ147" s="121"/>
      <c r="GA147" s="121"/>
      <c r="GB147" s="121"/>
      <c r="GC147" s="121"/>
      <c r="GD147" s="121"/>
      <c r="GE147" s="121"/>
      <c r="GF147" s="121"/>
      <c r="GG147" s="121"/>
      <c r="GH147" s="121"/>
    </row>
    <row r="148" spans="1:190">
      <c r="A148" s="121"/>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c r="AD148" s="121"/>
      <c r="AE148" s="121"/>
      <c r="AF148" s="121"/>
      <c r="AG148" s="121"/>
      <c r="AH148" s="121"/>
      <c r="AI148" s="121"/>
      <c r="AJ148" s="121"/>
      <c r="AK148" s="121"/>
      <c r="AL148" s="121"/>
      <c r="AM148" s="121"/>
      <c r="AN148" s="121"/>
      <c r="AO148" s="121"/>
      <c r="AP148" s="121"/>
      <c r="AQ148" s="121"/>
      <c r="AR148" s="121"/>
      <c r="AS148" s="121"/>
      <c r="AT148" s="121"/>
      <c r="AU148" s="121"/>
      <c r="AV148" s="121"/>
      <c r="AW148" s="121"/>
      <c r="AX148" s="121"/>
      <c r="AY148" s="121"/>
      <c r="AZ148" s="121"/>
      <c r="BA148" s="121"/>
      <c r="BB148" s="121"/>
      <c r="BC148" s="121"/>
      <c r="BD148" s="121"/>
      <c r="BE148" s="121"/>
      <c r="BF148" s="121"/>
      <c r="BG148" s="121"/>
      <c r="BH148" s="121"/>
      <c r="BI148" s="121"/>
      <c r="BJ148" s="121"/>
      <c r="BK148" s="121"/>
      <c r="BL148" s="121"/>
      <c r="BM148" s="121"/>
      <c r="BN148" s="121"/>
      <c r="BO148" s="121"/>
      <c r="BP148" s="121"/>
      <c r="BQ148" s="121"/>
      <c r="BR148" s="121"/>
      <c r="BS148" s="121"/>
      <c r="BT148" s="121"/>
      <c r="BU148" s="121"/>
      <c r="BV148" s="121"/>
      <c r="BW148" s="121"/>
      <c r="BX148" s="121"/>
      <c r="BY148" s="121"/>
      <c r="BZ148" s="121"/>
      <c r="CA148" s="121"/>
      <c r="CB148" s="121"/>
      <c r="CC148" s="121"/>
      <c r="CD148" s="121"/>
      <c r="CE148" s="121"/>
      <c r="CF148" s="121"/>
      <c r="CG148" s="121"/>
      <c r="CH148" s="121"/>
      <c r="CI148" s="121"/>
      <c r="CJ148" s="121"/>
      <c r="CK148" s="121"/>
      <c r="CL148" s="121"/>
      <c r="CM148" s="121"/>
      <c r="CN148" s="121"/>
      <c r="CO148" s="121"/>
      <c r="CP148" s="121"/>
      <c r="CQ148" s="121"/>
      <c r="CR148" s="121"/>
      <c r="CS148" s="121"/>
      <c r="CT148" s="121"/>
      <c r="CU148" s="121"/>
      <c r="CV148" s="121"/>
      <c r="CW148" s="121"/>
      <c r="CX148" s="121"/>
      <c r="CY148" s="121"/>
      <c r="CZ148" s="121"/>
      <c r="DA148" s="121"/>
      <c r="DB148" s="121"/>
      <c r="DC148" s="121"/>
      <c r="DD148" s="121"/>
      <c r="DE148" s="121"/>
      <c r="DF148" s="121"/>
      <c r="DG148" s="121"/>
      <c r="DH148" s="121"/>
      <c r="DI148" s="121"/>
      <c r="DJ148" s="121"/>
      <c r="DK148" s="121"/>
      <c r="DL148" s="121"/>
      <c r="DM148" s="121"/>
      <c r="DN148" s="121"/>
      <c r="DO148" s="121"/>
      <c r="DP148" s="121"/>
      <c r="DQ148" s="121"/>
      <c r="DR148" s="121"/>
      <c r="DS148" s="121"/>
      <c r="DT148" s="121"/>
      <c r="DU148" s="121"/>
      <c r="DV148" s="121"/>
      <c r="DW148" s="121"/>
      <c r="DX148" s="121"/>
      <c r="DY148" s="121"/>
      <c r="DZ148" s="121"/>
      <c r="EA148" s="121"/>
      <c r="EB148" s="121"/>
      <c r="EC148" s="121"/>
      <c r="ED148" s="121"/>
      <c r="EE148" s="121"/>
      <c r="EF148" s="121"/>
      <c r="EG148" s="121"/>
      <c r="EH148" s="121"/>
      <c r="EI148" s="121"/>
      <c r="EJ148" s="121"/>
      <c r="EK148" s="121"/>
      <c r="EL148" s="121"/>
      <c r="EM148" s="121"/>
      <c r="EN148" s="121"/>
      <c r="EO148" s="121"/>
      <c r="EP148" s="121"/>
      <c r="EQ148" s="121"/>
      <c r="ER148" s="121"/>
      <c r="ES148" s="121"/>
      <c r="ET148" s="121"/>
      <c r="EU148" s="121"/>
      <c r="EV148" s="121"/>
      <c r="EW148" s="121"/>
      <c r="EX148" s="121"/>
      <c r="EY148" s="121"/>
      <c r="EZ148" s="121"/>
      <c r="FA148" s="121"/>
      <c r="FB148" s="121"/>
      <c r="FC148" s="121"/>
      <c r="FD148" s="121"/>
      <c r="FE148" s="121"/>
      <c r="FF148" s="121"/>
      <c r="FG148" s="121"/>
      <c r="FH148" s="121"/>
      <c r="FI148" s="121"/>
      <c r="FJ148" s="121"/>
      <c r="FK148" s="121"/>
      <c r="FL148" s="121"/>
      <c r="FM148" s="121"/>
      <c r="FN148" s="121"/>
      <c r="FO148" s="121"/>
      <c r="FP148" s="121"/>
      <c r="FQ148" s="121"/>
      <c r="FR148" s="121"/>
      <c r="FS148" s="121"/>
      <c r="FT148" s="121"/>
      <c r="FU148" s="121"/>
      <c r="FV148" s="121"/>
      <c r="FW148" s="121"/>
      <c r="FX148" s="121"/>
      <c r="FY148" s="121"/>
      <c r="FZ148" s="121"/>
      <c r="GA148" s="121"/>
      <c r="GB148" s="121"/>
      <c r="GC148" s="121"/>
      <c r="GD148" s="121"/>
      <c r="GE148" s="121"/>
      <c r="GF148" s="121"/>
      <c r="GG148" s="121"/>
      <c r="GH148" s="121"/>
    </row>
    <row r="149" spans="1:190">
      <c r="A149" s="121"/>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c r="AD149" s="121"/>
      <c r="AE149" s="121"/>
      <c r="AF149" s="121"/>
      <c r="AG149" s="121"/>
      <c r="AH149" s="121"/>
      <c r="AI149" s="121"/>
      <c r="AJ149" s="121"/>
      <c r="AK149" s="121"/>
      <c r="AL149" s="121"/>
      <c r="AM149" s="121"/>
      <c r="AN149" s="121"/>
      <c r="AO149" s="121"/>
      <c r="AP149" s="121"/>
      <c r="AQ149" s="121"/>
      <c r="AR149" s="121"/>
      <c r="AS149" s="121"/>
      <c r="AT149" s="121"/>
      <c r="AU149" s="121"/>
      <c r="AV149" s="121"/>
      <c r="AW149" s="121"/>
      <c r="AX149" s="121"/>
      <c r="AY149" s="121"/>
      <c r="AZ149" s="121"/>
      <c r="BA149" s="121"/>
      <c r="BB149" s="121"/>
      <c r="BC149" s="121"/>
      <c r="BD149" s="121"/>
      <c r="BE149" s="121"/>
      <c r="BF149" s="121"/>
      <c r="BG149" s="121"/>
      <c r="BH149" s="121"/>
      <c r="BI149" s="121"/>
      <c r="BJ149" s="121"/>
      <c r="BK149" s="121"/>
      <c r="BL149" s="121"/>
      <c r="BM149" s="121"/>
      <c r="BN149" s="121"/>
      <c r="BO149" s="121"/>
      <c r="BP149" s="121"/>
      <c r="BQ149" s="121"/>
      <c r="BR149" s="121"/>
      <c r="BS149" s="121"/>
      <c r="BT149" s="121"/>
      <c r="BU149" s="121"/>
      <c r="BV149" s="121"/>
      <c r="BW149" s="121"/>
      <c r="BX149" s="121"/>
      <c r="BY149" s="121"/>
      <c r="BZ149" s="121"/>
      <c r="CA149" s="121"/>
      <c r="CB149" s="121"/>
      <c r="CC149" s="121"/>
      <c r="CD149" s="121"/>
      <c r="CE149" s="121"/>
      <c r="CF149" s="121"/>
      <c r="CG149" s="121"/>
      <c r="CH149" s="121"/>
      <c r="CI149" s="121"/>
      <c r="CJ149" s="121"/>
      <c r="CK149" s="121"/>
      <c r="CL149" s="121"/>
      <c r="CM149" s="121"/>
      <c r="CN149" s="121"/>
      <c r="CO149" s="121"/>
      <c r="CP149" s="121"/>
      <c r="CQ149" s="121"/>
      <c r="CR149" s="121"/>
      <c r="CS149" s="121"/>
      <c r="CT149" s="121"/>
      <c r="CU149" s="121"/>
      <c r="CV149" s="121"/>
      <c r="CW149" s="121"/>
      <c r="CX149" s="121"/>
      <c r="CY149" s="121"/>
      <c r="CZ149" s="121"/>
      <c r="DA149" s="121"/>
      <c r="DB149" s="121"/>
      <c r="DC149" s="121"/>
      <c r="DD149" s="121"/>
      <c r="DE149" s="121"/>
      <c r="DF149" s="121"/>
      <c r="DG149" s="121"/>
      <c r="DH149" s="121"/>
      <c r="DI149" s="121"/>
      <c r="DJ149" s="121"/>
      <c r="DK149" s="121"/>
      <c r="DL149" s="121"/>
      <c r="DM149" s="121"/>
      <c r="DN149" s="121"/>
      <c r="DO149" s="121"/>
      <c r="DP149" s="121"/>
      <c r="DQ149" s="121"/>
      <c r="DR149" s="121"/>
      <c r="DS149" s="121"/>
      <c r="DT149" s="121"/>
      <c r="DU149" s="121"/>
      <c r="DV149" s="121"/>
      <c r="DW149" s="121"/>
      <c r="DX149" s="121"/>
      <c r="DY149" s="121"/>
      <c r="DZ149" s="121"/>
      <c r="EA149" s="121"/>
      <c r="EB149" s="121"/>
      <c r="EC149" s="121"/>
      <c r="ED149" s="121"/>
      <c r="EE149" s="121"/>
      <c r="EF149" s="121"/>
      <c r="EG149" s="121"/>
      <c r="EH149" s="121"/>
      <c r="EI149" s="121"/>
      <c r="EJ149" s="121"/>
      <c r="EK149" s="121"/>
      <c r="EL149" s="121"/>
      <c r="EM149" s="121"/>
      <c r="EN149" s="121"/>
      <c r="EO149" s="121"/>
      <c r="EP149" s="121"/>
      <c r="EQ149" s="121"/>
      <c r="ER149" s="121"/>
      <c r="ES149" s="121"/>
      <c r="ET149" s="121"/>
      <c r="EU149" s="121"/>
      <c r="EV149" s="121"/>
      <c r="EW149" s="121"/>
      <c r="EX149" s="121"/>
      <c r="EY149" s="121"/>
      <c r="EZ149" s="121"/>
      <c r="FA149" s="121"/>
      <c r="FB149" s="121"/>
      <c r="FC149" s="121"/>
      <c r="FD149" s="121"/>
      <c r="FE149" s="121"/>
      <c r="FF149" s="121"/>
      <c r="FG149" s="121"/>
      <c r="FH149" s="121"/>
      <c r="FI149" s="121"/>
      <c r="FJ149" s="121"/>
      <c r="FK149" s="121"/>
      <c r="FL149" s="121"/>
      <c r="FM149" s="121"/>
      <c r="FN149" s="121"/>
      <c r="FO149" s="121"/>
      <c r="FP149" s="121"/>
      <c r="FQ149" s="121"/>
      <c r="FR149" s="121"/>
      <c r="FS149" s="121"/>
      <c r="FT149" s="121"/>
      <c r="FU149" s="121"/>
      <c r="FV149" s="121"/>
      <c r="FW149" s="121"/>
      <c r="FX149" s="121"/>
      <c r="FY149" s="121"/>
      <c r="FZ149" s="121"/>
      <c r="GA149" s="121"/>
      <c r="GB149" s="121"/>
      <c r="GC149" s="121"/>
      <c r="GD149" s="121"/>
      <c r="GE149" s="121"/>
      <c r="GF149" s="121"/>
      <c r="GG149" s="121"/>
      <c r="GH149" s="121"/>
    </row>
    <row r="150" spans="1:190">
      <c r="A150" s="121"/>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c r="AE150" s="121"/>
      <c r="AF150" s="121"/>
      <c r="AG150" s="121"/>
      <c r="AH150" s="121"/>
      <c r="AI150" s="121"/>
      <c r="AJ150" s="121"/>
      <c r="AK150" s="121"/>
      <c r="AL150" s="121"/>
      <c r="AM150" s="121"/>
      <c r="AN150" s="121"/>
      <c r="AO150" s="121"/>
      <c r="AP150" s="121"/>
      <c r="AQ150" s="121"/>
      <c r="AR150" s="121"/>
      <c r="AS150" s="121"/>
      <c r="AT150" s="121"/>
      <c r="AU150" s="121"/>
      <c r="AV150" s="121"/>
      <c r="AW150" s="121"/>
      <c r="AX150" s="121"/>
      <c r="AY150" s="121"/>
      <c r="AZ150" s="121"/>
      <c r="BA150" s="121"/>
      <c r="BB150" s="121"/>
      <c r="BC150" s="121"/>
      <c r="BD150" s="121"/>
      <c r="BE150" s="121"/>
      <c r="BF150" s="121"/>
      <c r="BG150" s="121"/>
      <c r="BH150" s="121"/>
      <c r="BI150" s="121"/>
      <c r="BJ150" s="121"/>
      <c r="BK150" s="121"/>
      <c r="BL150" s="121"/>
      <c r="BM150" s="121"/>
      <c r="BN150" s="121"/>
      <c r="BO150" s="121"/>
      <c r="BP150" s="121"/>
      <c r="BQ150" s="121"/>
      <c r="BR150" s="121"/>
      <c r="BS150" s="121"/>
      <c r="BT150" s="121"/>
      <c r="BU150" s="121"/>
      <c r="BV150" s="121"/>
      <c r="BW150" s="121"/>
      <c r="BX150" s="121"/>
      <c r="BY150" s="121"/>
      <c r="BZ150" s="121"/>
      <c r="CA150" s="121"/>
      <c r="CB150" s="121"/>
      <c r="CC150" s="121"/>
      <c r="CD150" s="121"/>
      <c r="CE150" s="121"/>
      <c r="CF150" s="121"/>
      <c r="CG150" s="121"/>
      <c r="CH150" s="121"/>
      <c r="CI150" s="121"/>
      <c r="CJ150" s="121"/>
      <c r="CK150" s="121"/>
      <c r="CL150" s="121"/>
      <c r="CM150" s="121"/>
      <c r="CN150" s="121"/>
      <c r="CO150" s="121"/>
      <c r="CP150" s="121"/>
      <c r="CQ150" s="121"/>
      <c r="CR150" s="121"/>
      <c r="CS150" s="121"/>
      <c r="CT150" s="121"/>
      <c r="CU150" s="121"/>
      <c r="CV150" s="121"/>
      <c r="CW150" s="121"/>
      <c r="CX150" s="121"/>
      <c r="CY150" s="121"/>
      <c r="CZ150" s="121"/>
      <c r="DA150" s="121"/>
      <c r="DB150" s="121"/>
      <c r="DC150" s="121"/>
      <c r="DD150" s="121"/>
      <c r="DE150" s="121"/>
      <c r="DF150" s="121"/>
      <c r="DG150" s="121"/>
      <c r="DH150" s="121"/>
      <c r="DI150" s="121"/>
      <c r="DJ150" s="121"/>
      <c r="DK150" s="121"/>
      <c r="DL150" s="121"/>
      <c r="DM150" s="121"/>
      <c r="DN150" s="121"/>
      <c r="DO150" s="121"/>
      <c r="DP150" s="121"/>
      <c r="DQ150" s="121"/>
      <c r="DR150" s="121"/>
      <c r="DS150" s="121"/>
      <c r="DT150" s="121"/>
      <c r="DU150" s="121"/>
      <c r="DV150" s="121"/>
      <c r="DW150" s="121"/>
      <c r="DX150" s="121"/>
      <c r="DY150" s="121"/>
      <c r="DZ150" s="121"/>
      <c r="EA150" s="121"/>
      <c r="EB150" s="121"/>
      <c r="EC150" s="121"/>
      <c r="ED150" s="121"/>
      <c r="EE150" s="121"/>
      <c r="EF150" s="121"/>
      <c r="EG150" s="121"/>
      <c r="EH150" s="121"/>
      <c r="EI150" s="121"/>
      <c r="EJ150" s="121"/>
      <c r="EK150" s="121"/>
      <c r="EL150" s="121"/>
      <c r="EM150" s="121"/>
      <c r="EN150" s="121"/>
      <c r="EO150" s="121"/>
      <c r="EP150" s="121"/>
      <c r="EQ150" s="121"/>
      <c r="ER150" s="121"/>
      <c r="ES150" s="121"/>
      <c r="ET150" s="121"/>
      <c r="EU150" s="121"/>
      <c r="EV150" s="121"/>
      <c r="EW150" s="121"/>
      <c r="EX150" s="121"/>
      <c r="EY150" s="121"/>
      <c r="EZ150" s="121"/>
      <c r="FA150" s="121"/>
      <c r="FB150" s="121"/>
      <c r="FC150" s="121"/>
      <c r="FD150" s="121"/>
      <c r="FE150" s="121"/>
      <c r="FF150" s="121"/>
      <c r="FG150" s="121"/>
      <c r="FH150" s="121"/>
      <c r="FI150" s="121"/>
      <c r="FJ150" s="121"/>
      <c r="FK150" s="121"/>
      <c r="FL150" s="121"/>
      <c r="FM150" s="121"/>
      <c r="FN150" s="121"/>
      <c r="FO150" s="121"/>
      <c r="FP150" s="121"/>
      <c r="FQ150" s="121"/>
      <c r="FR150" s="121"/>
      <c r="FS150" s="121"/>
      <c r="FT150" s="121"/>
      <c r="FU150" s="121"/>
      <c r="FV150" s="121"/>
      <c r="FW150" s="121"/>
      <c r="FX150" s="121"/>
      <c r="FY150" s="121"/>
      <c r="FZ150" s="121"/>
      <c r="GA150" s="121"/>
      <c r="GB150" s="121"/>
      <c r="GC150" s="121"/>
      <c r="GD150" s="121"/>
      <c r="GE150" s="121"/>
      <c r="GF150" s="121"/>
      <c r="GG150" s="121"/>
      <c r="GH150" s="121"/>
    </row>
    <row r="151" spans="1:190">
      <c r="A151" s="121"/>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c r="AD151" s="121"/>
      <c r="AE151" s="121"/>
      <c r="AF151" s="121"/>
      <c r="AG151" s="121"/>
      <c r="AH151" s="121"/>
      <c r="AI151" s="121"/>
      <c r="AJ151" s="121"/>
      <c r="AK151" s="121"/>
      <c r="AL151" s="121"/>
      <c r="AM151" s="121"/>
      <c r="AN151" s="121"/>
      <c r="AO151" s="121"/>
      <c r="AP151" s="121"/>
      <c r="AQ151" s="121"/>
      <c r="AR151" s="121"/>
      <c r="AS151" s="121"/>
      <c r="AT151" s="121"/>
      <c r="AU151" s="121"/>
      <c r="AV151" s="121"/>
      <c r="AW151" s="121"/>
      <c r="AX151" s="121"/>
      <c r="AY151" s="121"/>
      <c r="AZ151" s="121"/>
      <c r="BA151" s="121"/>
      <c r="BB151" s="121"/>
      <c r="BC151" s="121"/>
      <c r="BD151" s="121"/>
      <c r="BE151" s="121"/>
      <c r="BF151" s="121"/>
      <c r="BG151" s="121"/>
      <c r="BH151" s="121"/>
      <c r="BI151" s="121"/>
      <c r="BJ151" s="121"/>
      <c r="BK151" s="121"/>
      <c r="BL151" s="121"/>
      <c r="BM151" s="121"/>
      <c r="BN151" s="121"/>
      <c r="BO151" s="121"/>
      <c r="BP151" s="121"/>
      <c r="BQ151" s="121"/>
      <c r="BR151" s="121"/>
      <c r="BS151" s="121"/>
      <c r="BT151" s="121"/>
      <c r="BU151" s="121"/>
      <c r="BV151" s="121"/>
      <c r="BW151" s="121"/>
      <c r="BX151" s="121"/>
      <c r="BY151" s="121"/>
      <c r="BZ151" s="121"/>
      <c r="CA151" s="121"/>
      <c r="CB151" s="121"/>
      <c r="CC151" s="121"/>
      <c r="CD151" s="121"/>
      <c r="CE151" s="121"/>
      <c r="CF151" s="121"/>
      <c r="CG151" s="121"/>
      <c r="CH151" s="121"/>
      <c r="CI151" s="121"/>
      <c r="CJ151" s="121"/>
      <c r="CK151" s="121"/>
      <c r="CL151" s="121"/>
      <c r="CM151" s="121"/>
      <c r="CN151" s="121"/>
      <c r="CO151" s="121"/>
      <c r="CP151" s="121"/>
      <c r="CQ151" s="121"/>
      <c r="CR151" s="121"/>
      <c r="CS151" s="121"/>
      <c r="CT151" s="121"/>
      <c r="CU151" s="121"/>
      <c r="CV151" s="121"/>
      <c r="CW151" s="121"/>
      <c r="CX151" s="121"/>
      <c r="CY151" s="121"/>
      <c r="CZ151" s="121"/>
      <c r="DA151" s="121"/>
      <c r="DB151" s="121"/>
      <c r="DC151" s="121"/>
      <c r="DD151" s="121"/>
      <c r="DE151" s="121"/>
      <c r="DF151" s="121"/>
      <c r="DG151" s="121"/>
      <c r="DH151" s="121"/>
      <c r="DI151" s="121"/>
      <c r="DJ151" s="121"/>
      <c r="DK151" s="121"/>
      <c r="DL151" s="121"/>
      <c r="DM151" s="121"/>
      <c r="DN151" s="121"/>
      <c r="DO151" s="121"/>
      <c r="DP151" s="121"/>
      <c r="DQ151" s="121"/>
      <c r="DR151" s="121"/>
      <c r="DS151" s="121"/>
      <c r="DT151" s="121"/>
      <c r="DU151" s="121"/>
      <c r="DV151" s="121"/>
      <c r="DW151" s="121"/>
      <c r="DX151" s="121"/>
      <c r="DY151" s="121"/>
      <c r="DZ151" s="121"/>
      <c r="EA151" s="121"/>
      <c r="EB151" s="121"/>
      <c r="EC151" s="121"/>
      <c r="ED151" s="121"/>
      <c r="EE151" s="121"/>
      <c r="EF151" s="121"/>
      <c r="EG151" s="121"/>
      <c r="EH151" s="121"/>
      <c r="EI151" s="121"/>
      <c r="EJ151" s="121"/>
      <c r="EK151" s="121"/>
      <c r="EL151" s="121"/>
      <c r="EM151" s="121"/>
      <c r="EN151" s="121"/>
      <c r="EO151" s="121"/>
      <c r="EP151" s="121"/>
      <c r="EQ151" s="121"/>
      <c r="ER151" s="121"/>
      <c r="ES151" s="121"/>
      <c r="ET151" s="121"/>
      <c r="EU151" s="121"/>
      <c r="EV151" s="121"/>
      <c r="EW151" s="121"/>
      <c r="EX151" s="121"/>
      <c r="EY151" s="121"/>
      <c r="EZ151" s="121"/>
      <c r="FA151" s="121"/>
      <c r="FB151" s="121"/>
      <c r="FC151" s="121"/>
      <c r="FD151" s="121"/>
      <c r="FE151" s="121"/>
      <c r="FF151" s="121"/>
      <c r="FG151" s="121"/>
      <c r="FH151" s="121"/>
      <c r="FI151" s="121"/>
      <c r="FJ151" s="121"/>
      <c r="FK151" s="121"/>
      <c r="FL151" s="121"/>
      <c r="FM151" s="121"/>
      <c r="FN151" s="121"/>
      <c r="FO151" s="121"/>
      <c r="FP151" s="121"/>
      <c r="FQ151" s="121"/>
      <c r="FR151" s="121"/>
      <c r="FS151" s="121"/>
      <c r="FT151" s="121"/>
      <c r="FU151" s="121"/>
      <c r="FV151" s="121"/>
      <c r="FW151" s="121"/>
      <c r="FX151" s="121"/>
      <c r="FY151" s="121"/>
      <c r="FZ151" s="121"/>
      <c r="GA151" s="121"/>
      <c r="GB151" s="121"/>
      <c r="GC151" s="121"/>
      <c r="GD151" s="121"/>
      <c r="GE151" s="121"/>
      <c r="GF151" s="121"/>
      <c r="GG151" s="121"/>
      <c r="GH151" s="121"/>
    </row>
    <row r="152" spans="1:190">
      <c r="A152" s="121"/>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c r="AD152" s="121"/>
      <c r="AE152" s="121"/>
      <c r="AF152" s="121"/>
      <c r="AG152" s="121"/>
      <c r="AH152" s="121"/>
      <c r="AI152" s="121"/>
      <c r="AJ152" s="121"/>
      <c r="AK152" s="121"/>
      <c r="AL152" s="121"/>
      <c r="AM152" s="121"/>
      <c r="AN152" s="121"/>
      <c r="AO152" s="121"/>
      <c r="AP152" s="121"/>
      <c r="AQ152" s="121"/>
      <c r="AR152" s="121"/>
      <c r="AS152" s="121"/>
      <c r="AT152" s="121"/>
      <c r="AU152" s="121"/>
      <c r="AV152" s="121"/>
      <c r="AW152" s="121"/>
      <c r="AX152" s="121"/>
      <c r="AY152" s="121"/>
      <c r="AZ152" s="121"/>
      <c r="BA152" s="121"/>
      <c r="BB152" s="121"/>
      <c r="BC152" s="121"/>
      <c r="BD152" s="121"/>
      <c r="BE152" s="121"/>
      <c r="BF152" s="121"/>
      <c r="BG152" s="121"/>
      <c r="BH152" s="121"/>
      <c r="BI152" s="121"/>
      <c r="BJ152" s="121"/>
      <c r="BK152" s="121"/>
      <c r="BL152" s="121"/>
      <c r="BM152" s="121"/>
      <c r="BN152" s="121"/>
      <c r="BO152" s="121"/>
      <c r="BP152" s="121"/>
      <c r="BQ152" s="121"/>
      <c r="BR152" s="121"/>
      <c r="BS152" s="121"/>
      <c r="BT152" s="121"/>
      <c r="BU152" s="121"/>
      <c r="BV152" s="121"/>
      <c r="BW152" s="121"/>
      <c r="BX152" s="121"/>
      <c r="BY152" s="121"/>
      <c r="BZ152" s="121"/>
      <c r="CA152" s="121"/>
      <c r="CB152" s="121"/>
      <c r="CC152" s="121"/>
      <c r="CD152" s="121"/>
      <c r="CE152" s="121"/>
      <c r="CF152" s="121"/>
      <c r="CG152" s="121"/>
      <c r="CH152" s="121"/>
      <c r="CI152" s="121"/>
      <c r="CJ152" s="121"/>
      <c r="CK152" s="121"/>
      <c r="CL152" s="121"/>
      <c r="CM152" s="121"/>
      <c r="CN152" s="121"/>
      <c r="CO152" s="121"/>
      <c r="CP152" s="121"/>
      <c r="CQ152" s="121"/>
      <c r="CR152" s="121"/>
      <c r="CS152" s="121"/>
      <c r="CT152" s="121"/>
      <c r="CU152" s="121"/>
      <c r="CV152" s="121"/>
      <c r="CW152" s="121"/>
      <c r="CX152" s="121"/>
      <c r="CY152" s="121"/>
      <c r="CZ152" s="121"/>
      <c r="DA152" s="121"/>
      <c r="DB152" s="121"/>
      <c r="DC152" s="121"/>
      <c r="DD152" s="121"/>
      <c r="DE152" s="121"/>
      <c r="DF152" s="121"/>
      <c r="DG152" s="121"/>
      <c r="DH152" s="121"/>
      <c r="DI152" s="121"/>
      <c r="DJ152" s="121"/>
      <c r="DK152" s="121"/>
      <c r="DL152" s="121"/>
      <c r="DM152" s="121"/>
      <c r="DN152" s="121"/>
      <c r="DO152" s="121"/>
      <c r="DP152" s="121"/>
      <c r="DQ152" s="121"/>
      <c r="DR152" s="121"/>
      <c r="DS152" s="121"/>
      <c r="DT152" s="121"/>
      <c r="DU152" s="121"/>
      <c r="DV152" s="121"/>
      <c r="DW152" s="121"/>
      <c r="DX152" s="121"/>
      <c r="DY152" s="121"/>
      <c r="DZ152" s="121"/>
      <c r="EA152" s="121"/>
      <c r="EB152" s="121"/>
      <c r="EC152" s="121"/>
      <c r="ED152" s="121"/>
      <c r="EE152" s="121"/>
      <c r="EF152" s="121"/>
      <c r="EG152" s="121"/>
      <c r="EH152" s="121"/>
      <c r="EI152" s="121"/>
      <c r="EJ152" s="121"/>
      <c r="EK152" s="121"/>
      <c r="EL152" s="121"/>
      <c r="EM152" s="121"/>
      <c r="EN152" s="121"/>
      <c r="EO152" s="121"/>
      <c r="EP152" s="121"/>
      <c r="EQ152" s="121"/>
      <c r="ER152" s="121"/>
      <c r="ES152" s="121"/>
      <c r="ET152" s="121"/>
      <c r="EU152" s="121"/>
      <c r="EV152" s="121"/>
      <c r="EW152" s="121"/>
      <c r="EX152" s="121"/>
      <c r="EY152" s="121"/>
      <c r="EZ152" s="121"/>
      <c r="FA152" s="121"/>
      <c r="FB152" s="121"/>
      <c r="FC152" s="121"/>
      <c r="FD152" s="121"/>
      <c r="FE152" s="121"/>
      <c r="FF152" s="121"/>
      <c r="FG152" s="121"/>
      <c r="FH152" s="121"/>
      <c r="FI152" s="121"/>
      <c r="FJ152" s="121"/>
      <c r="FK152" s="121"/>
      <c r="FL152" s="121"/>
      <c r="FM152" s="121"/>
      <c r="FN152" s="121"/>
      <c r="FO152" s="121"/>
      <c r="FP152" s="121"/>
      <c r="FQ152" s="121"/>
      <c r="FR152" s="121"/>
      <c r="FS152" s="121"/>
      <c r="FT152" s="121"/>
      <c r="FU152" s="121"/>
      <c r="FV152" s="121"/>
      <c r="FW152" s="121"/>
      <c r="FX152" s="121"/>
      <c r="FY152" s="121"/>
      <c r="FZ152" s="121"/>
      <c r="GA152" s="121"/>
      <c r="GB152" s="121"/>
      <c r="GC152" s="121"/>
      <c r="GD152" s="121"/>
      <c r="GE152" s="121"/>
      <c r="GF152" s="121"/>
      <c r="GG152" s="121"/>
      <c r="GH152" s="121"/>
    </row>
    <row r="153" spans="1:190">
      <c r="A153" s="121"/>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c r="AE153" s="121"/>
      <c r="AF153" s="121"/>
      <c r="AG153" s="121"/>
      <c r="AH153" s="121"/>
      <c r="AI153" s="121"/>
      <c r="AJ153" s="121"/>
      <c r="AK153" s="121"/>
      <c r="AL153" s="121"/>
      <c r="AM153" s="121"/>
      <c r="AN153" s="121"/>
      <c r="AO153" s="121"/>
      <c r="AP153" s="121"/>
      <c r="AQ153" s="121"/>
      <c r="AR153" s="121"/>
      <c r="AS153" s="121"/>
      <c r="AT153" s="121"/>
      <c r="AU153" s="121"/>
      <c r="AV153" s="121"/>
      <c r="AW153" s="121"/>
      <c r="AX153" s="121"/>
      <c r="AY153" s="121"/>
      <c r="AZ153" s="121"/>
      <c r="BA153" s="121"/>
      <c r="BB153" s="121"/>
      <c r="BC153" s="121"/>
      <c r="BD153" s="121"/>
      <c r="BE153" s="121"/>
      <c r="BF153" s="121"/>
      <c r="BG153" s="121"/>
      <c r="BH153" s="121"/>
      <c r="BI153" s="121"/>
      <c r="BJ153" s="121"/>
      <c r="BK153" s="121"/>
      <c r="BL153" s="121"/>
      <c r="BM153" s="121"/>
      <c r="BN153" s="121"/>
      <c r="BO153" s="121"/>
      <c r="BP153" s="121"/>
      <c r="BQ153" s="121"/>
      <c r="BR153" s="121"/>
      <c r="BS153" s="121"/>
      <c r="BT153" s="121"/>
      <c r="BU153" s="121"/>
      <c r="BV153" s="121"/>
      <c r="BW153" s="121"/>
      <c r="BX153" s="121"/>
      <c r="BY153" s="121"/>
      <c r="BZ153" s="121"/>
      <c r="CA153" s="121"/>
      <c r="CB153" s="121"/>
      <c r="CC153" s="121"/>
      <c r="CD153" s="121"/>
      <c r="CE153" s="121"/>
      <c r="CF153" s="121"/>
      <c r="CG153" s="121"/>
      <c r="CH153" s="121"/>
      <c r="CI153" s="121"/>
      <c r="CJ153" s="121"/>
      <c r="CK153" s="121"/>
      <c r="CL153" s="121"/>
      <c r="CM153" s="121"/>
      <c r="CN153" s="121"/>
      <c r="CO153" s="121"/>
      <c r="CP153" s="121"/>
      <c r="CQ153" s="121"/>
      <c r="CR153" s="121"/>
      <c r="CS153" s="121"/>
      <c r="CT153" s="121"/>
      <c r="CU153" s="121"/>
      <c r="CV153" s="121"/>
      <c r="CW153" s="121"/>
      <c r="CX153" s="121"/>
      <c r="CY153" s="121"/>
      <c r="CZ153" s="121"/>
      <c r="DA153" s="121"/>
      <c r="DB153" s="121"/>
      <c r="DC153" s="121"/>
      <c r="DD153" s="121"/>
      <c r="DE153" s="121"/>
      <c r="DF153" s="121"/>
      <c r="DG153" s="121"/>
      <c r="DH153" s="121"/>
      <c r="DI153" s="121"/>
      <c r="DJ153" s="121"/>
      <c r="DK153" s="121"/>
      <c r="DL153" s="121"/>
      <c r="DM153" s="121"/>
      <c r="DN153" s="121"/>
      <c r="DO153" s="121"/>
      <c r="DP153" s="121"/>
      <c r="DQ153" s="121"/>
      <c r="DR153" s="121"/>
      <c r="DS153" s="121"/>
      <c r="DT153" s="121"/>
      <c r="DU153" s="121"/>
      <c r="DV153" s="121"/>
      <c r="DW153" s="121"/>
      <c r="DX153" s="121"/>
      <c r="DY153" s="121"/>
      <c r="DZ153" s="121"/>
      <c r="EA153" s="121"/>
      <c r="EB153" s="121"/>
      <c r="EC153" s="121"/>
      <c r="ED153" s="121"/>
      <c r="EE153" s="121"/>
      <c r="EF153" s="121"/>
      <c r="EG153" s="121"/>
      <c r="EH153" s="121"/>
      <c r="EI153" s="121"/>
      <c r="EJ153" s="121"/>
      <c r="EK153" s="121"/>
      <c r="EL153" s="121"/>
      <c r="EM153" s="121"/>
      <c r="EN153" s="121"/>
      <c r="EO153" s="121"/>
      <c r="EP153" s="121"/>
      <c r="EQ153" s="121"/>
      <c r="ER153" s="121"/>
      <c r="ES153" s="121"/>
      <c r="ET153" s="121"/>
      <c r="EU153" s="121"/>
      <c r="EV153" s="121"/>
      <c r="EW153" s="121"/>
      <c r="EX153" s="121"/>
      <c r="EY153" s="121"/>
      <c r="EZ153" s="121"/>
      <c r="FA153" s="121"/>
      <c r="FB153" s="121"/>
      <c r="FC153" s="121"/>
      <c r="FD153" s="121"/>
      <c r="FE153" s="121"/>
      <c r="FF153" s="121"/>
      <c r="FG153" s="121"/>
      <c r="FH153" s="121"/>
      <c r="FI153" s="121"/>
      <c r="FJ153" s="121"/>
      <c r="FK153" s="121"/>
      <c r="FL153" s="121"/>
      <c r="FM153" s="121"/>
      <c r="FN153" s="121"/>
      <c r="FO153" s="121"/>
      <c r="FP153" s="121"/>
      <c r="FQ153" s="121"/>
      <c r="FR153" s="121"/>
      <c r="FS153" s="121"/>
      <c r="FT153" s="121"/>
      <c r="FU153" s="121"/>
      <c r="FV153" s="121"/>
      <c r="FW153" s="121"/>
      <c r="FX153" s="121"/>
      <c r="FY153" s="121"/>
      <c r="FZ153" s="121"/>
      <c r="GA153" s="121"/>
      <c r="GB153" s="121"/>
      <c r="GC153" s="121"/>
      <c r="GD153" s="121"/>
      <c r="GE153" s="121"/>
      <c r="GF153" s="121"/>
      <c r="GG153" s="121"/>
      <c r="GH153" s="121"/>
    </row>
    <row r="154" spans="1:190">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c r="AE154" s="121"/>
      <c r="AF154" s="121"/>
      <c r="AG154" s="121"/>
      <c r="AH154" s="121"/>
      <c r="AI154" s="121"/>
      <c r="AJ154" s="121"/>
      <c r="AK154" s="121"/>
      <c r="AL154" s="121"/>
      <c r="AM154" s="121"/>
      <c r="AN154" s="121"/>
      <c r="AO154" s="121"/>
      <c r="AP154" s="121"/>
      <c r="AQ154" s="121"/>
      <c r="AR154" s="121"/>
      <c r="AS154" s="121"/>
      <c r="AT154" s="121"/>
      <c r="AU154" s="121"/>
      <c r="AV154" s="121"/>
      <c r="AW154" s="121"/>
      <c r="AX154" s="121"/>
      <c r="AY154" s="121"/>
      <c r="AZ154" s="121"/>
      <c r="BA154" s="121"/>
      <c r="BB154" s="121"/>
      <c r="BC154" s="121"/>
      <c r="BD154" s="121"/>
      <c r="BE154" s="121"/>
      <c r="BF154" s="121"/>
      <c r="BG154" s="121"/>
      <c r="BH154" s="121"/>
      <c r="BI154" s="121"/>
      <c r="BJ154" s="121"/>
      <c r="BK154" s="121"/>
      <c r="BL154" s="121"/>
      <c r="BM154" s="121"/>
      <c r="BN154" s="121"/>
      <c r="BO154" s="121"/>
      <c r="BP154" s="121"/>
      <c r="BQ154" s="121"/>
      <c r="BR154" s="121"/>
      <c r="BS154" s="121"/>
      <c r="BT154" s="121"/>
      <c r="BU154" s="121"/>
      <c r="BV154" s="121"/>
      <c r="BW154" s="121"/>
      <c r="BX154" s="121"/>
      <c r="BY154" s="121"/>
      <c r="BZ154" s="121"/>
      <c r="CA154" s="121"/>
      <c r="CB154" s="121"/>
      <c r="CC154" s="121"/>
      <c r="CD154" s="121"/>
      <c r="CE154" s="121"/>
      <c r="CF154" s="121"/>
      <c r="CG154" s="121"/>
      <c r="CH154" s="121"/>
      <c r="CI154" s="121"/>
      <c r="CJ154" s="121"/>
      <c r="CK154" s="121"/>
      <c r="CL154" s="121"/>
      <c r="CM154" s="121"/>
      <c r="CN154" s="121"/>
      <c r="CO154" s="121"/>
      <c r="CP154" s="121"/>
      <c r="CQ154" s="121"/>
      <c r="CR154" s="121"/>
      <c r="CS154" s="121"/>
      <c r="CT154" s="121"/>
      <c r="CU154" s="121"/>
      <c r="CV154" s="121"/>
      <c r="CW154" s="121"/>
      <c r="CX154" s="121"/>
      <c r="CY154" s="121"/>
      <c r="CZ154" s="121"/>
      <c r="DA154" s="121"/>
      <c r="DB154" s="121"/>
      <c r="DC154" s="121"/>
      <c r="DD154" s="121"/>
      <c r="DE154" s="121"/>
      <c r="DF154" s="121"/>
      <c r="DG154" s="121"/>
      <c r="DH154" s="121"/>
      <c r="DI154" s="121"/>
      <c r="DJ154" s="121"/>
      <c r="DK154" s="121"/>
      <c r="DL154" s="121"/>
      <c r="DM154" s="121"/>
      <c r="DN154" s="121"/>
      <c r="DO154" s="121"/>
      <c r="DP154" s="121"/>
      <c r="DQ154" s="121"/>
      <c r="DR154" s="121"/>
      <c r="DS154" s="121"/>
      <c r="DT154" s="121"/>
      <c r="DU154" s="121"/>
      <c r="DV154" s="121"/>
      <c r="DW154" s="121"/>
      <c r="DX154" s="121"/>
      <c r="DY154" s="121"/>
      <c r="DZ154" s="121"/>
      <c r="EA154" s="121"/>
      <c r="EB154" s="121"/>
      <c r="EC154" s="121"/>
      <c r="ED154" s="121"/>
      <c r="EE154" s="121"/>
      <c r="EF154" s="121"/>
      <c r="EG154" s="121"/>
      <c r="EH154" s="121"/>
      <c r="EI154" s="121"/>
      <c r="EJ154" s="121"/>
      <c r="EK154" s="121"/>
      <c r="EL154" s="121"/>
      <c r="EM154" s="121"/>
      <c r="EN154" s="121"/>
      <c r="EO154" s="121"/>
      <c r="EP154" s="121"/>
      <c r="EQ154" s="121"/>
      <c r="ER154" s="121"/>
      <c r="ES154" s="121"/>
      <c r="ET154" s="121"/>
      <c r="EU154" s="121"/>
      <c r="EV154" s="121"/>
      <c r="EW154" s="121"/>
      <c r="EX154" s="121"/>
      <c r="EY154" s="121"/>
      <c r="EZ154" s="121"/>
      <c r="FA154" s="121"/>
      <c r="FB154" s="121"/>
      <c r="FC154" s="121"/>
      <c r="FD154" s="121"/>
      <c r="FE154" s="121"/>
      <c r="FF154" s="121"/>
      <c r="FG154" s="121"/>
      <c r="FH154" s="121"/>
      <c r="FI154" s="121"/>
      <c r="FJ154" s="121"/>
      <c r="FK154" s="121"/>
      <c r="FL154" s="121"/>
      <c r="FM154" s="121"/>
      <c r="FN154" s="121"/>
      <c r="FO154" s="121"/>
      <c r="FP154" s="121"/>
      <c r="FQ154" s="121"/>
      <c r="FR154" s="121"/>
      <c r="FS154" s="121"/>
      <c r="FT154" s="121"/>
      <c r="FU154" s="121"/>
      <c r="FV154" s="121"/>
      <c r="FW154" s="121"/>
      <c r="FX154" s="121"/>
      <c r="FY154" s="121"/>
      <c r="FZ154" s="121"/>
      <c r="GA154" s="121"/>
      <c r="GB154" s="121"/>
      <c r="GC154" s="121"/>
      <c r="GD154" s="121"/>
      <c r="GE154" s="121"/>
      <c r="GF154" s="121"/>
      <c r="GG154" s="121"/>
      <c r="GH154" s="121"/>
    </row>
    <row r="155" spans="1:190">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c r="AE155" s="121"/>
      <c r="AF155" s="121"/>
      <c r="AG155" s="121"/>
      <c r="AH155" s="121"/>
      <c r="AI155" s="121"/>
      <c r="AJ155" s="121"/>
      <c r="AK155" s="121"/>
      <c r="AL155" s="121"/>
      <c r="AM155" s="121"/>
      <c r="AN155" s="121"/>
      <c r="AO155" s="121"/>
      <c r="AP155" s="121"/>
      <c r="AQ155" s="121"/>
      <c r="AR155" s="121"/>
      <c r="AS155" s="121"/>
      <c r="AT155" s="121"/>
      <c r="AU155" s="121"/>
      <c r="AV155" s="121"/>
      <c r="AW155" s="121"/>
      <c r="AX155" s="121"/>
      <c r="AY155" s="121"/>
      <c r="AZ155" s="121"/>
      <c r="BA155" s="121"/>
      <c r="BB155" s="121"/>
      <c r="BC155" s="121"/>
      <c r="BD155" s="121"/>
      <c r="BE155" s="121"/>
      <c r="BF155" s="121"/>
      <c r="BG155" s="121"/>
      <c r="BH155" s="121"/>
      <c r="BI155" s="121"/>
      <c r="BJ155" s="121"/>
      <c r="BK155" s="121"/>
      <c r="BL155" s="121"/>
      <c r="BM155" s="121"/>
      <c r="BN155" s="121"/>
      <c r="BO155" s="121"/>
      <c r="BP155" s="121"/>
      <c r="BQ155" s="121"/>
      <c r="BR155" s="121"/>
      <c r="BS155" s="121"/>
      <c r="BT155" s="121"/>
      <c r="BU155" s="121"/>
      <c r="BV155" s="121"/>
      <c r="BW155" s="121"/>
      <c r="BX155" s="121"/>
      <c r="BY155" s="121"/>
      <c r="BZ155" s="121"/>
      <c r="CA155" s="121"/>
      <c r="CB155" s="121"/>
      <c r="CC155" s="121"/>
      <c r="CD155" s="121"/>
      <c r="CE155" s="121"/>
      <c r="CF155" s="121"/>
      <c r="CG155" s="121"/>
      <c r="CH155" s="121"/>
      <c r="CI155" s="121"/>
      <c r="CJ155" s="121"/>
      <c r="CK155" s="121"/>
      <c r="CL155" s="121"/>
      <c r="CM155" s="121"/>
      <c r="CN155" s="121"/>
      <c r="CO155" s="121"/>
      <c r="CP155" s="121"/>
      <c r="CQ155" s="121"/>
      <c r="CR155" s="121"/>
      <c r="CS155" s="121"/>
      <c r="CT155" s="121"/>
      <c r="CU155" s="121"/>
      <c r="CV155" s="121"/>
      <c r="CW155" s="121"/>
      <c r="CX155" s="121"/>
      <c r="CY155" s="121"/>
      <c r="CZ155" s="121"/>
      <c r="DA155" s="121"/>
      <c r="DB155" s="121"/>
      <c r="DC155" s="121"/>
      <c r="DD155" s="121"/>
      <c r="DE155" s="121"/>
      <c r="DF155" s="121"/>
      <c r="DG155" s="121"/>
      <c r="DH155" s="121"/>
      <c r="DI155" s="121"/>
      <c r="DJ155" s="121"/>
      <c r="DK155" s="121"/>
      <c r="DL155" s="121"/>
      <c r="DM155" s="121"/>
      <c r="DN155" s="121"/>
      <c r="DO155" s="121"/>
      <c r="DP155" s="121"/>
      <c r="DQ155" s="121"/>
      <c r="DR155" s="121"/>
      <c r="DS155" s="121"/>
      <c r="DT155" s="121"/>
      <c r="DU155" s="121"/>
      <c r="DV155" s="121"/>
      <c r="DW155" s="121"/>
      <c r="DX155" s="121"/>
      <c r="DY155" s="121"/>
      <c r="DZ155" s="121"/>
      <c r="EA155" s="121"/>
      <c r="EB155" s="121"/>
      <c r="EC155" s="121"/>
      <c r="ED155" s="121"/>
      <c r="EE155" s="121"/>
      <c r="EF155" s="121"/>
      <c r="EG155" s="121"/>
      <c r="EH155" s="121"/>
      <c r="EI155" s="121"/>
      <c r="EJ155" s="121"/>
      <c r="EK155" s="121"/>
      <c r="EL155" s="121"/>
      <c r="EM155" s="121"/>
      <c r="EN155" s="121"/>
      <c r="EO155" s="121"/>
      <c r="EP155" s="121"/>
      <c r="EQ155" s="121"/>
      <c r="ER155" s="121"/>
      <c r="ES155" s="121"/>
      <c r="ET155" s="121"/>
      <c r="EU155" s="121"/>
      <c r="EV155" s="121"/>
      <c r="EW155" s="121"/>
      <c r="EX155" s="121"/>
      <c r="EY155" s="121"/>
      <c r="EZ155" s="121"/>
      <c r="FA155" s="121"/>
      <c r="FB155" s="121"/>
      <c r="FC155" s="121"/>
      <c r="FD155" s="121"/>
      <c r="FE155" s="121"/>
      <c r="FF155" s="121"/>
      <c r="FG155" s="121"/>
      <c r="FH155" s="121"/>
      <c r="FI155" s="121"/>
      <c r="FJ155" s="121"/>
      <c r="FK155" s="121"/>
      <c r="FL155" s="121"/>
      <c r="FM155" s="121"/>
      <c r="FN155" s="121"/>
      <c r="FO155" s="121"/>
      <c r="FP155" s="121"/>
      <c r="FQ155" s="121"/>
      <c r="FR155" s="121"/>
      <c r="FS155" s="121"/>
      <c r="FT155" s="121"/>
      <c r="FU155" s="121"/>
      <c r="FV155" s="121"/>
      <c r="FW155" s="121"/>
      <c r="FX155" s="121"/>
      <c r="FY155" s="121"/>
      <c r="FZ155" s="121"/>
      <c r="GA155" s="121"/>
      <c r="GB155" s="121"/>
      <c r="GC155" s="121"/>
      <c r="GD155" s="121"/>
      <c r="GE155" s="121"/>
      <c r="GF155" s="121"/>
      <c r="GG155" s="121"/>
      <c r="GH155" s="121"/>
    </row>
    <row r="156" spans="1:190">
      <c r="A156" s="121"/>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c r="AE156" s="121"/>
      <c r="AF156" s="121"/>
      <c r="AG156" s="121"/>
      <c r="AH156" s="121"/>
      <c r="AI156" s="121"/>
      <c r="AJ156" s="121"/>
      <c r="AK156" s="121"/>
      <c r="AL156" s="121"/>
      <c r="AM156" s="121"/>
      <c r="AN156" s="121"/>
      <c r="AO156" s="121"/>
      <c r="AP156" s="121"/>
      <c r="AQ156" s="121"/>
      <c r="AR156" s="121"/>
      <c r="AS156" s="121"/>
      <c r="AT156" s="121"/>
      <c r="AU156" s="121"/>
      <c r="AV156" s="121"/>
      <c r="AW156" s="121"/>
      <c r="AX156" s="121"/>
      <c r="AY156" s="121"/>
      <c r="AZ156" s="121"/>
      <c r="BA156" s="121"/>
      <c r="BB156" s="121"/>
      <c r="BC156" s="121"/>
      <c r="BD156" s="121"/>
      <c r="BE156" s="121"/>
      <c r="BF156" s="121"/>
      <c r="BG156" s="121"/>
      <c r="BH156" s="121"/>
      <c r="BI156" s="121"/>
      <c r="BJ156" s="121"/>
      <c r="BK156" s="121"/>
      <c r="BL156" s="121"/>
      <c r="BM156" s="121"/>
      <c r="BN156" s="121"/>
      <c r="BO156" s="121"/>
      <c r="BP156" s="121"/>
      <c r="BQ156" s="121"/>
      <c r="BR156" s="121"/>
      <c r="BS156" s="121"/>
      <c r="BT156" s="121"/>
      <c r="BU156" s="121"/>
      <c r="BV156" s="121"/>
      <c r="BW156" s="121"/>
      <c r="BX156" s="121"/>
      <c r="BY156" s="121"/>
      <c r="BZ156" s="121"/>
      <c r="CA156" s="121"/>
      <c r="CB156" s="121"/>
      <c r="CC156" s="121"/>
      <c r="CD156" s="121"/>
      <c r="CE156" s="121"/>
      <c r="CF156" s="121"/>
      <c r="CG156" s="121"/>
      <c r="CH156" s="121"/>
      <c r="CI156" s="121"/>
      <c r="CJ156" s="121"/>
      <c r="CK156" s="121"/>
      <c r="CL156" s="121"/>
      <c r="CM156" s="121"/>
      <c r="CN156" s="121"/>
      <c r="CO156" s="121"/>
      <c r="CP156" s="121"/>
      <c r="CQ156" s="121"/>
      <c r="CR156" s="121"/>
      <c r="CS156" s="121"/>
      <c r="CT156" s="121"/>
      <c r="CU156" s="121"/>
      <c r="CV156" s="121"/>
      <c r="CW156" s="121"/>
      <c r="CX156" s="121"/>
      <c r="CY156" s="121"/>
      <c r="CZ156" s="121"/>
      <c r="DA156" s="121"/>
      <c r="DB156" s="121"/>
      <c r="DC156" s="121"/>
      <c r="DD156" s="121"/>
      <c r="DE156" s="121"/>
      <c r="DF156" s="121"/>
      <c r="DG156" s="121"/>
      <c r="DH156" s="121"/>
      <c r="DI156" s="121"/>
      <c r="DJ156" s="121"/>
      <c r="DK156" s="121"/>
      <c r="DL156" s="121"/>
      <c r="DM156" s="121"/>
      <c r="DN156" s="121"/>
      <c r="DO156" s="121"/>
      <c r="DP156" s="121"/>
      <c r="DQ156" s="121"/>
      <c r="DR156" s="121"/>
      <c r="DS156" s="121"/>
      <c r="DT156" s="121"/>
      <c r="DU156" s="121"/>
      <c r="DV156" s="121"/>
      <c r="DW156" s="121"/>
      <c r="DX156" s="121"/>
      <c r="DY156" s="121"/>
      <c r="DZ156" s="121"/>
      <c r="EA156" s="121"/>
      <c r="EB156" s="121"/>
      <c r="EC156" s="121"/>
      <c r="ED156" s="121"/>
      <c r="EE156" s="121"/>
      <c r="EF156" s="121"/>
      <c r="EG156" s="121"/>
      <c r="EH156" s="121"/>
      <c r="EI156" s="121"/>
      <c r="EJ156" s="121"/>
      <c r="EK156" s="121"/>
      <c r="EL156" s="121"/>
      <c r="EM156" s="121"/>
      <c r="EN156" s="121"/>
      <c r="EO156" s="121"/>
      <c r="EP156" s="121"/>
      <c r="EQ156" s="121"/>
      <c r="ER156" s="121"/>
      <c r="ES156" s="121"/>
      <c r="ET156" s="121"/>
      <c r="EU156" s="121"/>
      <c r="EV156" s="121"/>
      <c r="EW156" s="121"/>
      <c r="EX156" s="121"/>
      <c r="EY156" s="121"/>
      <c r="EZ156" s="121"/>
      <c r="FA156" s="121"/>
      <c r="FB156" s="121"/>
      <c r="FC156" s="121"/>
      <c r="FD156" s="121"/>
      <c r="FE156" s="121"/>
      <c r="FF156" s="121"/>
      <c r="FG156" s="121"/>
      <c r="FH156" s="121"/>
      <c r="FI156" s="121"/>
      <c r="FJ156" s="121"/>
      <c r="FK156" s="121"/>
      <c r="FL156" s="121"/>
      <c r="FM156" s="121"/>
      <c r="FN156" s="121"/>
      <c r="FO156" s="121"/>
      <c r="FP156" s="121"/>
      <c r="FQ156" s="121"/>
      <c r="FR156" s="121"/>
      <c r="FS156" s="121"/>
      <c r="FT156" s="121"/>
      <c r="FU156" s="121"/>
      <c r="FV156" s="121"/>
      <c r="FW156" s="121"/>
      <c r="FX156" s="121"/>
      <c r="FY156" s="121"/>
      <c r="FZ156" s="121"/>
      <c r="GA156" s="121"/>
      <c r="GB156" s="121"/>
      <c r="GC156" s="121"/>
      <c r="GD156" s="121"/>
      <c r="GE156" s="121"/>
      <c r="GF156" s="121"/>
      <c r="GG156" s="121"/>
      <c r="GH156" s="121"/>
    </row>
    <row r="157" spans="1:190">
      <c r="A157" s="121"/>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c r="AE157" s="121"/>
      <c r="AF157" s="121"/>
      <c r="AG157" s="121"/>
      <c r="AH157" s="121"/>
      <c r="AI157" s="121"/>
      <c r="AJ157" s="121"/>
      <c r="AK157" s="121"/>
      <c r="AL157" s="121"/>
      <c r="AM157" s="121"/>
      <c r="AN157" s="121"/>
      <c r="AO157" s="121"/>
      <c r="AP157" s="121"/>
      <c r="AQ157" s="121"/>
      <c r="AR157" s="121"/>
      <c r="AS157" s="121"/>
      <c r="AT157" s="121"/>
      <c r="AU157" s="121"/>
      <c r="AV157" s="121"/>
      <c r="AW157" s="121"/>
      <c r="AX157" s="121"/>
      <c r="AY157" s="121"/>
      <c r="AZ157" s="121"/>
      <c r="BA157" s="121"/>
      <c r="BB157" s="121"/>
      <c r="BC157" s="121"/>
      <c r="BD157" s="121"/>
      <c r="BE157" s="121"/>
      <c r="BF157" s="121"/>
      <c r="BG157" s="121"/>
      <c r="BH157" s="121"/>
      <c r="BI157" s="121"/>
      <c r="BJ157" s="121"/>
      <c r="BK157" s="121"/>
      <c r="BL157" s="121"/>
      <c r="BM157" s="121"/>
      <c r="BN157" s="121"/>
      <c r="BO157" s="121"/>
      <c r="BP157" s="121"/>
      <c r="BQ157" s="121"/>
      <c r="BR157" s="121"/>
      <c r="BS157" s="121"/>
      <c r="BT157" s="121"/>
      <c r="BU157" s="121"/>
      <c r="BV157" s="121"/>
      <c r="BW157" s="121"/>
      <c r="BX157" s="121"/>
      <c r="BY157" s="121"/>
      <c r="BZ157" s="121"/>
      <c r="CA157" s="121"/>
      <c r="CB157" s="121"/>
      <c r="CC157" s="121"/>
      <c r="CD157" s="121"/>
      <c r="CE157" s="121"/>
      <c r="CF157" s="121"/>
      <c r="CG157" s="121"/>
      <c r="CH157" s="121"/>
      <c r="CI157" s="121"/>
      <c r="CJ157" s="121"/>
      <c r="CK157" s="121"/>
      <c r="CL157" s="121"/>
      <c r="CM157" s="121"/>
      <c r="CN157" s="121"/>
      <c r="CO157" s="121"/>
      <c r="CP157" s="121"/>
      <c r="CQ157" s="121"/>
      <c r="CR157" s="121"/>
      <c r="CS157" s="121"/>
      <c r="CT157" s="121"/>
      <c r="CU157" s="121"/>
      <c r="CV157" s="121"/>
      <c r="CW157" s="121"/>
      <c r="CX157" s="121"/>
      <c r="CY157" s="121"/>
      <c r="CZ157" s="121"/>
      <c r="DA157" s="121"/>
      <c r="DB157" s="121"/>
      <c r="DC157" s="121"/>
      <c r="DD157" s="121"/>
      <c r="DE157" s="121"/>
      <c r="DF157" s="121"/>
      <c r="DG157" s="121"/>
      <c r="DH157" s="121"/>
      <c r="DI157" s="121"/>
      <c r="DJ157" s="121"/>
      <c r="DK157" s="121"/>
      <c r="DL157" s="121"/>
      <c r="DM157" s="121"/>
      <c r="DN157" s="121"/>
      <c r="DO157" s="121"/>
      <c r="DP157" s="121"/>
      <c r="DQ157" s="121"/>
      <c r="DR157" s="121"/>
      <c r="DS157" s="121"/>
      <c r="DT157" s="121"/>
      <c r="DU157" s="121"/>
      <c r="DV157" s="121"/>
      <c r="DW157" s="121"/>
      <c r="DX157" s="121"/>
      <c r="DY157" s="121"/>
      <c r="DZ157" s="121"/>
      <c r="EA157" s="121"/>
      <c r="EB157" s="121"/>
      <c r="EC157" s="121"/>
      <c r="ED157" s="121"/>
      <c r="EE157" s="121"/>
      <c r="EF157" s="121"/>
      <c r="EG157" s="121"/>
      <c r="EH157" s="121"/>
      <c r="EI157" s="121"/>
      <c r="EJ157" s="121"/>
      <c r="EK157" s="121"/>
      <c r="EL157" s="121"/>
      <c r="EM157" s="121"/>
      <c r="EN157" s="121"/>
      <c r="EO157" s="121"/>
      <c r="EP157" s="121"/>
      <c r="EQ157" s="121"/>
      <c r="ER157" s="121"/>
      <c r="ES157" s="121"/>
      <c r="ET157" s="121"/>
      <c r="EU157" s="121"/>
      <c r="EV157" s="121"/>
      <c r="EW157" s="121"/>
      <c r="EX157" s="121"/>
      <c r="EY157" s="121"/>
      <c r="EZ157" s="121"/>
      <c r="FA157" s="121"/>
      <c r="FB157" s="121"/>
      <c r="FC157" s="121"/>
      <c r="FD157" s="121"/>
      <c r="FE157" s="121"/>
      <c r="FF157" s="121"/>
      <c r="FG157" s="121"/>
      <c r="FH157" s="121"/>
      <c r="FI157" s="121"/>
      <c r="FJ157" s="121"/>
      <c r="FK157" s="121"/>
      <c r="FL157" s="121"/>
      <c r="FM157" s="121"/>
      <c r="FN157" s="121"/>
      <c r="FO157" s="121"/>
      <c r="FP157" s="121"/>
      <c r="FQ157" s="121"/>
      <c r="FR157" s="121"/>
      <c r="FS157" s="121"/>
      <c r="FT157" s="121"/>
      <c r="FU157" s="121"/>
      <c r="FV157" s="121"/>
      <c r="FW157" s="121"/>
      <c r="FX157" s="121"/>
      <c r="FY157" s="121"/>
      <c r="FZ157" s="121"/>
      <c r="GA157" s="121"/>
      <c r="GB157" s="121"/>
      <c r="GC157" s="121"/>
      <c r="GD157" s="121"/>
      <c r="GE157" s="121"/>
      <c r="GF157" s="121"/>
      <c r="GG157" s="121"/>
      <c r="GH157" s="121"/>
    </row>
    <row r="158" spans="1:190">
      <c r="A158" s="121"/>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1"/>
      <c r="AJ158" s="121"/>
      <c r="AK158" s="121"/>
      <c r="AL158" s="121"/>
      <c r="AM158" s="121"/>
      <c r="AN158" s="121"/>
      <c r="AO158" s="121"/>
      <c r="AP158" s="121"/>
      <c r="AQ158" s="121"/>
      <c r="AR158" s="121"/>
      <c r="AS158" s="121"/>
      <c r="AT158" s="121"/>
      <c r="AU158" s="121"/>
      <c r="AV158" s="121"/>
      <c r="AW158" s="121"/>
      <c r="AX158" s="121"/>
      <c r="AY158" s="121"/>
      <c r="AZ158" s="121"/>
      <c r="BA158" s="121"/>
      <c r="BB158" s="121"/>
      <c r="BC158" s="121"/>
      <c r="BD158" s="121"/>
      <c r="BE158" s="121"/>
      <c r="BF158" s="121"/>
      <c r="BG158" s="121"/>
      <c r="BH158" s="121"/>
      <c r="BI158" s="121"/>
      <c r="BJ158" s="121"/>
      <c r="BK158" s="121"/>
      <c r="BL158" s="121"/>
      <c r="BM158" s="121"/>
      <c r="BN158" s="121"/>
      <c r="BO158" s="121"/>
      <c r="BP158" s="121"/>
      <c r="BQ158" s="121"/>
      <c r="BR158" s="121"/>
      <c r="BS158" s="121"/>
      <c r="BT158" s="121"/>
      <c r="BU158" s="121"/>
      <c r="BV158" s="121"/>
      <c r="BW158" s="121"/>
      <c r="BX158" s="121"/>
      <c r="BY158" s="121"/>
      <c r="BZ158" s="121"/>
      <c r="CA158" s="121"/>
      <c r="CB158" s="121"/>
      <c r="CC158" s="121"/>
      <c r="CD158" s="121"/>
      <c r="CE158" s="121"/>
      <c r="CF158" s="121"/>
      <c r="CG158" s="121"/>
      <c r="CH158" s="121"/>
      <c r="CI158" s="121"/>
      <c r="CJ158" s="121"/>
      <c r="CK158" s="121"/>
      <c r="CL158" s="121"/>
      <c r="CM158" s="121"/>
      <c r="CN158" s="121"/>
      <c r="CO158" s="121"/>
      <c r="CP158" s="121"/>
      <c r="CQ158" s="121"/>
      <c r="CR158" s="121"/>
      <c r="CS158" s="121"/>
      <c r="CT158" s="121"/>
      <c r="CU158" s="121"/>
      <c r="CV158" s="121"/>
      <c r="CW158" s="121"/>
      <c r="CX158" s="121"/>
      <c r="CY158" s="121"/>
      <c r="CZ158" s="121"/>
      <c r="DA158" s="121"/>
      <c r="DB158" s="121"/>
      <c r="DC158" s="121"/>
      <c r="DD158" s="121"/>
      <c r="DE158" s="121"/>
      <c r="DF158" s="121"/>
      <c r="DG158" s="121"/>
      <c r="DH158" s="121"/>
      <c r="DI158" s="121"/>
      <c r="DJ158" s="121"/>
      <c r="DK158" s="121"/>
      <c r="DL158" s="121"/>
      <c r="DM158" s="121"/>
      <c r="DN158" s="121"/>
      <c r="DO158" s="121"/>
      <c r="DP158" s="121"/>
      <c r="DQ158" s="121"/>
      <c r="DR158" s="121"/>
      <c r="DS158" s="121"/>
      <c r="DT158" s="121"/>
      <c r="DU158" s="121"/>
      <c r="DV158" s="121"/>
      <c r="DW158" s="121"/>
      <c r="DX158" s="121"/>
      <c r="DY158" s="121"/>
      <c r="DZ158" s="121"/>
      <c r="EA158" s="121"/>
      <c r="EB158" s="121"/>
      <c r="EC158" s="121"/>
      <c r="ED158" s="121"/>
      <c r="EE158" s="121"/>
      <c r="EF158" s="121"/>
      <c r="EG158" s="121"/>
      <c r="EH158" s="121"/>
      <c r="EI158" s="121"/>
      <c r="EJ158" s="121"/>
      <c r="EK158" s="121"/>
      <c r="EL158" s="121"/>
      <c r="EM158" s="121"/>
      <c r="EN158" s="121"/>
      <c r="EO158" s="121"/>
      <c r="EP158" s="121"/>
      <c r="EQ158" s="121"/>
      <c r="ER158" s="121"/>
      <c r="ES158" s="121"/>
      <c r="ET158" s="121"/>
      <c r="EU158" s="121"/>
      <c r="EV158" s="121"/>
      <c r="EW158" s="121"/>
      <c r="EX158" s="121"/>
      <c r="EY158" s="121"/>
      <c r="EZ158" s="121"/>
      <c r="FA158" s="121"/>
      <c r="FB158" s="121"/>
      <c r="FC158" s="121"/>
      <c r="FD158" s="121"/>
      <c r="FE158" s="121"/>
      <c r="FF158" s="121"/>
      <c r="FG158" s="121"/>
      <c r="FH158" s="121"/>
      <c r="FI158" s="121"/>
      <c r="FJ158" s="121"/>
      <c r="FK158" s="121"/>
      <c r="FL158" s="121"/>
      <c r="FM158" s="121"/>
      <c r="FN158" s="121"/>
      <c r="FO158" s="121"/>
      <c r="FP158" s="121"/>
      <c r="FQ158" s="121"/>
      <c r="FR158" s="121"/>
      <c r="FS158" s="121"/>
      <c r="FT158" s="121"/>
      <c r="FU158" s="121"/>
      <c r="FV158" s="121"/>
      <c r="FW158" s="121"/>
      <c r="FX158" s="121"/>
      <c r="FY158" s="121"/>
      <c r="FZ158" s="121"/>
      <c r="GA158" s="121"/>
      <c r="GB158" s="121"/>
      <c r="GC158" s="121"/>
      <c r="GD158" s="121"/>
      <c r="GE158" s="121"/>
      <c r="GF158" s="121"/>
      <c r="GG158" s="121"/>
      <c r="GH158" s="121"/>
    </row>
    <row r="159" spans="1:190">
      <c r="A159" s="121"/>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1"/>
      <c r="AY159" s="121"/>
      <c r="AZ159" s="121"/>
      <c r="BA159" s="121"/>
      <c r="BB159" s="121"/>
      <c r="BC159" s="121"/>
      <c r="BD159" s="121"/>
      <c r="BE159" s="121"/>
      <c r="BF159" s="121"/>
      <c r="BG159" s="121"/>
      <c r="BH159" s="121"/>
      <c r="BI159" s="121"/>
      <c r="BJ159" s="121"/>
      <c r="BK159" s="121"/>
      <c r="BL159" s="121"/>
      <c r="BM159" s="121"/>
      <c r="BN159" s="121"/>
      <c r="BO159" s="121"/>
      <c r="BP159" s="121"/>
      <c r="BQ159" s="121"/>
      <c r="BR159" s="121"/>
      <c r="BS159" s="121"/>
      <c r="BT159" s="121"/>
      <c r="BU159" s="121"/>
      <c r="BV159" s="121"/>
      <c r="BW159" s="121"/>
      <c r="BX159" s="121"/>
      <c r="BY159" s="121"/>
      <c r="BZ159" s="121"/>
      <c r="CA159" s="121"/>
      <c r="CB159" s="121"/>
      <c r="CC159" s="121"/>
      <c r="CD159" s="121"/>
      <c r="CE159" s="121"/>
      <c r="CF159" s="121"/>
      <c r="CG159" s="121"/>
      <c r="CH159" s="121"/>
      <c r="CI159" s="121"/>
      <c r="CJ159" s="121"/>
      <c r="CK159" s="121"/>
      <c r="CL159" s="121"/>
      <c r="CM159" s="121"/>
      <c r="CN159" s="121"/>
      <c r="CO159" s="121"/>
      <c r="CP159" s="121"/>
      <c r="CQ159" s="121"/>
      <c r="CR159" s="121"/>
      <c r="CS159" s="121"/>
      <c r="CT159" s="121"/>
      <c r="CU159" s="121"/>
      <c r="CV159" s="121"/>
      <c r="CW159" s="121"/>
      <c r="CX159" s="121"/>
      <c r="CY159" s="121"/>
      <c r="CZ159" s="121"/>
      <c r="DA159" s="121"/>
      <c r="DB159" s="121"/>
      <c r="DC159" s="121"/>
      <c r="DD159" s="121"/>
      <c r="DE159" s="121"/>
      <c r="DF159" s="121"/>
      <c r="DG159" s="121"/>
      <c r="DH159" s="121"/>
      <c r="DI159" s="121"/>
      <c r="DJ159" s="121"/>
      <c r="DK159" s="121"/>
      <c r="DL159" s="121"/>
      <c r="DM159" s="121"/>
      <c r="DN159" s="121"/>
      <c r="DO159" s="121"/>
      <c r="DP159" s="121"/>
      <c r="DQ159" s="121"/>
      <c r="DR159" s="121"/>
      <c r="DS159" s="121"/>
      <c r="DT159" s="121"/>
      <c r="DU159" s="121"/>
      <c r="DV159" s="121"/>
      <c r="DW159" s="121"/>
      <c r="DX159" s="121"/>
      <c r="DY159" s="121"/>
      <c r="DZ159" s="121"/>
      <c r="EA159" s="121"/>
      <c r="EB159" s="121"/>
      <c r="EC159" s="121"/>
      <c r="ED159" s="121"/>
      <c r="EE159" s="121"/>
      <c r="EF159" s="121"/>
      <c r="EG159" s="121"/>
      <c r="EH159" s="121"/>
      <c r="EI159" s="121"/>
      <c r="EJ159" s="121"/>
      <c r="EK159" s="121"/>
      <c r="EL159" s="121"/>
      <c r="EM159" s="121"/>
      <c r="EN159" s="121"/>
      <c r="EO159" s="121"/>
      <c r="EP159" s="121"/>
      <c r="EQ159" s="121"/>
      <c r="ER159" s="121"/>
      <c r="ES159" s="121"/>
      <c r="ET159" s="121"/>
      <c r="EU159" s="121"/>
      <c r="EV159" s="121"/>
      <c r="EW159" s="121"/>
      <c r="EX159" s="121"/>
      <c r="EY159" s="121"/>
      <c r="EZ159" s="121"/>
      <c r="FA159" s="121"/>
      <c r="FB159" s="121"/>
      <c r="FC159" s="121"/>
      <c r="FD159" s="121"/>
      <c r="FE159" s="121"/>
      <c r="FF159" s="121"/>
      <c r="FG159" s="121"/>
      <c r="FH159" s="121"/>
      <c r="FI159" s="121"/>
      <c r="FJ159" s="121"/>
      <c r="FK159" s="121"/>
      <c r="FL159" s="121"/>
      <c r="FM159" s="121"/>
      <c r="FN159" s="121"/>
      <c r="FO159" s="121"/>
      <c r="FP159" s="121"/>
      <c r="FQ159" s="121"/>
      <c r="FR159" s="121"/>
      <c r="FS159" s="121"/>
      <c r="FT159" s="121"/>
      <c r="FU159" s="121"/>
      <c r="FV159" s="121"/>
      <c r="FW159" s="121"/>
      <c r="FX159" s="121"/>
      <c r="FY159" s="121"/>
      <c r="FZ159" s="121"/>
      <c r="GA159" s="121"/>
      <c r="GB159" s="121"/>
      <c r="GC159" s="121"/>
      <c r="GD159" s="121"/>
      <c r="GE159" s="121"/>
      <c r="GF159" s="121"/>
      <c r="GG159" s="121"/>
      <c r="GH159" s="121"/>
    </row>
    <row r="160" spans="1:190">
      <c r="A160" s="121"/>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1"/>
      <c r="AJ160" s="121"/>
      <c r="AK160" s="121"/>
      <c r="AL160" s="121"/>
      <c r="AM160" s="121"/>
      <c r="AN160" s="121"/>
      <c r="AO160" s="121"/>
      <c r="AP160" s="121"/>
      <c r="AQ160" s="121"/>
      <c r="AR160" s="121"/>
      <c r="AS160" s="121"/>
      <c r="AT160" s="121"/>
      <c r="AU160" s="121"/>
      <c r="AV160" s="121"/>
      <c r="AW160" s="121"/>
      <c r="AX160" s="121"/>
      <c r="AY160" s="121"/>
      <c r="AZ160" s="121"/>
      <c r="BA160" s="121"/>
      <c r="BB160" s="121"/>
      <c r="BC160" s="121"/>
      <c r="BD160" s="121"/>
      <c r="BE160" s="121"/>
      <c r="BF160" s="121"/>
      <c r="BG160" s="121"/>
      <c r="BH160" s="121"/>
      <c r="BI160" s="121"/>
      <c r="BJ160" s="121"/>
      <c r="BK160" s="121"/>
      <c r="BL160" s="121"/>
      <c r="BM160" s="121"/>
      <c r="BN160" s="121"/>
      <c r="BO160" s="121"/>
      <c r="BP160" s="121"/>
      <c r="BQ160" s="121"/>
      <c r="BR160" s="121"/>
      <c r="BS160" s="121"/>
      <c r="BT160" s="121"/>
      <c r="BU160" s="121"/>
      <c r="BV160" s="121"/>
      <c r="BW160" s="121"/>
      <c r="BX160" s="121"/>
      <c r="BY160" s="121"/>
      <c r="BZ160" s="121"/>
      <c r="CA160" s="121"/>
      <c r="CB160" s="121"/>
      <c r="CC160" s="121"/>
      <c r="CD160" s="121"/>
      <c r="CE160" s="121"/>
      <c r="CF160" s="121"/>
      <c r="CG160" s="121"/>
      <c r="CH160" s="121"/>
      <c r="CI160" s="121"/>
      <c r="CJ160" s="121"/>
      <c r="CK160" s="121"/>
      <c r="CL160" s="121"/>
      <c r="CM160" s="121"/>
      <c r="CN160" s="121"/>
      <c r="CO160" s="121"/>
      <c r="CP160" s="121"/>
      <c r="CQ160" s="121"/>
      <c r="CR160" s="121"/>
      <c r="CS160" s="121"/>
      <c r="CT160" s="121"/>
      <c r="CU160" s="121"/>
      <c r="CV160" s="121"/>
      <c r="CW160" s="121"/>
      <c r="CX160" s="121"/>
      <c r="CY160" s="121"/>
      <c r="CZ160" s="121"/>
      <c r="DA160" s="121"/>
      <c r="DB160" s="121"/>
      <c r="DC160" s="121"/>
      <c r="DD160" s="121"/>
      <c r="DE160" s="121"/>
      <c r="DF160" s="121"/>
      <c r="DG160" s="121"/>
      <c r="DH160" s="121"/>
      <c r="DI160" s="121"/>
      <c r="DJ160" s="121"/>
      <c r="DK160" s="121"/>
      <c r="DL160" s="121"/>
      <c r="DM160" s="121"/>
      <c r="DN160" s="121"/>
      <c r="DO160" s="121"/>
      <c r="DP160" s="121"/>
      <c r="DQ160" s="121"/>
      <c r="DR160" s="121"/>
      <c r="DS160" s="121"/>
      <c r="DT160" s="121"/>
      <c r="DU160" s="121"/>
      <c r="DV160" s="121"/>
      <c r="DW160" s="121"/>
      <c r="DX160" s="121"/>
      <c r="DY160" s="121"/>
      <c r="DZ160" s="121"/>
      <c r="EA160" s="121"/>
      <c r="EB160" s="121"/>
      <c r="EC160" s="121"/>
      <c r="ED160" s="121"/>
      <c r="EE160" s="121"/>
      <c r="EF160" s="121"/>
      <c r="EG160" s="121"/>
      <c r="EH160" s="121"/>
      <c r="EI160" s="121"/>
      <c r="EJ160" s="121"/>
      <c r="EK160" s="121"/>
      <c r="EL160" s="121"/>
      <c r="EM160" s="121"/>
      <c r="EN160" s="121"/>
      <c r="EO160" s="121"/>
      <c r="EP160" s="121"/>
      <c r="EQ160" s="121"/>
      <c r="ER160" s="121"/>
      <c r="ES160" s="121"/>
      <c r="ET160" s="121"/>
      <c r="EU160" s="121"/>
      <c r="EV160" s="121"/>
      <c r="EW160" s="121"/>
      <c r="EX160" s="121"/>
      <c r="EY160" s="121"/>
      <c r="EZ160" s="121"/>
      <c r="FA160" s="121"/>
      <c r="FB160" s="121"/>
      <c r="FC160" s="121"/>
      <c r="FD160" s="121"/>
      <c r="FE160" s="121"/>
      <c r="FF160" s="121"/>
      <c r="FG160" s="121"/>
      <c r="FH160" s="121"/>
      <c r="FI160" s="121"/>
      <c r="FJ160" s="121"/>
      <c r="FK160" s="121"/>
      <c r="FL160" s="121"/>
      <c r="FM160" s="121"/>
      <c r="FN160" s="121"/>
      <c r="FO160" s="121"/>
      <c r="FP160" s="121"/>
      <c r="FQ160" s="121"/>
      <c r="FR160" s="121"/>
      <c r="FS160" s="121"/>
      <c r="FT160" s="121"/>
      <c r="FU160" s="121"/>
      <c r="FV160" s="121"/>
      <c r="FW160" s="121"/>
      <c r="FX160" s="121"/>
      <c r="FY160" s="121"/>
      <c r="FZ160" s="121"/>
      <c r="GA160" s="121"/>
      <c r="GB160" s="121"/>
      <c r="GC160" s="121"/>
      <c r="GD160" s="121"/>
      <c r="GE160" s="121"/>
      <c r="GF160" s="121"/>
      <c r="GG160" s="121"/>
      <c r="GH160" s="121"/>
    </row>
    <row r="161" spans="1:190">
      <c r="A161" s="121"/>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c r="AD161" s="121"/>
      <c r="AE161" s="121"/>
      <c r="AF161" s="121"/>
      <c r="AG161" s="121"/>
      <c r="AH161" s="121"/>
      <c r="AI161" s="121"/>
      <c r="AJ161" s="121"/>
      <c r="AK161" s="121"/>
      <c r="AL161" s="121"/>
      <c r="AM161" s="121"/>
      <c r="AN161" s="121"/>
      <c r="AO161" s="121"/>
      <c r="AP161" s="121"/>
      <c r="AQ161" s="121"/>
      <c r="AR161" s="121"/>
      <c r="AS161" s="121"/>
      <c r="AT161" s="121"/>
      <c r="AU161" s="121"/>
      <c r="AV161" s="121"/>
      <c r="AW161" s="121"/>
      <c r="AX161" s="121"/>
      <c r="AY161" s="121"/>
      <c r="AZ161" s="121"/>
      <c r="BA161" s="121"/>
      <c r="BB161" s="121"/>
      <c r="BC161" s="121"/>
      <c r="BD161" s="121"/>
      <c r="BE161" s="121"/>
      <c r="BF161" s="121"/>
      <c r="BG161" s="121"/>
      <c r="BH161" s="121"/>
      <c r="BI161" s="121"/>
      <c r="BJ161" s="121"/>
      <c r="BK161" s="121"/>
      <c r="BL161" s="121"/>
      <c r="BM161" s="121"/>
      <c r="BN161" s="121"/>
      <c r="BO161" s="121"/>
      <c r="BP161" s="121"/>
      <c r="BQ161" s="121"/>
      <c r="BR161" s="121"/>
      <c r="BS161" s="121"/>
      <c r="BT161" s="121"/>
      <c r="BU161" s="121"/>
      <c r="BV161" s="121"/>
      <c r="BW161" s="121"/>
      <c r="BX161" s="121"/>
      <c r="BY161" s="121"/>
      <c r="BZ161" s="121"/>
      <c r="CA161" s="121"/>
      <c r="CB161" s="121"/>
      <c r="CC161" s="121"/>
      <c r="CD161" s="121"/>
      <c r="CE161" s="121"/>
      <c r="CF161" s="121"/>
      <c r="CG161" s="121"/>
      <c r="CH161" s="121"/>
      <c r="CI161" s="121"/>
      <c r="CJ161" s="121"/>
      <c r="CK161" s="121"/>
      <c r="CL161" s="121"/>
      <c r="CM161" s="121"/>
      <c r="CN161" s="121"/>
      <c r="CO161" s="121"/>
      <c r="CP161" s="121"/>
      <c r="CQ161" s="121"/>
      <c r="CR161" s="121"/>
      <c r="CS161" s="121"/>
      <c r="CT161" s="121"/>
      <c r="CU161" s="121"/>
      <c r="CV161" s="121"/>
      <c r="CW161" s="121"/>
      <c r="CX161" s="121"/>
      <c r="CY161" s="121"/>
      <c r="CZ161" s="121"/>
      <c r="DA161" s="121"/>
      <c r="DB161" s="121"/>
      <c r="DC161" s="121"/>
      <c r="DD161" s="121"/>
      <c r="DE161" s="121"/>
      <c r="DF161" s="121"/>
      <c r="DG161" s="121"/>
      <c r="DH161" s="121"/>
      <c r="DI161" s="121"/>
      <c r="DJ161" s="121"/>
      <c r="DK161" s="121"/>
      <c r="DL161" s="121"/>
      <c r="DM161" s="121"/>
      <c r="DN161" s="121"/>
      <c r="DO161" s="121"/>
      <c r="DP161" s="121"/>
      <c r="DQ161" s="121"/>
      <c r="DR161" s="121"/>
      <c r="DS161" s="121"/>
      <c r="DT161" s="121"/>
      <c r="DU161" s="121"/>
      <c r="DV161" s="121"/>
      <c r="DW161" s="121"/>
      <c r="DX161" s="121"/>
      <c r="DY161" s="121"/>
      <c r="DZ161" s="121"/>
      <c r="EA161" s="121"/>
      <c r="EB161" s="121"/>
      <c r="EC161" s="121"/>
      <c r="ED161" s="121"/>
      <c r="EE161" s="121"/>
      <c r="EF161" s="121"/>
      <c r="EG161" s="121"/>
      <c r="EH161" s="121"/>
      <c r="EI161" s="121"/>
      <c r="EJ161" s="121"/>
      <c r="EK161" s="121"/>
      <c r="EL161" s="121"/>
      <c r="EM161" s="121"/>
      <c r="EN161" s="121"/>
      <c r="EO161" s="121"/>
      <c r="EP161" s="121"/>
      <c r="EQ161" s="121"/>
      <c r="ER161" s="121"/>
      <c r="ES161" s="121"/>
      <c r="ET161" s="121"/>
      <c r="EU161" s="121"/>
      <c r="EV161" s="121"/>
      <c r="EW161" s="121"/>
      <c r="EX161" s="121"/>
      <c r="EY161" s="121"/>
      <c r="EZ161" s="121"/>
      <c r="FA161" s="121"/>
      <c r="FB161" s="121"/>
      <c r="FC161" s="121"/>
      <c r="FD161" s="121"/>
      <c r="FE161" s="121"/>
      <c r="FF161" s="121"/>
      <c r="FG161" s="121"/>
      <c r="FH161" s="121"/>
      <c r="FI161" s="121"/>
      <c r="FJ161" s="121"/>
      <c r="FK161" s="121"/>
      <c r="FL161" s="121"/>
      <c r="FM161" s="121"/>
      <c r="FN161" s="121"/>
      <c r="FO161" s="121"/>
      <c r="FP161" s="121"/>
      <c r="FQ161" s="121"/>
      <c r="FR161" s="121"/>
      <c r="FS161" s="121"/>
      <c r="FT161" s="121"/>
      <c r="FU161" s="121"/>
      <c r="FV161" s="121"/>
      <c r="FW161" s="121"/>
      <c r="FX161" s="121"/>
      <c r="FY161" s="121"/>
      <c r="FZ161" s="121"/>
      <c r="GA161" s="121"/>
      <c r="GB161" s="121"/>
      <c r="GC161" s="121"/>
      <c r="GD161" s="121"/>
      <c r="GE161" s="121"/>
      <c r="GF161" s="121"/>
      <c r="GG161" s="121"/>
      <c r="GH161" s="121"/>
    </row>
    <row r="162" spans="1:190">
      <c r="A162" s="121"/>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c r="AD162" s="121"/>
      <c r="AE162" s="121"/>
      <c r="AF162" s="121"/>
      <c r="AG162" s="121"/>
      <c r="AH162" s="121"/>
      <c r="AI162" s="121"/>
      <c r="AJ162" s="121"/>
      <c r="AK162" s="121"/>
      <c r="AL162" s="121"/>
      <c r="AM162" s="121"/>
      <c r="AN162" s="121"/>
      <c r="AO162" s="121"/>
      <c r="AP162" s="121"/>
      <c r="AQ162" s="121"/>
      <c r="AR162" s="121"/>
      <c r="AS162" s="121"/>
      <c r="AT162" s="121"/>
      <c r="AU162" s="121"/>
      <c r="AV162" s="121"/>
      <c r="AW162" s="121"/>
      <c r="AX162" s="121"/>
      <c r="AY162" s="121"/>
      <c r="AZ162" s="121"/>
      <c r="BA162" s="121"/>
      <c r="BB162" s="121"/>
      <c r="BC162" s="121"/>
      <c r="BD162" s="121"/>
      <c r="BE162" s="121"/>
      <c r="BF162" s="121"/>
      <c r="BG162" s="121"/>
      <c r="BH162" s="121"/>
      <c r="BI162" s="121"/>
      <c r="BJ162" s="121"/>
      <c r="BK162" s="121"/>
      <c r="BL162" s="121"/>
      <c r="BM162" s="121"/>
      <c r="BN162" s="121"/>
      <c r="BO162" s="121"/>
      <c r="BP162" s="121"/>
      <c r="BQ162" s="121"/>
      <c r="BR162" s="121"/>
      <c r="BS162" s="121"/>
      <c r="BT162" s="121"/>
      <c r="BU162" s="121"/>
      <c r="BV162" s="121"/>
      <c r="BW162" s="121"/>
      <c r="BX162" s="121"/>
      <c r="BY162" s="121"/>
      <c r="BZ162" s="121"/>
      <c r="CA162" s="121"/>
      <c r="CB162" s="121"/>
      <c r="CC162" s="121"/>
      <c r="CD162" s="121"/>
      <c r="CE162" s="121"/>
      <c r="CF162" s="121"/>
      <c r="CG162" s="121"/>
      <c r="CH162" s="121"/>
      <c r="CI162" s="121"/>
      <c r="CJ162" s="121"/>
      <c r="CK162" s="121"/>
      <c r="CL162" s="121"/>
      <c r="CM162" s="121"/>
      <c r="CN162" s="121"/>
      <c r="CO162" s="121"/>
      <c r="CP162" s="121"/>
      <c r="CQ162" s="121"/>
      <c r="CR162" s="121"/>
      <c r="CS162" s="121"/>
      <c r="CT162" s="121"/>
      <c r="CU162" s="121"/>
      <c r="CV162" s="121"/>
      <c r="CW162" s="121"/>
      <c r="CX162" s="121"/>
      <c r="CY162" s="121"/>
      <c r="CZ162" s="121"/>
      <c r="DA162" s="121"/>
      <c r="DB162" s="121"/>
      <c r="DC162" s="121"/>
      <c r="DD162" s="121"/>
      <c r="DE162" s="121"/>
      <c r="DF162" s="121"/>
      <c r="DG162" s="121"/>
      <c r="DH162" s="121"/>
      <c r="DI162" s="121"/>
      <c r="DJ162" s="121"/>
      <c r="DK162" s="121"/>
      <c r="DL162" s="121"/>
      <c r="DM162" s="121"/>
      <c r="DN162" s="121"/>
      <c r="DO162" s="121"/>
      <c r="DP162" s="121"/>
      <c r="DQ162" s="121"/>
      <c r="DR162" s="121"/>
      <c r="DS162" s="121"/>
      <c r="DT162" s="121"/>
      <c r="DU162" s="121"/>
      <c r="DV162" s="121"/>
      <c r="DW162" s="121"/>
      <c r="DX162" s="121"/>
      <c r="DY162" s="121"/>
      <c r="DZ162" s="121"/>
      <c r="EA162" s="121"/>
      <c r="EB162" s="121"/>
      <c r="EC162" s="121"/>
      <c r="ED162" s="121"/>
      <c r="EE162" s="121"/>
      <c r="EF162" s="121"/>
      <c r="EG162" s="121"/>
      <c r="EH162" s="121"/>
      <c r="EI162" s="121"/>
      <c r="EJ162" s="121"/>
      <c r="EK162" s="121"/>
      <c r="EL162" s="121"/>
      <c r="EM162" s="121"/>
      <c r="EN162" s="121"/>
      <c r="EO162" s="121"/>
      <c r="EP162" s="121"/>
      <c r="EQ162" s="121"/>
      <c r="ER162" s="121"/>
      <c r="ES162" s="121"/>
      <c r="ET162" s="121"/>
      <c r="EU162" s="121"/>
      <c r="EV162" s="121"/>
      <c r="EW162" s="121"/>
      <c r="EX162" s="121"/>
      <c r="EY162" s="121"/>
      <c r="EZ162" s="121"/>
      <c r="FA162" s="121"/>
      <c r="FB162" s="121"/>
      <c r="FC162" s="121"/>
      <c r="FD162" s="121"/>
      <c r="FE162" s="121"/>
      <c r="FF162" s="121"/>
      <c r="FG162" s="121"/>
      <c r="FH162" s="121"/>
      <c r="FI162" s="121"/>
      <c r="FJ162" s="121"/>
      <c r="FK162" s="121"/>
      <c r="FL162" s="121"/>
      <c r="FM162" s="121"/>
      <c r="FN162" s="121"/>
      <c r="FO162" s="121"/>
      <c r="FP162" s="121"/>
      <c r="FQ162" s="121"/>
      <c r="FR162" s="121"/>
      <c r="FS162" s="121"/>
      <c r="FT162" s="121"/>
      <c r="FU162" s="121"/>
      <c r="FV162" s="121"/>
      <c r="FW162" s="121"/>
      <c r="FX162" s="121"/>
      <c r="FY162" s="121"/>
      <c r="FZ162" s="121"/>
      <c r="GA162" s="121"/>
      <c r="GB162" s="121"/>
      <c r="GC162" s="121"/>
      <c r="GD162" s="121"/>
      <c r="GE162" s="121"/>
      <c r="GF162" s="121"/>
      <c r="GG162" s="121"/>
      <c r="GH162" s="121"/>
    </row>
    <row r="163" spans="1:190">
      <c r="A163" s="121"/>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c r="AD163" s="121"/>
      <c r="AE163" s="121"/>
      <c r="AF163" s="121"/>
      <c r="AG163" s="121"/>
      <c r="AH163" s="121"/>
      <c r="AI163" s="121"/>
      <c r="AJ163" s="121"/>
      <c r="AK163" s="121"/>
      <c r="AL163" s="121"/>
      <c r="AM163" s="121"/>
      <c r="AN163" s="121"/>
      <c r="AO163" s="121"/>
      <c r="AP163" s="121"/>
      <c r="AQ163" s="121"/>
      <c r="AR163" s="121"/>
      <c r="AS163" s="121"/>
      <c r="AT163" s="121"/>
      <c r="AU163" s="121"/>
      <c r="AV163" s="121"/>
      <c r="AW163" s="121"/>
      <c r="AX163" s="121"/>
      <c r="AY163" s="121"/>
      <c r="AZ163" s="121"/>
      <c r="BA163" s="121"/>
      <c r="BB163" s="121"/>
      <c r="BC163" s="121"/>
      <c r="BD163" s="121"/>
      <c r="BE163" s="121"/>
      <c r="BF163" s="121"/>
      <c r="BG163" s="121"/>
      <c r="BH163" s="121"/>
      <c r="BI163" s="121"/>
      <c r="BJ163" s="121"/>
      <c r="BK163" s="121"/>
      <c r="BL163" s="121"/>
      <c r="BM163" s="121"/>
      <c r="BN163" s="121"/>
      <c r="BO163" s="121"/>
      <c r="BP163" s="121"/>
      <c r="BQ163" s="121"/>
      <c r="BR163" s="121"/>
      <c r="BS163" s="121"/>
      <c r="BT163" s="121"/>
      <c r="BU163" s="121"/>
      <c r="BV163" s="121"/>
      <c r="BW163" s="121"/>
      <c r="BX163" s="121"/>
      <c r="BY163" s="121"/>
      <c r="BZ163" s="121"/>
      <c r="CA163" s="121"/>
      <c r="CB163" s="121"/>
      <c r="CC163" s="121"/>
      <c r="CD163" s="121"/>
      <c r="CE163" s="121"/>
      <c r="CF163" s="121"/>
      <c r="CG163" s="121"/>
      <c r="CH163" s="121"/>
      <c r="CI163" s="121"/>
      <c r="CJ163" s="121"/>
      <c r="CK163" s="121"/>
      <c r="CL163" s="121"/>
      <c r="CM163" s="121"/>
      <c r="CN163" s="121"/>
      <c r="CO163" s="121"/>
      <c r="CP163" s="121"/>
      <c r="CQ163" s="121"/>
      <c r="CR163" s="121"/>
      <c r="CS163" s="121"/>
      <c r="CT163" s="121"/>
      <c r="CU163" s="121"/>
      <c r="CV163" s="121"/>
      <c r="CW163" s="121"/>
      <c r="CX163" s="121"/>
      <c r="CY163" s="121"/>
      <c r="CZ163" s="121"/>
      <c r="DA163" s="121"/>
      <c r="DB163" s="121"/>
      <c r="DC163" s="121"/>
      <c r="DD163" s="121"/>
      <c r="DE163" s="121"/>
      <c r="DF163" s="121"/>
      <c r="DG163" s="121"/>
      <c r="DH163" s="121"/>
      <c r="DI163" s="121"/>
      <c r="DJ163" s="121"/>
      <c r="DK163" s="121"/>
      <c r="DL163" s="121"/>
      <c r="DM163" s="121"/>
      <c r="DN163" s="121"/>
      <c r="DO163" s="121"/>
      <c r="DP163" s="121"/>
      <c r="DQ163" s="121"/>
      <c r="DR163" s="121"/>
      <c r="DS163" s="121"/>
      <c r="DT163" s="121"/>
      <c r="DU163" s="121"/>
      <c r="DV163" s="121"/>
      <c r="DW163" s="121"/>
      <c r="DX163" s="121"/>
      <c r="DY163" s="121"/>
      <c r="DZ163" s="121"/>
      <c r="EA163" s="121"/>
      <c r="EB163" s="121"/>
      <c r="EC163" s="121"/>
      <c r="ED163" s="121"/>
      <c r="EE163" s="121"/>
      <c r="EF163" s="121"/>
      <c r="EG163" s="121"/>
      <c r="EH163" s="121"/>
      <c r="EI163" s="121"/>
      <c r="EJ163" s="121"/>
      <c r="EK163" s="121"/>
      <c r="EL163" s="121"/>
      <c r="EM163" s="121"/>
      <c r="EN163" s="121"/>
      <c r="EO163" s="121"/>
      <c r="EP163" s="121"/>
      <c r="EQ163" s="121"/>
      <c r="ER163" s="121"/>
      <c r="ES163" s="121"/>
      <c r="ET163" s="121"/>
      <c r="EU163" s="121"/>
      <c r="EV163" s="121"/>
      <c r="EW163" s="121"/>
      <c r="EX163" s="121"/>
      <c r="EY163" s="121"/>
      <c r="EZ163" s="121"/>
      <c r="FA163" s="121"/>
      <c r="FB163" s="121"/>
      <c r="FC163" s="121"/>
      <c r="FD163" s="121"/>
      <c r="FE163" s="121"/>
      <c r="FF163" s="121"/>
      <c r="FG163" s="121"/>
      <c r="FH163" s="121"/>
      <c r="FI163" s="121"/>
      <c r="FJ163" s="121"/>
      <c r="FK163" s="121"/>
      <c r="FL163" s="121"/>
      <c r="FM163" s="121"/>
      <c r="FN163" s="121"/>
      <c r="FO163" s="121"/>
      <c r="FP163" s="121"/>
      <c r="FQ163" s="121"/>
      <c r="FR163" s="121"/>
      <c r="FS163" s="121"/>
      <c r="FT163" s="121"/>
      <c r="FU163" s="121"/>
      <c r="FV163" s="121"/>
      <c r="FW163" s="121"/>
      <c r="FX163" s="121"/>
      <c r="FY163" s="121"/>
      <c r="FZ163" s="121"/>
      <c r="GA163" s="121"/>
      <c r="GB163" s="121"/>
      <c r="GC163" s="121"/>
      <c r="GD163" s="121"/>
      <c r="GE163" s="121"/>
      <c r="GF163" s="121"/>
      <c r="GG163" s="121"/>
      <c r="GH163" s="121"/>
    </row>
    <row r="164" spans="1:190">
      <c r="A164" s="121"/>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c r="AD164" s="121"/>
      <c r="AE164" s="121"/>
      <c r="AF164" s="121"/>
      <c r="AG164" s="121"/>
      <c r="AH164" s="121"/>
      <c r="AI164" s="121"/>
      <c r="AJ164" s="121"/>
      <c r="AK164" s="121"/>
      <c r="AL164" s="121"/>
      <c r="AM164" s="121"/>
      <c r="AN164" s="121"/>
      <c r="AO164" s="121"/>
      <c r="AP164" s="121"/>
      <c r="AQ164" s="121"/>
      <c r="AR164" s="121"/>
      <c r="AS164" s="121"/>
      <c r="AT164" s="121"/>
      <c r="AU164" s="121"/>
      <c r="AV164" s="121"/>
      <c r="AW164" s="121"/>
      <c r="AX164" s="121"/>
      <c r="AY164" s="121"/>
      <c r="AZ164" s="121"/>
      <c r="BA164" s="121"/>
      <c r="BB164" s="121"/>
      <c r="BC164" s="121"/>
      <c r="BD164" s="121"/>
      <c r="BE164" s="121"/>
      <c r="BF164" s="121"/>
      <c r="BG164" s="121"/>
      <c r="BH164" s="121"/>
      <c r="BI164" s="121"/>
      <c r="BJ164" s="121"/>
      <c r="BK164" s="121"/>
      <c r="BL164" s="121"/>
      <c r="BM164" s="121"/>
      <c r="BN164" s="121"/>
      <c r="BO164" s="121"/>
      <c r="BP164" s="121"/>
      <c r="BQ164" s="121"/>
      <c r="BR164" s="121"/>
      <c r="BS164" s="121"/>
      <c r="BT164" s="121"/>
      <c r="BU164" s="121"/>
      <c r="BV164" s="121"/>
      <c r="BW164" s="121"/>
      <c r="BX164" s="121"/>
      <c r="BY164" s="121"/>
      <c r="BZ164" s="121"/>
      <c r="CA164" s="121"/>
      <c r="CB164" s="121"/>
      <c r="CC164" s="121"/>
      <c r="CD164" s="121"/>
      <c r="CE164" s="121"/>
      <c r="CF164" s="121"/>
      <c r="CG164" s="121"/>
      <c r="CH164" s="121"/>
      <c r="CI164" s="121"/>
      <c r="CJ164" s="121"/>
      <c r="CK164" s="121"/>
      <c r="CL164" s="121"/>
      <c r="CM164" s="121"/>
      <c r="CN164" s="121"/>
      <c r="CO164" s="121"/>
      <c r="CP164" s="121"/>
      <c r="CQ164" s="121"/>
      <c r="CR164" s="121"/>
      <c r="CS164" s="121"/>
      <c r="CT164" s="121"/>
      <c r="CU164" s="121"/>
      <c r="CV164" s="121"/>
      <c r="CW164" s="121"/>
      <c r="CX164" s="121"/>
      <c r="CY164" s="121"/>
      <c r="CZ164" s="121"/>
      <c r="DA164" s="121"/>
      <c r="DB164" s="121"/>
      <c r="DC164" s="121"/>
      <c r="DD164" s="121"/>
      <c r="DE164" s="121"/>
      <c r="DF164" s="121"/>
      <c r="DG164" s="121"/>
      <c r="DH164" s="121"/>
      <c r="DI164" s="121"/>
      <c r="DJ164" s="121"/>
      <c r="DK164" s="121"/>
      <c r="DL164" s="121"/>
      <c r="DM164" s="121"/>
      <c r="DN164" s="121"/>
      <c r="DO164" s="121"/>
      <c r="DP164" s="121"/>
      <c r="DQ164" s="121"/>
      <c r="DR164" s="121"/>
      <c r="DS164" s="121"/>
      <c r="DT164" s="121"/>
      <c r="DU164" s="121"/>
      <c r="DV164" s="121"/>
      <c r="DW164" s="121"/>
      <c r="DX164" s="121"/>
      <c r="DY164" s="121"/>
      <c r="DZ164" s="121"/>
      <c r="EA164" s="121"/>
      <c r="EB164" s="121"/>
      <c r="EC164" s="121"/>
      <c r="ED164" s="121"/>
      <c r="EE164" s="121"/>
      <c r="EF164" s="121"/>
      <c r="EG164" s="121"/>
      <c r="EH164" s="121"/>
      <c r="EI164" s="121"/>
      <c r="EJ164" s="121"/>
      <c r="EK164" s="121"/>
      <c r="EL164" s="121"/>
      <c r="EM164" s="121"/>
      <c r="EN164" s="121"/>
      <c r="EO164" s="121"/>
      <c r="EP164" s="121"/>
      <c r="EQ164" s="121"/>
      <c r="ER164" s="121"/>
      <c r="ES164" s="121"/>
      <c r="ET164" s="121"/>
      <c r="EU164" s="121"/>
      <c r="EV164" s="121"/>
      <c r="EW164" s="121"/>
      <c r="EX164" s="121"/>
      <c r="EY164" s="121"/>
      <c r="EZ164" s="121"/>
      <c r="FA164" s="121"/>
      <c r="FB164" s="121"/>
      <c r="FC164" s="121"/>
      <c r="FD164" s="121"/>
      <c r="FE164" s="121"/>
      <c r="FF164" s="121"/>
      <c r="FG164" s="121"/>
      <c r="FH164" s="121"/>
      <c r="FI164" s="121"/>
      <c r="FJ164" s="121"/>
      <c r="FK164" s="121"/>
      <c r="FL164" s="121"/>
      <c r="FM164" s="121"/>
      <c r="FN164" s="121"/>
      <c r="FO164" s="121"/>
      <c r="FP164" s="121"/>
      <c r="FQ164" s="121"/>
      <c r="FR164" s="121"/>
      <c r="FS164" s="121"/>
      <c r="FT164" s="121"/>
      <c r="FU164" s="121"/>
      <c r="FV164" s="121"/>
      <c r="FW164" s="121"/>
      <c r="FX164" s="121"/>
      <c r="FY164" s="121"/>
      <c r="FZ164" s="121"/>
      <c r="GA164" s="121"/>
      <c r="GB164" s="121"/>
      <c r="GC164" s="121"/>
      <c r="GD164" s="121"/>
      <c r="GE164" s="121"/>
      <c r="GF164" s="121"/>
      <c r="GG164" s="121"/>
      <c r="GH164" s="121"/>
    </row>
    <row r="165" spans="1:190">
      <c r="A165" s="121"/>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1"/>
      <c r="AE165" s="121"/>
      <c r="AF165" s="121"/>
      <c r="AG165" s="121"/>
      <c r="AH165" s="121"/>
      <c r="AI165" s="121"/>
      <c r="AJ165" s="121"/>
      <c r="AK165" s="121"/>
      <c r="AL165" s="121"/>
      <c r="AM165" s="121"/>
      <c r="AN165" s="121"/>
      <c r="AO165" s="121"/>
      <c r="AP165" s="121"/>
      <c r="AQ165" s="121"/>
      <c r="AR165" s="121"/>
      <c r="AS165" s="121"/>
      <c r="AT165" s="121"/>
      <c r="AU165" s="121"/>
      <c r="AV165" s="121"/>
      <c r="AW165" s="121"/>
      <c r="AX165" s="121"/>
      <c r="AY165" s="121"/>
      <c r="AZ165" s="121"/>
      <c r="BA165" s="121"/>
      <c r="BB165" s="121"/>
      <c r="BC165" s="121"/>
      <c r="BD165" s="121"/>
      <c r="BE165" s="121"/>
      <c r="BF165" s="121"/>
      <c r="BG165" s="121"/>
      <c r="BH165" s="121"/>
      <c r="BI165" s="121"/>
      <c r="BJ165" s="121"/>
      <c r="BK165" s="121"/>
      <c r="BL165" s="121"/>
      <c r="BM165" s="121"/>
      <c r="BN165" s="121"/>
      <c r="BO165" s="121"/>
      <c r="BP165" s="121"/>
      <c r="BQ165" s="121"/>
      <c r="BR165" s="121"/>
      <c r="BS165" s="121"/>
      <c r="BT165" s="121"/>
      <c r="BU165" s="121"/>
      <c r="BV165" s="121"/>
      <c r="BW165" s="121"/>
      <c r="BX165" s="121"/>
      <c r="BY165" s="121"/>
      <c r="BZ165" s="121"/>
      <c r="CA165" s="121"/>
      <c r="CB165" s="121"/>
      <c r="CC165" s="121"/>
      <c r="CD165" s="121"/>
      <c r="CE165" s="121"/>
      <c r="CF165" s="121"/>
      <c r="CG165" s="121"/>
      <c r="CH165" s="121"/>
      <c r="CI165" s="121"/>
      <c r="CJ165" s="121"/>
      <c r="CK165" s="121"/>
      <c r="CL165" s="121"/>
      <c r="CM165" s="121"/>
      <c r="CN165" s="121"/>
      <c r="CO165" s="121"/>
      <c r="CP165" s="121"/>
      <c r="CQ165" s="121"/>
      <c r="CR165" s="121"/>
      <c r="CS165" s="121"/>
      <c r="CT165" s="121"/>
      <c r="CU165" s="121"/>
      <c r="CV165" s="121"/>
      <c r="CW165" s="121"/>
      <c r="CX165" s="121"/>
      <c r="CY165" s="121"/>
      <c r="CZ165" s="121"/>
      <c r="DA165" s="121"/>
      <c r="DB165" s="121"/>
      <c r="DC165" s="121"/>
      <c r="DD165" s="121"/>
      <c r="DE165" s="121"/>
      <c r="DF165" s="121"/>
      <c r="DG165" s="121"/>
      <c r="DH165" s="121"/>
      <c r="DI165" s="121"/>
      <c r="DJ165" s="121"/>
      <c r="DK165" s="121"/>
      <c r="DL165" s="121"/>
      <c r="DM165" s="121"/>
      <c r="DN165" s="121"/>
      <c r="DO165" s="121"/>
      <c r="DP165" s="121"/>
      <c r="DQ165" s="121"/>
      <c r="DR165" s="121"/>
      <c r="DS165" s="121"/>
      <c r="DT165" s="121"/>
      <c r="DU165" s="121"/>
      <c r="DV165" s="121"/>
      <c r="DW165" s="121"/>
      <c r="DX165" s="121"/>
      <c r="DY165" s="121"/>
      <c r="DZ165" s="121"/>
      <c r="EA165" s="121"/>
      <c r="EB165" s="121"/>
      <c r="EC165" s="121"/>
      <c r="ED165" s="121"/>
      <c r="EE165" s="121"/>
      <c r="EF165" s="121"/>
      <c r="EG165" s="121"/>
      <c r="EH165" s="121"/>
      <c r="EI165" s="121"/>
      <c r="EJ165" s="121"/>
      <c r="EK165" s="121"/>
      <c r="EL165" s="121"/>
      <c r="EM165" s="121"/>
      <c r="EN165" s="121"/>
      <c r="EO165" s="121"/>
      <c r="EP165" s="121"/>
      <c r="EQ165" s="121"/>
      <c r="ER165" s="121"/>
      <c r="ES165" s="121"/>
      <c r="ET165" s="121"/>
      <c r="EU165" s="121"/>
      <c r="EV165" s="121"/>
      <c r="EW165" s="121"/>
      <c r="EX165" s="121"/>
      <c r="EY165" s="121"/>
      <c r="EZ165" s="121"/>
      <c r="FA165" s="121"/>
      <c r="FB165" s="121"/>
      <c r="FC165" s="121"/>
      <c r="FD165" s="121"/>
      <c r="FE165" s="121"/>
      <c r="FF165" s="121"/>
      <c r="FG165" s="121"/>
      <c r="FH165" s="121"/>
      <c r="FI165" s="121"/>
      <c r="FJ165" s="121"/>
      <c r="FK165" s="121"/>
      <c r="FL165" s="121"/>
      <c r="FM165" s="121"/>
      <c r="FN165" s="121"/>
      <c r="FO165" s="121"/>
      <c r="FP165" s="121"/>
      <c r="FQ165" s="121"/>
      <c r="FR165" s="121"/>
      <c r="FS165" s="121"/>
      <c r="FT165" s="121"/>
      <c r="FU165" s="121"/>
      <c r="FV165" s="121"/>
      <c r="FW165" s="121"/>
      <c r="FX165" s="121"/>
      <c r="FY165" s="121"/>
      <c r="FZ165" s="121"/>
      <c r="GA165" s="121"/>
      <c r="GB165" s="121"/>
      <c r="GC165" s="121"/>
      <c r="GD165" s="121"/>
      <c r="GE165" s="121"/>
      <c r="GF165" s="121"/>
      <c r="GG165" s="121"/>
      <c r="GH165" s="121"/>
    </row>
    <row r="166" spans="1:190">
      <c r="A166" s="121"/>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c r="AD166" s="121"/>
      <c r="AE166" s="121"/>
      <c r="AF166" s="121"/>
      <c r="AG166" s="121"/>
      <c r="AH166" s="121"/>
      <c r="AI166" s="121"/>
      <c r="AJ166" s="121"/>
      <c r="AK166" s="121"/>
      <c r="AL166" s="121"/>
      <c r="AM166" s="121"/>
      <c r="AN166" s="121"/>
      <c r="AO166" s="121"/>
      <c r="AP166" s="121"/>
      <c r="AQ166" s="121"/>
      <c r="AR166" s="121"/>
      <c r="AS166" s="121"/>
      <c r="AT166" s="121"/>
      <c r="AU166" s="121"/>
      <c r="AV166" s="121"/>
      <c r="AW166" s="121"/>
      <c r="AX166" s="121"/>
      <c r="AY166" s="121"/>
      <c r="AZ166" s="121"/>
      <c r="BA166" s="121"/>
      <c r="BB166" s="121"/>
      <c r="BC166" s="121"/>
      <c r="BD166" s="121"/>
      <c r="BE166" s="121"/>
      <c r="BF166" s="121"/>
      <c r="BG166" s="121"/>
      <c r="BH166" s="121"/>
      <c r="BI166" s="121"/>
      <c r="BJ166" s="121"/>
      <c r="BK166" s="121"/>
      <c r="BL166" s="121"/>
      <c r="BM166" s="121"/>
      <c r="BN166" s="121"/>
      <c r="BO166" s="121"/>
      <c r="BP166" s="121"/>
      <c r="BQ166" s="121"/>
      <c r="BR166" s="121"/>
      <c r="BS166" s="121"/>
      <c r="BT166" s="121"/>
      <c r="BU166" s="121"/>
      <c r="BV166" s="121"/>
      <c r="BW166" s="121"/>
      <c r="BX166" s="121"/>
      <c r="BY166" s="121"/>
      <c r="BZ166" s="121"/>
      <c r="CA166" s="121"/>
      <c r="CB166" s="121"/>
      <c r="CC166" s="121"/>
      <c r="CD166" s="121"/>
      <c r="CE166" s="121"/>
      <c r="CF166" s="121"/>
      <c r="CG166" s="121"/>
      <c r="CH166" s="121"/>
      <c r="CI166" s="121"/>
      <c r="CJ166" s="121"/>
      <c r="CK166" s="121"/>
      <c r="CL166" s="121"/>
      <c r="CM166" s="121"/>
      <c r="CN166" s="121"/>
      <c r="CO166" s="121"/>
      <c r="CP166" s="121"/>
      <c r="CQ166" s="121"/>
      <c r="CR166" s="121"/>
      <c r="CS166" s="121"/>
      <c r="CT166" s="121"/>
      <c r="CU166" s="121"/>
      <c r="CV166" s="121"/>
      <c r="CW166" s="121"/>
      <c r="CX166" s="121"/>
      <c r="CY166" s="121"/>
      <c r="CZ166" s="121"/>
      <c r="DA166" s="121"/>
      <c r="DB166" s="121"/>
      <c r="DC166" s="121"/>
      <c r="DD166" s="121"/>
      <c r="DE166" s="121"/>
      <c r="DF166" s="121"/>
      <c r="DG166" s="121"/>
      <c r="DH166" s="121"/>
      <c r="DI166" s="121"/>
      <c r="DJ166" s="121"/>
      <c r="DK166" s="121"/>
      <c r="DL166" s="121"/>
      <c r="DM166" s="121"/>
      <c r="DN166" s="121"/>
      <c r="DO166" s="121"/>
      <c r="DP166" s="121"/>
      <c r="DQ166" s="121"/>
      <c r="DR166" s="121"/>
      <c r="DS166" s="121"/>
      <c r="DT166" s="121"/>
      <c r="DU166" s="121"/>
      <c r="DV166" s="121"/>
      <c r="DW166" s="121"/>
      <c r="DX166" s="121"/>
      <c r="DY166" s="121"/>
      <c r="DZ166" s="121"/>
      <c r="EA166" s="121"/>
      <c r="EB166" s="121"/>
      <c r="EC166" s="121"/>
      <c r="ED166" s="121"/>
      <c r="EE166" s="121"/>
      <c r="EF166" s="121"/>
      <c r="EG166" s="121"/>
      <c r="EH166" s="121"/>
      <c r="EI166" s="121"/>
      <c r="EJ166" s="121"/>
      <c r="EK166" s="121"/>
      <c r="EL166" s="121"/>
      <c r="EM166" s="121"/>
      <c r="EN166" s="121"/>
      <c r="EO166" s="121"/>
      <c r="EP166" s="121"/>
      <c r="EQ166" s="121"/>
      <c r="ER166" s="121"/>
      <c r="ES166" s="121"/>
      <c r="ET166" s="121"/>
      <c r="EU166" s="121"/>
      <c r="EV166" s="121"/>
      <c r="EW166" s="121"/>
      <c r="EX166" s="121"/>
      <c r="EY166" s="121"/>
      <c r="EZ166" s="121"/>
      <c r="FA166" s="121"/>
      <c r="FB166" s="121"/>
      <c r="FC166" s="121"/>
      <c r="FD166" s="121"/>
      <c r="FE166" s="121"/>
      <c r="FF166" s="121"/>
      <c r="FG166" s="121"/>
      <c r="FH166" s="121"/>
      <c r="FI166" s="121"/>
      <c r="FJ166" s="121"/>
      <c r="FK166" s="121"/>
      <c r="FL166" s="121"/>
      <c r="FM166" s="121"/>
      <c r="FN166" s="121"/>
      <c r="FO166" s="121"/>
      <c r="FP166" s="121"/>
      <c r="FQ166" s="121"/>
      <c r="FR166" s="121"/>
      <c r="FS166" s="121"/>
      <c r="FT166" s="121"/>
      <c r="FU166" s="121"/>
      <c r="FV166" s="121"/>
      <c r="FW166" s="121"/>
      <c r="FX166" s="121"/>
      <c r="FY166" s="121"/>
      <c r="FZ166" s="121"/>
      <c r="GA166" s="121"/>
      <c r="GB166" s="121"/>
      <c r="GC166" s="121"/>
      <c r="GD166" s="121"/>
      <c r="GE166" s="121"/>
      <c r="GF166" s="121"/>
      <c r="GG166" s="121"/>
      <c r="GH166" s="121"/>
    </row>
    <row r="167" spans="1:190">
      <c r="A167" s="121"/>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c r="AD167" s="121"/>
      <c r="AE167" s="121"/>
      <c r="AF167" s="121"/>
      <c r="AG167" s="121"/>
      <c r="AH167" s="121"/>
      <c r="AI167" s="121"/>
      <c r="AJ167" s="121"/>
      <c r="AK167" s="121"/>
      <c r="AL167" s="121"/>
      <c r="AM167" s="121"/>
      <c r="AN167" s="121"/>
      <c r="AO167" s="121"/>
      <c r="AP167" s="121"/>
      <c r="AQ167" s="121"/>
      <c r="AR167" s="121"/>
      <c r="AS167" s="121"/>
      <c r="AT167" s="121"/>
      <c r="AU167" s="121"/>
      <c r="AV167" s="121"/>
      <c r="AW167" s="121"/>
      <c r="AX167" s="121"/>
      <c r="AY167" s="121"/>
      <c r="AZ167" s="121"/>
      <c r="BA167" s="121"/>
      <c r="BB167" s="121"/>
      <c r="BC167" s="121"/>
      <c r="BD167" s="121"/>
      <c r="BE167" s="121"/>
      <c r="BF167" s="121"/>
      <c r="BG167" s="121"/>
      <c r="BH167" s="121"/>
      <c r="BI167" s="121"/>
      <c r="BJ167" s="121"/>
      <c r="BK167" s="121"/>
      <c r="BL167" s="121"/>
      <c r="BM167" s="121"/>
      <c r="BN167" s="121"/>
      <c r="BO167" s="121"/>
      <c r="BP167" s="121"/>
      <c r="BQ167" s="121"/>
      <c r="BR167" s="121"/>
      <c r="BS167" s="121"/>
      <c r="BT167" s="121"/>
      <c r="BU167" s="121"/>
      <c r="BV167" s="121"/>
      <c r="BW167" s="121"/>
      <c r="BX167" s="121"/>
      <c r="BY167" s="121"/>
      <c r="BZ167" s="121"/>
      <c r="CA167" s="121"/>
      <c r="CB167" s="121"/>
      <c r="CC167" s="121"/>
      <c r="CD167" s="121"/>
      <c r="CE167" s="121"/>
      <c r="CF167" s="121"/>
      <c r="CG167" s="121"/>
      <c r="CH167" s="121"/>
      <c r="CI167" s="121"/>
      <c r="CJ167" s="121"/>
      <c r="CK167" s="121"/>
      <c r="CL167" s="121"/>
      <c r="CM167" s="121"/>
      <c r="CN167" s="121"/>
      <c r="CO167" s="121"/>
      <c r="CP167" s="121"/>
      <c r="CQ167" s="121"/>
      <c r="CR167" s="121"/>
      <c r="CS167" s="121"/>
      <c r="CT167" s="121"/>
      <c r="CU167" s="121"/>
      <c r="CV167" s="121"/>
      <c r="CW167" s="121"/>
      <c r="CX167" s="121"/>
      <c r="CY167" s="121"/>
      <c r="CZ167" s="121"/>
      <c r="DA167" s="121"/>
      <c r="DB167" s="121"/>
      <c r="DC167" s="121"/>
      <c r="DD167" s="121"/>
      <c r="DE167" s="121"/>
      <c r="DF167" s="121"/>
      <c r="DG167" s="121"/>
      <c r="DH167" s="121"/>
      <c r="DI167" s="121"/>
      <c r="DJ167" s="121"/>
      <c r="DK167" s="121"/>
      <c r="DL167" s="121"/>
      <c r="DM167" s="121"/>
      <c r="DN167" s="121"/>
      <c r="DO167" s="121"/>
      <c r="DP167" s="121"/>
      <c r="DQ167" s="121"/>
      <c r="DR167" s="121"/>
      <c r="DS167" s="121"/>
      <c r="DT167" s="121"/>
      <c r="DU167" s="121"/>
      <c r="DV167" s="121"/>
      <c r="DW167" s="121"/>
      <c r="DX167" s="121"/>
      <c r="DY167" s="121"/>
      <c r="DZ167" s="121"/>
      <c r="EA167" s="121"/>
      <c r="EB167" s="121"/>
      <c r="EC167" s="121"/>
      <c r="ED167" s="121"/>
      <c r="EE167" s="121"/>
      <c r="EF167" s="121"/>
      <c r="EG167" s="121"/>
      <c r="EH167" s="121"/>
      <c r="EI167" s="121"/>
      <c r="EJ167" s="121"/>
      <c r="EK167" s="121"/>
      <c r="EL167" s="121"/>
      <c r="EM167" s="121"/>
      <c r="EN167" s="121"/>
      <c r="EO167" s="121"/>
      <c r="EP167" s="121"/>
      <c r="EQ167" s="121"/>
      <c r="ER167" s="121"/>
      <c r="ES167" s="121"/>
      <c r="ET167" s="121"/>
      <c r="EU167" s="121"/>
      <c r="EV167" s="121"/>
      <c r="EW167" s="121"/>
      <c r="EX167" s="121"/>
      <c r="EY167" s="121"/>
      <c r="EZ167" s="121"/>
      <c r="FA167" s="121"/>
      <c r="FB167" s="121"/>
      <c r="FC167" s="121"/>
      <c r="FD167" s="121"/>
      <c r="FE167" s="121"/>
      <c r="FF167" s="121"/>
      <c r="FG167" s="121"/>
      <c r="FH167" s="121"/>
      <c r="FI167" s="121"/>
      <c r="FJ167" s="121"/>
      <c r="FK167" s="121"/>
      <c r="FL167" s="121"/>
      <c r="FM167" s="121"/>
      <c r="FN167" s="121"/>
      <c r="FO167" s="121"/>
      <c r="FP167" s="121"/>
      <c r="FQ167" s="121"/>
      <c r="FR167" s="121"/>
      <c r="FS167" s="121"/>
      <c r="FT167" s="121"/>
      <c r="FU167" s="121"/>
      <c r="FV167" s="121"/>
      <c r="FW167" s="121"/>
      <c r="FX167" s="121"/>
      <c r="FY167" s="121"/>
      <c r="FZ167" s="121"/>
      <c r="GA167" s="121"/>
      <c r="GB167" s="121"/>
      <c r="GC167" s="121"/>
      <c r="GD167" s="121"/>
      <c r="GE167" s="121"/>
      <c r="GF167" s="121"/>
      <c r="GG167" s="121"/>
      <c r="GH167" s="121"/>
    </row>
    <row r="168" spans="1:190">
      <c r="A168" s="121"/>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c r="AD168" s="121"/>
      <c r="AE168" s="121"/>
      <c r="AF168" s="121"/>
      <c r="AG168" s="121"/>
      <c r="AH168" s="121"/>
      <c r="AI168" s="121"/>
      <c r="AJ168" s="121"/>
      <c r="AK168" s="121"/>
      <c r="AL168" s="121"/>
      <c r="AM168" s="121"/>
      <c r="AN168" s="121"/>
      <c r="AO168" s="121"/>
      <c r="AP168" s="121"/>
      <c r="AQ168" s="121"/>
      <c r="AR168" s="121"/>
      <c r="AS168" s="121"/>
      <c r="AT168" s="121"/>
      <c r="AU168" s="121"/>
      <c r="AV168" s="121"/>
      <c r="AW168" s="121"/>
      <c r="AX168" s="121"/>
      <c r="AY168" s="121"/>
      <c r="AZ168" s="121"/>
      <c r="BA168" s="121"/>
      <c r="BB168" s="121"/>
      <c r="BC168" s="121"/>
      <c r="BD168" s="121"/>
      <c r="BE168" s="121"/>
      <c r="BF168" s="121"/>
      <c r="BG168" s="121"/>
      <c r="BH168" s="121"/>
      <c r="BI168" s="121"/>
      <c r="BJ168" s="121"/>
      <c r="BK168" s="121"/>
      <c r="BL168" s="121"/>
      <c r="BM168" s="121"/>
      <c r="BN168" s="121"/>
      <c r="BO168" s="121"/>
      <c r="BP168" s="121"/>
      <c r="BQ168" s="121"/>
      <c r="BR168" s="121"/>
      <c r="BS168" s="121"/>
      <c r="BT168" s="121"/>
      <c r="BU168" s="121"/>
      <c r="BV168" s="121"/>
      <c r="BW168" s="121"/>
      <c r="BX168" s="121"/>
      <c r="BY168" s="121"/>
      <c r="BZ168" s="121"/>
      <c r="CA168" s="121"/>
      <c r="CB168" s="121"/>
      <c r="CC168" s="121"/>
      <c r="CD168" s="121"/>
      <c r="CE168" s="121"/>
      <c r="CF168" s="121"/>
      <c r="CG168" s="121"/>
      <c r="CH168" s="121"/>
      <c r="CI168" s="121"/>
      <c r="CJ168" s="121"/>
      <c r="CK168" s="121"/>
      <c r="CL168" s="121"/>
      <c r="CM168" s="121"/>
      <c r="CN168" s="121"/>
      <c r="CO168" s="121"/>
      <c r="CP168" s="121"/>
      <c r="CQ168" s="121"/>
      <c r="CR168" s="121"/>
      <c r="CS168" s="121"/>
      <c r="CT168" s="121"/>
      <c r="CU168" s="121"/>
      <c r="CV168" s="121"/>
      <c r="CW168" s="121"/>
      <c r="CX168" s="121"/>
      <c r="CY168" s="121"/>
      <c r="CZ168" s="121"/>
      <c r="DA168" s="121"/>
      <c r="DB168" s="121"/>
      <c r="DC168" s="121"/>
      <c r="DD168" s="121"/>
      <c r="DE168" s="121"/>
      <c r="DF168" s="121"/>
      <c r="DG168" s="121"/>
      <c r="DH168" s="121"/>
      <c r="DI168" s="121"/>
      <c r="DJ168" s="121"/>
      <c r="DK168" s="121"/>
      <c r="DL168" s="121"/>
      <c r="DM168" s="121"/>
      <c r="DN168" s="121"/>
      <c r="DO168" s="121"/>
      <c r="DP168" s="121"/>
      <c r="DQ168" s="121"/>
      <c r="DR168" s="121"/>
      <c r="DS168" s="121"/>
      <c r="DT168" s="121"/>
      <c r="DU168" s="121"/>
      <c r="DV168" s="121"/>
      <c r="DW168" s="121"/>
      <c r="DX168" s="121"/>
      <c r="DY168" s="121"/>
      <c r="DZ168" s="121"/>
      <c r="EA168" s="121"/>
      <c r="EB168" s="121"/>
      <c r="EC168" s="121"/>
      <c r="ED168" s="121"/>
      <c r="EE168" s="121"/>
      <c r="EF168" s="121"/>
      <c r="EG168" s="121"/>
      <c r="EH168" s="121"/>
      <c r="EI168" s="121"/>
      <c r="EJ168" s="121"/>
      <c r="EK168" s="121"/>
      <c r="EL168" s="121"/>
      <c r="EM168" s="121"/>
      <c r="EN168" s="121"/>
      <c r="EO168" s="121"/>
      <c r="EP168" s="121"/>
      <c r="EQ168" s="121"/>
      <c r="ER168" s="121"/>
      <c r="ES168" s="121"/>
      <c r="ET168" s="121"/>
      <c r="EU168" s="121"/>
      <c r="EV168" s="121"/>
      <c r="EW168" s="121"/>
      <c r="EX168" s="121"/>
      <c r="EY168" s="121"/>
      <c r="EZ168" s="121"/>
      <c r="FA168" s="121"/>
      <c r="FB168" s="121"/>
      <c r="FC168" s="121"/>
      <c r="FD168" s="121"/>
      <c r="FE168" s="121"/>
      <c r="FF168" s="121"/>
      <c r="FG168" s="121"/>
      <c r="FH168" s="121"/>
      <c r="FI168" s="121"/>
      <c r="FJ168" s="121"/>
      <c r="FK168" s="121"/>
      <c r="FL168" s="121"/>
      <c r="FM168" s="121"/>
      <c r="FN168" s="121"/>
      <c r="FO168" s="121"/>
      <c r="FP168" s="121"/>
      <c r="FQ168" s="121"/>
      <c r="FR168" s="121"/>
      <c r="FS168" s="121"/>
      <c r="FT168" s="121"/>
      <c r="FU168" s="121"/>
      <c r="FV168" s="121"/>
      <c r="FW168" s="121"/>
      <c r="FX168" s="121"/>
      <c r="FY168" s="121"/>
      <c r="FZ168" s="121"/>
      <c r="GA168" s="121"/>
      <c r="GB168" s="121"/>
      <c r="GC168" s="121"/>
      <c r="GD168" s="121"/>
      <c r="GE168" s="121"/>
      <c r="GF168" s="121"/>
      <c r="GG168" s="121"/>
      <c r="GH168" s="121"/>
    </row>
    <row r="169" spans="1:190">
      <c r="A169" s="121"/>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c r="AD169" s="121"/>
      <c r="AE169" s="121"/>
      <c r="AF169" s="121"/>
      <c r="AG169" s="121"/>
      <c r="AH169" s="121"/>
      <c r="AI169" s="121"/>
      <c r="AJ169" s="121"/>
      <c r="AK169" s="121"/>
      <c r="AL169" s="121"/>
      <c r="AM169" s="121"/>
      <c r="AN169" s="121"/>
      <c r="AO169" s="121"/>
      <c r="AP169" s="121"/>
      <c r="AQ169" s="121"/>
      <c r="AR169" s="121"/>
      <c r="AS169" s="121"/>
      <c r="AT169" s="121"/>
      <c r="AU169" s="121"/>
      <c r="AV169" s="121"/>
      <c r="AW169" s="121"/>
      <c r="AX169" s="121"/>
      <c r="AY169" s="121"/>
      <c r="AZ169" s="121"/>
      <c r="BA169" s="121"/>
      <c r="BB169" s="121"/>
      <c r="BC169" s="121"/>
      <c r="BD169" s="121"/>
      <c r="BE169" s="121"/>
      <c r="BF169" s="121"/>
      <c r="BG169" s="121"/>
      <c r="BH169" s="121"/>
      <c r="BI169" s="121"/>
      <c r="BJ169" s="121"/>
      <c r="BK169" s="121"/>
      <c r="BL169" s="121"/>
      <c r="BM169" s="121"/>
      <c r="BN169" s="121"/>
      <c r="BO169" s="121"/>
      <c r="BP169" s="121"/>
      <c r="BQ169" s="121"/>
      <c r="BR169" s="121"/>
      <c r="BS169" s="121"/>
      <c r="BT169" s="121"/>
      <c r="BU169" s="121"/>
      <c r="BV169" s="121"/>
      <c r="BW169" s="121"/>
      <c r="BX169" s="121"/>
      <c r="BY169" s="121"/>
      <c r="BZ169" s="121"/>
      <c r="CA169" s="121"/>
      <c r="CB169" s="121"/>
      <c r="CC169" s="121"/>
      <c r="CD169" s="121"/>
      <c r="CE169" s="121"/>
      <c r="CF169" s="121"/>
      <c r="CG169" s="121"/>
      <c r="CH169" s="121"/>
      <c r="CI169" s="121"/>
      <c r="CJ169" s="121"/>
      <c r="CK169" s="121"/>
      <c r="CL169" s="121"/>
      <c r="CM169" s="121"/>
      <c r="CN169" s="121"/>
      <c r="CO169" s="121"/>
      <c r="CP169" s="121"/>
      <c r="CQ169" s="121"/>
      <c r="CR169" s="121"/>
      <c r="CS169" s="121"/>
      <c r="CT169" s="121"/>
      <c r="CU169" s="121"/>
      <c r="CV169" s="121"/>
      <c r="CW169" s="121"/>
      <c r="CX169" s="121"/>
      <c r="CY169" s="121"/>
      <c r="CZ169" s="121"/>
      <c r="DA169" s="121"/>
      <c r="DB169" s="121"/>
      <c r="DC169" s="121"/>
      <c r="DD169" s="121"/>
      <c r="DE169" s="121"/>
      <c r="DF169" s="121"/>
      <c r="DG169" s="121"/>
      <c r="DH169" s="121"/>
      <c r="DI169" s="121"/>
      <c r="DJ169" s="121"/>
      <c r="DK169" s="121"/>
      <c r="DL169" s="121"/>
      <c r="DM169" s="121"/>
      <c r="DN169" s="121"/>
      <c r="DO169" s="121"/>
      <c r="DP169" s="121"/>
      <c r="DQ169" s="121"/>
      <c r="DR169" s="121"/>
      <c r="DS169" s="121"/>
      <c r="DT169" s="121"/>
      <c r="DU169" s="121"/>
      <c r="DV169" s="121"/>
      <c r="DW169" s="121"/>
      <c r="DX169" s="121"/>
      <c r="DY169" s="121"/>
      <c r="DZ169" s="121"/>
      <c r="EA169" s="121"/>
      <c r="EB169" s="121"/>
      <c r="EC169" s="121"/>
      <c r="ED169" s="121"/>
      <c r="EE169" s="121"/>
      <c r="EF169" s="121"/>
      <c r="EG169" s="121"/>
      <c r="EH169" s="121"/>
      <c r="EI169" s="121"/>
      <c r="EJ169" s="121"/>
      <c r="EK169" s="121"/>
      <c r="EL169" s="121"/>
      <c r="EM169" s="121"/>
      <c r="EN169" s="121"/>
      <c r="EO169" s="121"/>
      <c r="EP169" s="121"/>
      <c r="EQ169" s="121"/>
      <c r="ER169" s="121"/>
      <c r="ES169" s="121"/>
      <c r="ET169" s="121"/>
      <c r="EU169" s="121"/>
      <c r="EV169" s="121"/>
      <c r="EW169" s="121"/>
      <c r="EX169" s="121"/>
      <c r="EY169" s="121"/>
      <c r="EZ169" s="121"/>
      <c r="FA169" s="121"/>
      <c r="FB169" s="121"/>
      <c r="FC169" s="121"/>
      <c r="FD169" s="121"/>
      <c r="FE169" s="121"/>
      <c r="FF169" s="121"/>
      <c r="FG169" s="121"/>
      <c r="FH169" s="121"/>
      <c r="FI169" s="121"/>
      <c r="FJ169" s="121"/>
      <c r="FK169" s="121"/>
      <c r="FL169" s="121"/>
      <c r="FM169" s="121"/>
      <c r="FN169" s="121"/>
      <c r="FO169" s="121"/>
      <c r="FP169" s="121"/>
      <c r="FQ169" s="121"/>
      <c r="FR169" s="121"/>
      <c r="FS169" s="121"/>
      <c r="FT169" s="121"/>
      <c r="FU169" s="121"/>
      <c r="FV169" s="121"/>
      <c r="FW169" s="121"/>
      <c r="FX169" s="121"/>
      <c r="FY169" s="121"/>
      <c r="FZ169" s="121"/>
      <c r="GA169" s="121"/>
      <c r="GB169" s="121"/>
      <c r="GC169" s="121"/>
      <c r="GD169" s="121"/>
      <c r="GE169" s="121"/>
      <c r="GF169" s="121"/>
      <c r="GG169" s="121"/>
      <c r="GH169" s="121"/>
    </row>
    <row r="170" spans="1:190">
      <c r="A170" s="121"/>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c r="AD170" s="121"/>
      <c r="AE170" s="121"/>
      <c r="AF170" s="121"/>
      <c r="AG170" s="121"/>
      <c r="AH170" s="121"/>
      <c r="AI170" s="121"/>
      <c r="AJ170" s="121"/>
      <c r="AK170" s="121"/>
      <c r="AL170" s="121"/>
      <c r="AM170" s="121"/>
      <c r="AN170" s="121"/>
      <c r="AO170" s="121"/>
      <c r="AP170" s="121"/>
      <c r="AQ170" s="121"/>
      <c r="AR170" s="121"/>
      <c r="AS170" s="121"/>
      <c r="AT170" s="121"/>
      <c r="AU170" s="121"/>
      <c r="AV170" s="121"/>
      <c r="AW170" s="121"/>
      <c r="AX170" s="121"/>
      <c r="AY170" s="121"/>
      <c r="AZ170" s="121"/>
      <c r="BA170" s="121"/>
      <c r="BB170" s="121"/>
      <c r="BC170" s="121"/>
      <c r="BD170" s="121"/>
      <c r="BE170" s="121"/>
      <c r="BF170" s="121"/>
      <c r="BG170" s="121"/>
      <c r="BH170" s="121"/>
      <c r="BI170" s="121"/>
      <c r="BJ170" s="121"/>
      <c r="BK170" s="121"/>
      <c r="BL170" s="121"/>
      <c r="BM170" s="121"/>
      <c r="BN170" s="121"/>
      <c r="BO170" s="121"/>
      <c r="BP170" s="121"/>
      <c r="BQ170" s="121"/>
      <c r="BR170" s="121"/>
      <c r="BS170" s="121"/>
      <c r="BT170" s="121"/>
      <c r="BU170" s="121"/>
      <c r="BV170" s="121"/>
      <c r="BW170" s="121"/>
      <c r="BX170" s="121"/>
      <c r="BY170" s="121"/>
      <c r="BZ170" s="121"/>
      <c r="CA170" s="121"/>
      <c r="CB170" s="121"/>
      <c r="CC170" s="121"/>
      <c r="CD170" s="121"/>
      <c r="CE170" s="121"/>
      <c r="CF170" s="121"/>
      <c r="CG170" s="121"/>
      <c r="CH170" s="121"/>
      <c r="CI170" s="121"/>
      <c r="CJ170" s="121"/>
      <c r="CK170" s="121"/>
      <c r="CL170" s="121"/>
      <c r="CM170" s="121"/>
      <c r="CN170" s="121"/>
      <c r="CO170" s="121"/>
      <c r="CP170" s="121"/>
      <c r="CQ170" s="121"/>
      <c r="CR170" s="121"/>
      <c r="CS170" s="121"/>
      <c r="CT170" s="121"/>
      <c r="CU170" s="121"/>
      <c r="CV170" s="121"/>
      <c r="CW170" s="121"/>
      <c r="CX170" s="121"/>
      <c r="CY170" s="121"/>
      <c r="CZ170" s="121"/>
      <c r="DA170" s="121"/>
      <c r="DB170" s="121"/>
      <c r="DC170" s="121"/>
      <c r="DD170" s="121"/>
      <c r="DE170" s="121"/>
      <c r="DF170" s="121"/>
      <c r="DG170" s="121"/>
      <c r="DH170" s="121"/>
      <c r="DI170" s="121"/>
      <c r="DJ170" s="121"/>
      <c r="DK170" s="121"/>
      <c r="DL170" s="121"/>
      <c r="DM170" s="121"/>
      <c r="DN170" s="121"/>
      <c r="DO170" s="121"/>
      <c r="DP170" s="121"/>
      <c r="DQ170" s="121"/>
      <c r="DR170" s="121"/>
      <c r="DS170" s="121"/>
      <c r="DT170" s="121"/>
      <c r="DU170" s="121"/>
      <c r="DV170" s="121"/>
      <c r="DW170" s="121"/>
      <c r="DX170" s="121"/>
      <c r="DY170" s="121"/>
      <c r="DZ170" s="121"/>
      <c r="EA170" s="121"/>
      <c r="EB170" s="121"/>
      <c r="EC170" s="121"/>
      <c r="ED170" s="121"/>
      <c r="EE170" s="121"/>
      <c r="EF170" s="121"/>
      <c r="EG170" s="121"/>
      <c r="EH170" s="121"/>
      <c r="EI170" s="121"/>
      <c r="EJ170" s="121"/>
      <c r="EK170" s="121"/>
      <c r="EL170" s="121"/>
      <c r="EM170" s="121"/>
      <c r="EN170" s="121"/>
      <c r="EO170" s="121"/>
      <c r="EP170" s="121"/>
      <c r="EQ170" s="121"/>
      <c r="ER170" s="121"/>
      <c r="ES170" s="121"/>
      <c r="ET170" s="121"/>
      <c r="EU170" s="121"/>
      <c r="EV170" s="121"/>
      <c r="EW170" s="121"/>
      <c r="EX170" s="121"/>
      <c r="EY170" s="121"/>
      <c r="EZ170" s="121"/>
      <c r="FA170" s="121"/>
      <c r="FB170" s="121"/>
      <c r="FC170" s="121"/>
      <c r="FD170" s="121"/>
      <c r="FE170" s="121"/>
      <c r="FF170" s="121"/>
      <c r="FG170" s="121"/>
      <c r="FH170" s="121"/>
      <c r="FI170" s="121"/>
      <c r="FJ170" s="121"/>
      <c r="FK170" s="121"/>
      <c r="FL170" s="121"/>
      <c r="FM170" s="121"/>
      <c r="FN170" s="121"/>
      <c r="FO170" s="121"/>
      <c r="FP170" s="121"/>
      <c r="FQ170" s="121"/>
      <c r="FR170" s="121"/>
      <c r="FS170" s="121"/>
      <c r="FT170" s="121"/>
      <c r="FU170" s="121"/>
      <c r="FV170" s="121"/>
      <c r="FW170" s="121"/>
      <c r="FX170" s="121"/>
      <c r="FY170" s="121"/>
      <c r="FZ170" s="121"/>
      <c r="GA170" s="121"/>
      <c r="GB170" s="121"/>
      <c r="GC170" s="121"/>
      <c r="GD170" s="121"/>
      <c r="GE170" s="121"/>
      <c r="GF170" s="121"/>
      <c r="GG170" s="121"/>
      <c r="GH170" s="121"/>
    </row>
    <row r="171" spans="1:190">
      <c r="A171" s="121"/>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c r="AD171" s="121"/>
      <c r="AE171" s="121"/>
      <c r="AF171" s="121"/>
      <c r="AG171" s="121"/>
      <c r="AH171" s="121"/>
      <c r="AI171" s="121"/>
      <c r="AJ171" s="121"/>
      <c r="AK171" s="121"/>
      <c r="AL171" s="121"/>
      <c r="AM171" s="121"/>
      <c r="AN171" s="121"/>
      <c r="AO171" s="121"/>
      <c r="AP171" s="121"/>
      <c r="AQ171" s="121"/>
      <c r="AR171" s="121"/>
      <c r="AS171" s="121"/>
      <c r="AT171" s="121"/>
      <c r="AU171" s="121"/>
      <c r="AV171" s="121"/>
      <c r="AW171" s="121"/>
      <c r="AX171" s="121"/>
      <c r="AY171" s="121"/>
      <c r="AZ171" s="121"/>
      <c r="BA171" s="121"/>
      <c r="BB171" s="121"/>
      <c r="BC171" s="121"/>
      <c r="BD171" s="121"/>
      <c r="BE171" s="121"/>
      <c r="BF171" s="121"/>
      <c r="BG171" s="121"/>
      <c r="BH171" s="121"/>
      <c r="BI171" s="121"/>
      <c r="BJ171" s="121"/>
      <c r="BK171" s="121"/>
      <c r="BL171" s="121"/>
      <c r="BM171" s="121"/>
      <c r="BN171" s="121"/>
      <c r="BO171" s="121"/>
      <c r="BP171" s="121"/>
      <c r="BQ171" s="121"/>
      <c r="BR171" s="121"/>
      <c r="BS171" s="121"/>
      <c r="BT171" s="121"/>
      <c r="BU171" s="121"/>
      <c r="BV171" s="121"/>
      <c r="BW171" s="121"/>
      <c r="BX171" s="121"/>
      <c r="BY171" s="121"/>
      <c r="BZ171" s="121"/>
      <c r="CA171" s="121"/>
      <c r="CB171" s="121"/>
      <c r="CC171" s="121"/>
      <c r="CD171" s="121"/>
      <c r="CE171" s="121"/>
      <c r="CF171" s="121"/>
      <c r="CG171" s="121"/>
      <c r="CH171" s="121"/>
      <c r="CI171" s="121"/>
      <c r="CJ171" s="121"/>
      <c r="CK171" s="121"/>
      <c r="CL171" s="121"/>
      <c r="CM171" s="121"/>
      <c r="CN171" s="121"/>
      <c r="CO171" s="121"/>
      <c r="CP171" s="121"/>
      <c r="CQ171" s="121"/>
      <c r="CR171" s="121"/>
      <c r="CS171" s="121"/>
      <c r="CT171" s="121"/>
      <c r="CU171" s="121"/>
      <c r="CV171" s="121"/>
      <c r="CW171" s="121"/>
      <c r="CX171" s="121"/>
      <c r="CY171" s="121"/>
      <c r="CZ171" s="121"/>
      <c r="DA171" s="121"/>
      <c r="DB171" s="121"/>
      <c r="DC171" s="121"/>
      <c r="DD171" s="121"/>
      <c r="DE171" s="121"/>
      <c r="DF171" s="121"/>
      <c r="DG171" s="121"/>
      <c r="DH171" s="121"/>
      <c r="DI171" s="121"/>
      <c r="DJ171" s="121"/>
      <c r="DK171" s="121"/>
      <c r="DL171" s="121"/>
      <c r="DM171" s="121"/>
      <c r="DN171" s="121"/>
      <c r="DO171" s="121"/>
      <c r="DP171" s="121"/>
      <c r="DQ171" s="121"/>
      <c r="DR171" s="121"/>
      <c r="DS171" s="121"/>
      <c r="DT171" s="121"/>
      <c r="DU171" s="121"/>
      <c r="DV171" s="121"/>
      <c r="DW171" s="121"/>
      <c r="DX171" s="121"/>
      <c r="DY171" s="121"/>
      <c r="DZ171" s="121"/>
      <c r="EA171" s="121"/>
      <c r="EB171" s="121"/>
      <c r="EC171" s="121"/>
      <c r="ED171" s="121"/>
      <c r="EE171" s="121"/>
      <c r="EF171" s="121"/>
      <c r="EG171" s="121"/>
      <c r="EH171" s="121"/>
      <c r="EI171" s="121"/>
      <c r="EJ171" s="121"/>
      <c r="EK171" s="121"/>
      <c r="EL171" s="121"/>
      <c r="EM171" s="121"/>
      <c r="EN171" s="121"/>
      <c r="EO171" s="121"/>
      <c r="EP171" s="121"/>
      <c r="EQ171" s="121"/>
      <c r="ER171" s="121"/>
      <c r="ES171" s="121"/>
      <c r="ET171" s="121"/>
      <c r="EU171" s="121"/>
      <c r="EV171" s="121"/>
      <c r="EW171" s="121"/>
      <c r="EX171" s="121"/>
      <c r="EY171" s="121"/>
      <c r="EZ171" s="121"/>
      <c r="FA171" s="121"/>
      <c r="FB171" s="121"/>
      <c r="FC171" s="121"/>
      <c r="FD171" s="121"/>
      <c r="FE171" s="121"/>
      <c r="FF171" s="121"/>
      <c r="FG171" s="121"/>
      <c r="FH171" s="121"/>
      <c r="FI171" s="121"/>
      <c r="FJ171" s="121"/>
      <c r="FK171" s="121"/>
      <c r="FL171" s="121"/>
      <c r="FM171" s="121"/>
      <c r="FN171" s="121"/>
      <c r="FO171" s="121"/>
      <c r="FP171" s="121"/>
      <c r="FQ171" s="121"/>
      <c r="FR171" s="121"/>
      <c r="FS171" s="121"/>
      <c r="FT171" s="121"/>
      <c r="FU171" s="121"/>
      <c r="FV171" s="121"/>
      <c r="FW171" s="121"/>
      <c r="FX171" s="121"/>
      <c r="FY171" s="121"/>
      <c r="FZ171" s="121"/>
      <c r="GA171" s="121"/>
      <c r="GB171" s="121"/>
      <c r="GC171" s="121"/>
      <c r="GD171" s="121"/>
      <c r="GE171" s="121"/>
      <c r="GF171" s="121"/>
      <c r="GG171" s="121"/>
      <c r="GH171" s="121"/>
    </row>
    <row r="172" spans="1:190">
      <c r="A172" s="121"/>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c r="AD172" s="121"/>
      <c r="AE172" s="121"/>
      <c r="AF172" s="121"/>
      <c r="AG172" s="121"/>
      <c r="AH172" s="121"/>
      <c r="AI172" s="121"/>
      <c r="AJ172" s="121"/>
      <c r="AK172" s="121"/>
      <c r="AL172" s="121"/>
      <c r="AM172" s="121"/>
      <c r="AN172" s="121"/>
      <c r="AO172" s="121"/>
      <c r="AP172" s="121"/>
      <c r="AQ172" s="121"/>
      <c r="AR172" s="121"/>
      <c r="AS172" s="121"/>
      <c r="AT172" s="121"/>
      <c r="AU172" s="121"/>
      <c r="AV172" s="121"/>
      <c r="AW172" s="121"/>
      <c r="AX172" s="121"/>
      <c r="AY172" s="121"/>
      <c r="AZ172" s="121"/>
      <c r="BA172" s="121"/>
      <c r="BB172" s="121"/>
      <c r="BC172" s="121"/>
      <c r="BD172" s="121"/>
      <c r="BE172" s="121"/>
      <c r="BF172" s="121"/>
      <c r="BG172" s="121"/>
      <c r="BH172" s="121"/>
      <c r="BI172" s="121"/>
      <c r="BJ172" s="121"/>
      <c r="BK172" s="121"/>
      <c r="BL172" s="121"/>
      <c r="BM172" s="121"/>
      <c r="BN172" s="121"/>
      <c r="BO172" s="121"/>
      <c r="BP172" s="121"/>
      <c r="BQ172" s="121"/>
      <c r="BR172" s="121"/>
      <c r="BS172" s="121"/>
      <c r="BT172" s="121"/>
      <c r="BU172" s="121"/>
      <c r="BV172" s="121"/>
      <c r="BW172" s="121"/>
      <c r="BX172" s="121"/>
      <c r="BY172" s="121"/>
      <c r="BZ172" s="121"/>
      <c r="CA172" s="121"/>
      <c r="CB172" s="121"/>
      <c r="CC172" s="121"/>
      <c r="CD172" s="121"/>
      <c r="CE172" s="121"/>
      <c r="CF172" s="121"/>
      <c r="CG172" s="121"/>
      <c r="CH172" s="121"/>
      <c r="CI172" s="121"/>
      <c r="CJ172" s="121"/>
      <c r="CK172" s="121"/>
      <c r="CL172" s="121"/>
      <c r="CM172" s="121"/>
      <c r="CN172" s="121"/>
      <c r="CO172" s="121"/>
      <c r="CP172" s="121"/>
      <c r="CQ172" s="121"/>
      <c r="CR172" s="121"/>
      <c r="CS172" s="121"/>
      <c r="CT172" s="121"/>
      <c r="CU172" s="121"/>
      <c r="CV172" s="121"/>
      <c r="CW172" s="121"/>
      <c r="CX172" s="121"/>
      <c r="CY172" s="121"/>
      <c r="CZ172" s="121"/>
      <c r="DA172" s="121"/>
      <c r="DB172" s="121"/>
      <c r="DC172" s="121"/>
      <c r="DD172" s="121"/>
      <c r="DE172" s="121"/>
      <c r="DF172" s="121"/>
      <c r="DG172" s="121"/>
      <c r="DH172" s="121"/>
      <c r="DI172" s="121"/>
      <c r="DJ172" s="121"/>
      <c r="DK172" s="121"/>
      <c r="DL172" s="121"/>
      <c r="DM172" s="121"/>
      <c r="DN172" s="121"/>
      <c r="DO172" s="121"/>
      <c r="DP172" s="121"/>
      <c r="DQ172" s="121"/>
      <c r="DR172" s="121"/>
      <c r="DS172" s="121"/>
      <c r="DT172" s="121"/>
      <c r="DU172" s="121"/>
      <c r="DV172" s="121"/>
      <c r="DW172" s="121"/>
      <c r="DX172" s="121"/>
      <c r="DY172" s="121"/>
      <c r="DZ172" s="121"/>
      <c r="EA172" s="121"/>
      <c r="EB172" s="121"/>
      <c r="EC172" s="121"/>
      <c r="ED172" s="121"/>
      <c r="EE172" s="121"/>
      <c r="EF172" s="121"/>
      <c r="EG172" s="121"/>
      <c r="EH172" s="121"/>
      <c r="EI172" s="121"/>
      <c r="EJ172" s="121"/>
      <c r="EK172" s="121"/>
      <c r="EL172" s="121"/>
      <c r="EM172" s="121"/>
      <c r="EN172" s="121"/>
      <c r="EO172" s="121"/>
      <c r="EP172" s="121"/>
      <c r="EQ172" s="121"/>
      <c r="ER172" s="121"/>
      <c r="ES172" s="121"/>
      <c r="ET172" s="121"/>
      <c r="EU172" s="121"/>
      <c r="EV172" s="121"/>
      <c r="EW172" s="121"/>
      <c r="EX172" s="121"/>
      <c r="EY172" s="121"/>
      <c r="EZ172" s="121"/>
      <c r="FA172" s="121"/>
      <c r="FB172" s="121"/>
      <c r="FC172" s="121"/>
      <c r="FD172" s="121"/>
      <c r="FE172" s="121"/>
      <c r="FF172" s="121"/>
      <c r="FG172" s="121"/>
      <c r="FH172" s="121"/>
      <c r="FI172" s="121"/>
      <c r="FJ172" s="121"/>
      <c r="FK172" s="121"/>
      <c r="FL172" s="121"/>
      <c r="FM172" s="121"/>
      <c r="FN172" s="121"/>
      <c r="FO172" s="121"/>
      <c r="FP172" s="121"/>
      <c r="FQ172" s="121"/>
      <c r="FR172" s="121"/>
      <c r="FS172" s="121"/>
      <c r="FT172" s="121"/>
      <c r="FU172" s="121"/>
      <c r="FV172" s="121"/>
      <c r="FW172" s="121"/>
      <c r="FX172" s="121"/>
      <c r="FY172" s="121"/>
      <c r="FZ172" s="121"/>
      <c r="GA172" s="121"/>
      <c r="GB172" s="121"/>
      <c r="GC172" s="121"/>
      <c r="GD172" s="121"/>
      <c r="GE172" s="121"/>
      <c r="GF172" s="121"/>
      <c r="GG172" s="121"/>
      <c r="GH172" s="121"/>
    </row>
    <row r="173" spans="1:190">
      <c r="A173" s="121"/>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c r="AD173" s="121"/>
      <c r="AE173" s="121"/>
      <c r="AF173" s="121"/>
      <c r="AG173" s="121"/>
      <c r="AH173" s="121"/>
      <c r="AI173" s="121"/>
      <c r="AJ173" s="121"/>
      <c r="AK173" s="121"/>
      <c r="AL173" s="121"/>
      <c r="AM173" s="121"/>
      <c r="AN173" s="121"/>
      <c r="AO173" s="121"/>
      <c r="AP173" s="121"/>
      <c r="AQ173" s="121"/>
      <c r="AR173" s="121"/>
      <c r="AS173" s="121"/>
      <c r="AT173" s="121"/>
      <c r="AU173" s="121"/>
      <c r="AV173" s="121"/>
      <c r="AW173" s="121"/>
      <c r="AX173" s="121"/>
      <c r="AY173" s="121"/>
      <c r="AZ173" s="121"/>
      <c r="BA173" s="121"/>
      <c r="BB173" s="121"/>
      <c r="BC173" s="121"/>
      <c r="BD173" s="121"/>
      <c r="BE173" s="121"/>
      <c r="BF173" s="121"/>
      <c r="BG173" s="121"/>
      <c r="BH173" s="121"/>
      <c r="BI173" s="121"/>
      <c r="BJ173" s="121"/>
      <c r="BK173" s="121"/>
      <c r="BL173" s="121"/>
      <c r="BM173" s="121"/>
      <c r="BN173" s="121"/>
      <c r="BO173" s="121"/>
      <c r="BP173" s="121"/>
      <c r="BQ173" s="121"/>
      <c r="BR173" s="121"/>
      <c r="BS173" s="121"/>
      <c r="BT173" s="121"/>
      <c r="BU173" s="121"/>
      <c r="BV173" s="121"/>
      <c r="BW173" s="121"/>
      <c r="BX173" s="121"/>
      <c r="BY173" s="121"/>
      <c r="BZ173" s="121"/>
      <c r="CA173" s="121"/>
      <c r="CB173" s="121"/>
      <c r="CC173" s="121"/>
      <c r="CD173" s="121"/>
      <c r="CE173" s="121"/>
      <c r="CF173" s="121"/>
      <c r="CG173" s="121"/>
      <c r="CH173" s="121"/>
      <c r="CI173" s="121"/>
      <c r="CJ173" s="121"/>
      <c r="CK173" s="121"/>
      <c r="CL173" s="121"/>
      <c r="CM173" s="121"/>
      <c r="CN173" s="121"/>
      <c r="CO173" s="121"/>
      <c r="CP173" s="121"/>
      <c r="CQ173" s="121"/>
      <c r="CR173" s="121"/>
      <c r="CS173" s="121"/>
      <c r="CT173" s="121"/>
      <c r="CU173" s="121"/>
      <c r="CV173" s="121"/>
      <c r="CW173" s="121"/>
      <c r="CX173" s="121"/>
      <c r="CY173" s="121"/>
      <c r="CZ173" s="121"/>
      <c r="DA173" s="121"/>
      <c r="DB173" s="121"/>
      <c r="DC173" s="121"/>
      <c r="DD173" s="121"/>
      <c r="DE173" s="121"/>
      <c r="DF173" s="121"/>
      <c r="DG173" s="121"/>
      <c r="DH173" s="121"/>
      <c r="DI173" s="121"/>
      <c r="DJ173" s="121"/>
      <c r="DK173" s="121"/>
      <c r="DL173" s="121"/>
      <c r="DM173" s="121"/>
      <c r="DN173" s="121"/>
      <c r="DO173" s="121"/>
      <c r="DP173" s="121"/>
      <c r="DQ173" s="121"/>
      <c r="DR173" s="121"/>
      <c r="DS173" s="121"/>
      <c r="DT173" s="121"/>
      <c r="DU173" s="121"/>
      <c r="DV173" s="121"/>
      <c r="DW173" s="121"/>
      <c r="DX173" s="121"/>
      <c r="DY173" s="121"/>
      <c r="DZ173" s="121"/>
      <c r="EA173" s="121"/>
      <c r="EB173" s="121"/>
      <c r="EC173" s="121"/>
      <c r="ED173" s="121"/>
      <c r="EE173" s="121"/>
      <c r="EF173" s="121"/>
      <c r="EG173" s="121"/>
      <c r="EH173" s="121"/>
      <c r="EI173" s="121"/>
      <c r="EJ173" s="121"/>
      <c r="EK173" s="121"/>
      <c r="EL173" s="121"/>
      <c r="EM173" s="121"/>
      <c r="EN173" s="121"/>
      <c r="EO173" s="121"/>
      <c r="EP173" s="121"/>
      <c r="EQ173" s="121"/>
      <c r="ER173" s="121"/>
      <c r="ES173" s="121"/>
      <c r="ET173" s="121"/>
      <c r="EU173" s="121"/>
      <c r="EV173" s="121"/>
      <c r="EW173" s="121"/>
      <c r="EX173" s="121"/>
      <c r="EY173" s="121"/>
      <c r="EZ173" s="121"/>
      <c r="FA173" s="121"/>
      <c r="FB173" s="121"/>
      <c r="FC173" s="121"/>
      <c r="FD173" s="121"/>
      <c r="FE173" s="121"/>
      <c r="FF173" s="121"/>
      <c r="FG173" s="121"/>
      <c r="FH173" s="121"/>
      <c r="FI173" s="121"/>
      <c r="FJ173" s="121"/>
      <c r="FK173" s="121"/>
      <c r="FL173" s="121"/>
      <c r="FM173" s="121"/>
      <c r="FN173" s="121"/>
      <c r="FO173" s="121"/>
      <c r="FP173" s="121"/>
      <c r="FQ173" s="121"/>
      <c r="FR173" s="121"/>
      <c r="FS173" s="121"/>
      <c r="FT173" s="121"/>
      <c r="FU173" s="121"/>
      <c r="FV173" s="121"/>
      <c r="FW173" s="121"/>
      <c r="FX173" s="121"/>
      <c r="FY173" s="121"/>
      <c r="FZ173" s="121"/>
      <c r="GA173" s="121"/>
      <c r="GB173" s="121"/>
      <c r="GC173" s="121"/>
      <c r="GD173" s="121"/>
      <c r="GE173" s="121"/>
      <c r="GF173" s="121"/>
      <c r="GG173" s="121"/>
      <c r="GH173" s="121"/>
    </row>
    <row r="174" spans="1:190">
      <c r="A174" s="121"/>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c r="AD174" s="121"/>
      <c r="AE174" s="121"/>
      <c r="AF174" s="121"/>
      <c r="AG174" s="121"/>
      <c r="AH174" s="121"/>
      <c r="AI174" s="121"/>
      <c r="AJ174" s="121"/>
      <c r="AK174" s="121"/>
      <c r="AL174" s="121"/>
      <c r="AM174" s="121"/>
      <c r="AN174" s="121"/>
      <c r="AO174" s="121"/>
      <c r="AP174" s="121"/>
      <c r="AQ174" s="121"/>
      <c r="AR174" s="121"/>
      <c r="AS174" s="121"/>
      <c r="AT174" s="121"/>
      <c r="AU174" s="121"/>
      <c r="AV174" s="121"/>
      <c r="AW174" s="121"/>
      <c r="AX174" s="121"/>
      <c r="AY174" s="121"/>
      <c r="AZ174" s="121"/>
      <c r="BA174" s="121"/>
      <c r="BB174" s="121"/>
      <c r="BC174" s="121"/>
      <c r="BD174" s="121"/>
      <c r="BE174" s="121"/>
      <c r="BF174" s="121"/>
      <c r="BG174" s="121"/>
      <c r="BH174" s="121"/>
      <c r="BI174" s="121"/>
      <c r="BJ174" s="121"/>
      <c r="BK174" s="121"/>
      <c r="BL174" s="121"/>
      <c r="BM174" s="121"/>
      <c r="BN174" s="121"/>
      <c r="BO174" s="121"/>
      <c r="BP174" s="121"/>
      <c r="BQ174" s="121"/>
      <c r="BR174" s="121"/>
      <c r="BS174" s="121"/>
      <c r="BT174" s="121"/>
      <c r="BU174" s="121"/>
      <c r="BV174" s="121"/>
      <c r="BW174" s="121"/>
      <c r="BX174" s="121"/>
      <c r="BY174" s="121"/>
      <c r="BZ174" s="121"/>
      <c r="CA174" s="121"/>
      <c r="CB174" s="121"/>
      <c r="CC174" s="121"/>
      <c r="CD174" s="121"/>
      <c r="CE174" s="121"/>
      <c r="CF174" s="121"/>
      <c r="CG174" s="121"/>
      <c r="CH174" s="121"/>
      <c r="CI174" s="121"/>
      <c r="CJ174" s="121"/>
      <c r="CK174" s="121"/>
      <c r="CL174" s="121"/>
      <c r="CM174" s="121"/>
      <c r="CN174" s="121"/>
      <c r="CO174" s="121"/>
      <c r="CP174" s="121"/>
      <c r="CQ174" s="121"/>
      <c r="CR174" s="121"/>
      <c r="CS174" s="121"/>
      <c r="CT174" s="121"/>
      <c r="CU174" s="121"/>
      <c r="CV174" s="121"/>
      <c r="CW174" s="121"/>
      <c r="CX174" s="121"/>
      <c r="CY174" s="121"/>
      <c r="CZ174" s="121"/>
      <c r="DA174" s="121"/>
      <c r="DB174" s="121"/>
      <c r="DC174" s="121"/>
      <c r="DD174" s="121"/>
      <c r="DE174" s="121"/>
      <c r="DF174" s="121"/>
      <c r="DG174" s="121"/>
      <c r="DH174" s="121"/>
      <c r="DI174" s="121"/>
      <c r="DJ174" s="121"/>
      <c r="DK174" s="121"/>
      <c r="DL174" s="121"/>
      <c r="DM174" s="121"/>
      <c r="DN174" s="121"/>
      <c r="DO174" s="121"/>
      <c r="DP174" s="121"/>
      <c r="DQ174" s="121"/>
      <c r="DR174" s="121"/>
      <c r="DS174" s="121"/>
      <c r="DT174" s="121"/>
      <c r="DU174" s="121"/>
      <c r="DV174" s="121"/>
      <c r="DW174" s="121"/>
      <c r="DX174" s="121"/>
      <c r="DY174" s="121"/>
      <c r="DZ174" s="121"/>
      <c r="EA174" s="121"/>
      <c r="EB174" s="121"/>
      <c r="EC174" s="121"/>
      <c r="ED174" s="121"/>
      <c r="EE174" s="121"/>
      <c r="EF174" s="121"/>
      <c r="EG174" s="121"/>
      <c r="EH174" s="121"/>
      <c r="EI174" s="121"/>
      <c r="EJ174" s="121"/>
      <c r="EK174" s="121"/>
      <c r="EL174" s="121"/>
      <c r="EM174" s="121"/>
      <c r="EN174" s="121"/>
      <c r="EO174" s="121"/>
      <c r="EP174" s="121"/>
      <c r="EQ174" s="121"/>
      <c r="ER174" s="121"/>
      <c r="ES174" s="121"/>
      <c r="ET174" s="121"/>
      <c r="EU174" s="121"/>
      <c r="EV174" s="121"/>
      <c r="EW174" s="121"/>
      <c r="EX174" s="121"/>
      <c r="EY174" s="121"/>
      <c r="EZ174" s="121"/>
      <c r="FA174" s="121"/>
      <c r="FB174" s="121"/>
      <c r="FC174" s="121"/>
      <c r="FD174" s="121"/>
      <c r="FE174" s="121"/>
      <c r="FF174" s="121"/>
      <c r="FG174" s="121"/>
      <c r="FH174" s="121"/>
      <c r="FI174" s="121"/>
      <c r="FJ174" s="121"/>
      <c r="FK174" s="121"/>
      <c r="FL174" s="121"/>
      <c r="FM174" s="121"/>
      <c r="FN174" s="121"/>
      <c r="FO174" s="121"/>
      <c r="FP174" s="121"/>
      <c r="FQ174" s="121"/>
      <c r="FR174" s="121"/>
      <c r="FS174" s="121"/>
      <c r="FT174" s="121"/>
      <c r="FU174" s="121"/>
      <c r="FV174" s="121"/>
      <c r="FW174" s="121"/>
      <c r="FX174" s="121"/>
      <c r="FY174" s="121"/>
      <c r="FZ174" s="121"/>
      <c r="GA174" s="121"/>
      <c r="GB174" s="121"/>
      <c r="GC174" s="121"/>
      <c r="GD174" s="121"/>
      <c r="GE174" s="121"/>
      <c r="GF174" s="121"/>
      <c r="GG174" s="121"/>
      <c r="GH174" s="121"/>
    </row>
    <row r="175" spans="1:190">
      <c r="A175" s="121"/>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c r="AD175" s="121"/>
      <c r="AE175" s="121"/>
      <c r="AF175" s="121"/>
      <c r="AG175" s="121"/>
      <c r="AH175" s="121"/>
      <c r="AI175" s="121"/>
      <c r="AJ175" s="121"/>
      <c r="AK175" s="121"/>
      <c r="AL175" s="121"/>
      <c r="AM175" s="121"/>
      <c r="AN175" s="121"/>
      <c r="AO175" s="121"/>
      <c r="AP175" s="121"/>
      <c r="AQ175" s="121"/>
      <c r="AR175" s="121"/>
      <c r="AS175" s="121"/>
      <c r="AT175" s="121"/>
      <c r="AU175" s="121"/>
      <c r="AV175" s="121"/>
      <c r="AW175" s="121"/>
      <c r="AX175" s="121"/>
      <c r="AY175" s="121"/>
      <c r="AZ175" s="121"/>
      <c r="BA175" s="121"/>
      <c r="BB175" s="121"/>
      <c r="BC175" s="121"/>
      <c r="BD175" s="121"/>
      <c r="BE175" s="121"/>
      <c r="BF175" s="121"/>
      <c r="BG175" s="121"/>
      <c r="BH175" s="121"/>
      <c r="BI175" s="121"/>
      <c r="BJ175" s="121"/>
      <c r="BK175" s="121"/>
      <c r="BL175" s="121"/>
      <c r="BM175" s="121"/>
      <c r="BN175" s="121"/>
      <c r="BO175" s="121"/>
      <c r="BP175" s="121"/>
      <c r="BQ175" s="121"/>
      <c r="BR175" s="121"/>
      <c r="BS175" s="121"/>
      <c r="BT175" s="121"/>
      <c r="BU175" s="121"/>
      <c r="BV175" s="121"/>
      <c r="BW175" s="121"/>
      <c r="BX175" s="121"/>
      <c r="BY175" s="121"/>
      <c r="BZ175" s="121"/>
      <c r="CA175" s="121"/>
      <c r="CB175" s="121"/>
      <c r="CC175" s="121"/>
      <c r="CD175" s="121"/>
      <c r="CE175" s="121"/>
      <c r="CF175" s="121"/>
      <c r="CG175" s="121"/>
      <c r="CH175" s="121"/>
      <c r="CI175" s="121"/>
      <c r="CJ175" s="121"/>
      <c r="CK175" s="121"/>
      <c r="CL175" s="121"/>
      <c r="CM175" s="121"/>
      <c r="CN175" s="121"/>
      <c r="CO175" s="121"/>
      <c r="CP175" s="121"/>
      <c r="CQ175" s="121"/>
      <c r="CR175" s="121"/>
      <c r="CS175" s="121"/>
      <c r="CT175" s="121"/>
      <c r="CU175" s="121"/>
      <c r="CV175" s="121"/>
      <c r="CW175" s="121"/>
      <c r="CX175" s="121"/>
      <c r="CY175" s="121"/>
      <c r="CZ175" s="121"/>
      <c r="DA175" s="121"/>
      <c r="DB175" s="121"/>
      <c r="DC175" s="121"/>
      <c r="DD175" s="121"/>
      <c r="DE175" s="121"/>
      <c r="DF175" s="121"/>
      <c r="DG175" s="121"/>
      <c r="DH175" s="121"/>
      <c r="DI175" s="121"/>
      <c r="DJ175" s="121"/>
      <c r="DK175" s="121"/>
      <c r="DL175" s="121"/>
      <c r="DM175" s="121"/>
      <c r="DN175" s="121"/>
      <c r="DO175" s="121"/>
      <c r="DP175" s="121"/>
      <c r="DQ175" s="121"/>
      <c r="DR175" s="121"/>
      <c r="DS175" s="121"/>
      <c r="DT175" s="121"/>
      <c r="DU175" s="121"/>
      <c r="DV175" s="121"/>
      <c r="DW175" s="121"/>
      <c r="DX175" s="121"/>
      <c r="DY175" s="121"/>
      <c r="DZ175" s="121"/>
      <c r="EA175" s="121"/>
      <c r="EB175" s="121"/>
      <c r="EC175" s="121"/>
      <c r="ED175" s="121"/>
      <c r="EE175" s="121"/>
      <c r="EF175" s="121"/>
      <c r="EG175" s="121"/>
      <c r="EH175" s="121"/>
      <c r="EI175" s="121"/>
      <c r="EJ175" s="121"/>
      <c r="EK175" s="121"/>
      <c r="EL175" s="121"/>
      <c r="EM175" s="121"/>
      <c r="EN175" s="121"/>
      <c r="EO175" s="121"/>
      <c r="EP175" s="121"/>
      <c r="EQ175" s="121"/>
      <c r="ER175" s="121"/>
      <c r="ES175" s="121"/>
      <c r="ET175" s="121"/>
      <c r="EU175" s="121"/>
      <c r="EV175" s="121"/>
      <c r="EW175" s="121"/>
      <c r="EX175" s="121"/>
      <c r="EY175" s="121"/>
      <c r="EZ175" s="121"/>
      <c r="FA175" s="121"/>
      <c r="FB175" s="121"/>
      <c r="FC175" s="121"/>
      <c r="FD175" s="121"/>
      <c r="FE175" s="121"/>
      <c r="FF175" s="121"/>
      <c r="FG175" s="121"/>
      <c r="FH175" s="121"/>
      <c r="FI175" s="121"/>
      <c r="FJ175" s="121"/>
      <c r="FK175" s="121"/>
      <c r="FL175" s="121"/>
      <c r="FM175" s="121"/>
      <c r="FN175" s="121"/>
      <c r="FO175" s="121"/>
      <c r="FP175" s="121"/>
      <c r="FQ175" s="121"/>
      <c r="FR175" s="121"/>
      <c r="FS175" s="121"/>
      <c r="FT175" s="121"/>
      <c r="FU175" s="121"/>
      <c r="FV175" s="121"/>
      <c r="FW175" s="121"/>
      <c r="FX175" s="121"/>
      <c r="FY175" s="121"/>
      <c r="FZ175" s="121"/>
      <c r="GA175" s="121"/>
      <c r="GB175" s="121"/>
      <c r="GC175" s="121"/>
      <c r="GD175" s="121"/>
      <c r="GE175" s="121"/>
      <c r="GF175" s="121"/>
      <c r="GG175" s="121"/>
      <c r="GH175" s="121"/>
    </row>
    <row r="176" spans="1:190">
      <c r="A176" s="121"/>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c r="AD176" s="121"/>
      <c r="AE176" s="121"/>
      <c r="AF176" s="121"/>
      <c r="AG176" s="121"/>
      <c r="AH176" s="121"/>
      <c r="AI176" s="121"/>
      <c r="AJ176" s="121"/>
      <c r="AK176" s="121"/>
      <c r="AL176" s="121"/>
      <c r="AM176" s="121"/>
      <c r="AN176" s="121"/>
      <c r="AO176" s="121"/>
      <c r="AP176" s="121"/>
      <c r="AQ176" s="121"/>
      <c r="AR176" s="121"/>
      <c r="AS176" s="121"/>
      <c r="AT176" s="121"/>
      <c r="AU176" s="121"/>
      <c r="AV176" s="121"/>
      <c r="AW176" s="121"/>
      <c r="AX176" s="121"/>
      <c r="AY176" s="121"/>
      <c r="AZ176" s="121"/>
      <c r="BA176" s="121"/>
      <c r="BB176" s="121"/>
      <c r="BC176" s="121"/>
      <c r="BD176" s="121"/>
      <c r="BE176" s="121"/>
      <c r="BF176" s="121"/>
      <c r="BG176" s="121"/>
      <c r="BH176" s="121"/>
      <c r="BI176" s="121"/>
      <c r="BJ176" s="121"/>
      <c r="BK176" s="121"/>
      <c r="BL176" s="121"/>
      <c r="BM176" s="121"/>
      <c r="BN176" s="121"/>
      <c r="BO176" s="121"/>
      <c r="BP176" s="121"/>
      <c r="BQ176" s="121"/>
      <c r="BR176" s="121"/>
      <c r="BS176" s="121"/>
      <c r="BT176" s="121"/>
      <c r="BU176" s="121"/>
      <c r="BV176" s="121"/>
      <c r="BW176" s="121"/>
      <c r="BX176" s="121"/>
      <c r="BY176" s="121"/>
      <c r="BZ176" s="121"/>
      <c r="CA176" s="121"/>
      <c r="CB176" s="121"/>
      <c r="CC176" s="121"/>
      <c r="CD176" s="121"/>
      <c r="CE176" s="121"/>
      <c r="CF176" s="121"/>
      <c r="CG176" s="121"/>
      <c r="CH176" s="121"/>
      <c r="CI176" s="121"/>
      <c r="CJ176" s="121"/>
      <c r="CK176" s="121"/>
      <c r="CL176" s="121"/>
      <c r="CM176" s="121"/>
      <c r="CN176" s="121"/>
      <c r="CO176" s="121"/>
      <c r="CP176" s="121"/>
      <c r="CQ176" s="121"/>
      <c r="CR176" s="121"/>
      <c r="CS176" s="121"/>
      <c r="CT176" s="121"/>
      <c r="CU176" s="121"/>
      <c r="CV176" s="121"/>
      <c r="CW176" s="121"/>
      <c r="CX176" s="121"/>
      <c r="CY176" s="121"/>
      <c r="CZ176" s="121"/>
      <c r="DA176" s="121"/>
      <c r="DB176" s="121"/>
      <c r="DC176" s="121"/>
      <c r="DD176" s="121"/>
      <c r="DE176" s="121"/>
      <c r="DF176" s="121"/>
      <c r="DG176" s="121"/>
      <c r="DH176" s="121"/>
      <c r="DI176" s="121"/>
      <c r="DJ176" s="121"/>
      <c r="DK176" s="121"/>
      <c r="DL176" s="121"/>
      <c r="DM176" s="121"/>
      <c r="DN176" s="121"/>
      <c r="DO176" s="121"/>
      <c r="DP176" s="121"/>
      <c r="DQ176" s="121"/>
      <c r="DR176" s="121"/>
      <c r="DS176" s="121"/>
      <c r="DT176" s="121"/>
      <c r="DU176" s="121"/>
      <c r="DV176" s="121"/>
      <c r="DW176" s="121"/>
      <c r="DX176" s="121"/>
      <c r="DY176" s="121"/>
      <c r="DZ176" s="121"/>
      <c r="EA176" s="121"/>
      <c r="EB176" s="121"/>
      <c r="EC176" s="121"/>
      <c r="ED176" s="121"/>
      <c r="EE176" s="121"/>
      <c r="EF176" s="121"/>
      <c r="EG176" s="121"/>
      <c r="EH176" s="121"/>
      <c r="EI176" s="121"/>
      <c r="EJ176" s="121"/>
      <c r="EK176" s="121"/>
      <c r="EL176" s="121"/>
      <c r="EM176" s="121"/>
      <c r="EN176" s="121"/>
      <c r="EO176" s="121"/>
      <c r="EP176" s="121"/>
      <c r="EQ176" s="121"/>
      <c r="ER176" s="121"/>
      <c r="ES176" s="121"/>
      <c r="ET176" s="121"/>
      <c r="EU176" s="121"/>
      <c r="EV176" s="121"/>
      <c r="EW176" s="121"/>
      <c r="EX176" s="121"/>
      <c r="EY176" s="121"/>
      <c r="EZ176" s="121"/>
      <c r="FA176" s="121"/>
      <c r="FB176" s="121"/>
      <c r="FC176" s="121"/>
      <c r="FD176" s="121"/>
      <c r="FE176" s="121"/>
      <c r="FF176" s="121"/>
      <c r="FG176" s="121"/>
      <c r="FH176" s="121"/>
      <c r="FI176" s="121"/>
      <c r="FJ176" s="121"/>
      <c r="FK176" s="121"/>
      <c r="FL176" s="121"/>
      <c r="FM176" s="121"/>
      <c r="FN176" s="121"/>
      <c r="FO176" s="121"/>
      <c r="FP176" s="121"/>
      <c r="FQ176" s="121"/>
      <c r="FR176" s="121"/>
      <c r="FS176" s="121"/>
      <c r="FT176" s="121"/>
      <c r="FU176" s="121"/>
      <c r="FV176" s="121"/>
      <c r="FW176" s="121"/>
      <c r="FX176" s="121"/>
      <c r="FY176" s="121"/>
      <c r="FZ176" s="121"/>
      <c r="GA176" s="121"/>
      <c r="GB176" s="121"/>
      <c r="GC176" s="121"/>
      <c r="GD176" s="121"/>
      <c r="GE176" s="121"/>
      <c r="GF176" s="121"/>
      <c r="GG176" s="121"/>
      <c r="GH176" s="121"/>
    </row>
    <row r="177" spans="1:190">
      <c r="A177" s="121"/>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c r="AD177" s="121"/>
      <c r="AE177" s="121"/>
      <c r="AF177" s="121"/>
      <c r="AG177" s="121"/>
      <c r="AH177" s="121"/>
      <c r="AI177" s="121"/>
      <c r="AJ177" s="121"/>
      <c r="AK177" s="121"/>
      <c r="AL177" s="121"/>
      <c r="AM177" s="121"/>
      <c r="AN177" s="121"/>
      <c r="AO177" s="121"/>
      <c r="AP177" s="121"/>
      <c r="AQ177" s="121"/>
      <c r="AR177" s="121"/>
      <c r="AS177" s="121"/>
      <c r="AT177" s="121"/>
      <c r="AU177" s="121"/>
      <c r="AV177" s="121"/>
      <c r="AW177" s="121"/>
      <c r="AX177" s="121"/>
      <c r="AY177" s="121"/>
      <c r="AZ177" s="121"/>
      <c r="BA177" s="121"/>
      <c r="BB177" s="121"/>
      <c r="BC177" s="121"/>
      <c r="BD177" s="121"/>
      <c r="BE177" s="121"/>
      <c r="BF177" s="121"/>
      <c r="BG177" s="121"/>
      <c r="BH177" s="121"/>
      <c r="BI177" s="121"/>
      <c r="BJ177" s="121"/>
      <c r="BK177" s="121"/>
      <c r="BL177" s="121"/>
      <c r="BM177" s="121"/>
      <c r="BN177" s="121"/>
      <c r="BO177" s="121"/>
      <c r="BP177" s="121"/>
      <c r="BQ177" s="121"/>
      <c r="BR177" s="121"/>
      <c r="BS177" s="121"/>
      <c r="BT177" s="121"/>
      <c r="BU177" s="121"/>
      <c r="BV177" s="121"/>
      <c r="BW177" s="121"/>
      <c r="BX177" s="121"/>
      <c r="BY177" s="121"/>
      <c r="BZ177" s="121"/>
      <c r="CA177" s="121"/>
      <c r="CB177" s="121"/>
      <c r="CC177" s="121"/>
      <c r="CD177" s="121"/>
      <c r="CE177" s="121"/>
      <c r="CF177" s="121"/>
      <c r="CG177" s="121"/>
      <c r="CH177" s="121"/>
      <c r="CI177" s="121"/>
      <c r="CJ177" s="121"/>
      <c r="CK177" s="121"/>
      <c r="CL177" s="121"/>
      <c r="CM177" s="121"/>
      <c r="CN177" s="121"/>
      <c r="CO177" s="121"/>
      <c r="CP177" s="121"/>
      <c r="CQ177" s="121"/>
      <c r="CR177" s="121"/>
      <c r="CS177" s="121"/>
      <c r="CT177" s="121"/>
      <c r="CU177" s="121"/>
      <c r="CV177" s="121"/>
      <c r="CW177" s="121"/>
      <c r="CX177" s="121"/>
      <c r="CY177" s="121"/>
      <c r="CZ177" s="121"/>
      <c r="DA177" s="121"/>
      <c r="DB177" s="121"/>
      <c r="DC177" s="121"/>
      <c r="DD177" s="121"/>
      <c r="DE177" s="121"/>
      <c r="DF177" s="121"/>
      <c r="DG177" s="121"/>
      <c r="DH177" s="121"/>
      <c r="DI177" s="121"/>
      <c r="DJ177" s="121"/>
      <c r="DK177" s="121"/>
      <c r="DL177" s="121"/>
      <c r="DM177" s="121"/>
      <c r="DN177" s="121"/>
      <c r="DO177" s="121"/>
      <c r="DP177" s="121"/>
      <c r="DQ177" s="121"/>
      <c r="DR177" s="121"/>
      <c r="DS177" s="121"/>
      <c r="DT177" s="121"/>
      <c r="DU177" s="121"/>
      <c r="DV177" s="121"/>
      <c r="DW177" s="121"/>
      <c r="DX177" s="121"/>
      <c r="DY177" s="121"/>
      <c r="DZ177" s="121"/>
      <c r="EA177" s="121"/>
      <c r="EB177" s="121"/>
      <c r="EC177" s="121"/>
      <c r="ED177" s="121"/>
      <c r="EE177" s="121"/>
      <c r="EF177" s="121"/>
      <c r="EG177" s="121"/>
      <c r="EH177" s="121"/>
      <c r="EI177" s="121"/>
      <c r="EJ177" s="121"/>
      <c r="EK177" s="121"/>
      <c r="EL177" s="121"/>
      <c r="EM177" s="121"/>
      <c r="EN177" s="121"/>
      <c r="EO177" s="121"/>
      <c r="EP177" s="121"/>
      <c r="EQ177" s="121"/>
      <c r="ER177" s="121"/>
      <c r="ES177" s="121"/>
      <c r="ET177" s="121"/>
      <c r="EU177" s="121"/>
      <c r="EV177" s="121"/>
      <c r="EW177" s="121"/>
      <c r="EX177" s="121"/>
      <c r="EY177" s="121"/>
      <c r="EZ177" s="121"/>
      <c r="FA177" s="121"/>
      <c r="FB177" s="121"/>
      <c r="FC177" s="121"/>
      <c r="FD177" s="121"/>
      <c r="FE177" s="121"/>
      <c r="FF177" s="121"/>
      <c r="FG177" s="121"/>
      <c r="FH177" s="121"/>
      <c r="FI177" s="121"/>
      <c r="FJ177" s="121"/>
      <c r="FK177" s="121"/>
      <c r="FL177" s="121"/>
      <c r="FM177" s="121"/>
      <c r="FN177" s="121"/>
      <c r="FO177" s="121"/>
      <c r="FP177" s="121"/>
      <c r="FQ177" s="121"/>
      <c r="FR177" s="121"/>
      <c r="FS177" s="121"/>
      <c r="FT177" s="121"/>
      <c r="FU177" s="121"/>
      <c r="FV177" s="121"/>
      <c r="FW177" s="121"/>
      <c r="FX177" s="121"/>
      <c r="FY177" s="121"/>
      <c r="FZ177" s="121"/>
      <c r="GA177" s="121"/>
      <c r="GB177" s="121"/>
      <c r="GC177" s="121"/>
      <c r="GD177" s="121"/>
      <c r="GE177" s="121"/>
      <c r="GF177" s="121"/>
      <c r="GG177" s="121"/>
      <c r="GH177" s="121"/>
    </row>
    <row r="178" spans="1:190">
      <c r="A178" s="121"/>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c r="AD178" s="121"/>
      <c r="AE178" s="121"/>
      <c r="AF178" s="121"/>
      <c r="AG178" s="121"/>
      <c r="AH178" s="121"/>
      <c r="AI178" s="121"/>
      <c r="AJ178" s="121"/>
      <c r="AK178" s="121"/>
      <c r="AL178" s="121"/>
      <c r="AM178" s="121"/>
      <c r="AN178" s="121"/>
      <c r="AO178" s="121"/>
      <c r="AP178" s="121"/>
      <c r="AQ178" s="121"/>
      <c r="AR178" s="121"/>
      <c r="AS178" s="121"/>
      <c r="AT178" s="121"/>
      <c r="AU178" s="121"/>
      <c r="AV178" s="121"/>
      <c r="AW178" s="121"/>
      <c r="AX178" s="121"/>
      <c r="AY178" s="121"/>
      <c r="AZ178" s="121"/>
      <c r="BA178" s="121"/>
      <c r="BB178" s="121"/>
      <c r="BC178" s="121"/>
      <c r="BD178" s="121"/>
      <c r="BE178" s="121"/>
      <c r="BF178" s="121"/>
      <c r="BG178" s="121"/>
      <c r="BH178" s="121"/>
      <c r="BI178" s="121"/>
      <c r="BJ178" s="121"/>
      <c r="BK178" s="121"/>
      <c r="BL178" s="121"/>
      <c r="BM178" s="121"/>
      <c r="BN178" s="121"/>
      <c r="BO178" s="121"/>
      <c r="BP178" s="121"/>
      <c r="BQ178" s="121"/>
      <c r="BR178" s="121"/>
      <c r="BS178" s="121"/>
      <c r="BT178" s="121"/>
      <c r="BU178" s="121"/>
      <c r="BV178" s="121"/>
      <c r="BW178" s="121"/>
      <c r="BX178" s="121"/>
      <c r="BY178" s="121"/>
      <c r="BZ178" s="121"/>
      <c r="CA178" s="121"/>
      <c r="CB178" s="121"/>
      <c r="CC178" s="121"/>
      <c r="CD178" s="121"/>
      <c r="CE178" s="121"/>
      <c r="CF178" s="121"/>
      <c r="CG178" s="121"/>
      <c r="CH178" s="121"/>
      <c r="CI178" s="121"/>
      <c r="CJ178" s="121"/>
      <c r="CK178" s="121"/>
      <c r="CL178" s="121"/>
      <c r="CM178" s="121"/>
      <c r="CN178" s="121"/>
      <c r="CO178" s="121"/>
      <c r="CP178" s="121"/>
      <c r="CQ178" s="121"/>
      <c r="CR178" s="121"/>
      <c r="CS178" s="121"/>
      <c r="CT178" s="121"/>
      <c r="CU178" s="121"/>
      <c r="CV178" s="121"/>
      <c r="CW178" s="121"/>
      <c r="CX178" s="121"/>
      <c r="CY178" s="121"/>
      <c r="CZ178" s="121"/>
      <c r="DA178" s="121"/>
      <c r="DB178" s="121"/>
      <c r="DC178" s="121"/>
      <c r="DD178" s="121"/>
      <c r="DE178" s="121"/>
      <c r="DF178" s="121"/>
      <c r="DG178" s="121"/>
      <c r="DH178" s="121"/>
      <c r="DI178" s="121"/>
      <c r="DJ178" s="121"/>
      <c r="DK178" s="121"/>
      <c r="DL178" s="121"/>
      <c r="DM178" s="121"/>
      <c r="DN178" s="121"/>
      <c r="DO178" s="121"/>
      <c r="DP178" s="121"/>
      <c r="DQ178" s="121"/>
      <c r="DR178" s="121"/>
      <c r="DS178" s="121"/>
      <c r="DT178" s="121"/>
      <c r="DU178" s="121"/>
      <c r="DV178" s="121"/>
      <c r="DW178" s="121"/>
      <c r="DX178" s="121"/>
      <c r="DY178" s="121"/>
      <c r="DZ178" s="121"/>
      <c r="EA178" s="121"/>
      <c r="EB178" s="121"/>
      <c r="EC178" s="121"/>
      <c r="ED178" s="121"/>
      <c r="EE178" s="121"/>
      <c r="EF178" s="121"/>
      <c r="EG178" s="121"/>
      <c r="EH178" s="121"/>
      <c r="EI178" s="121"/>
      <c r="EJ178" s="121"/>
      <c r="EK178" s="121"/>
      <c r="EL178" s="121"/>
      <c r="EM178" s="121"/>
      <c r="EN178" s="121"/>
      <c r="EO178" s="121"/>
      <c r="EP178" s="121"/>
      <c r="EQ178" s="121"/>
      <c r="ER178" s="121"/>
      <c r="ES178" s="121"/>
      <c r="ET178" s="121"/>
      <c r="EU178" s="121"/>
      <c r="EV178" s="121"/>
      <c r="EW178" s="121"/>
      <c r="EX178" s="121"/>
      <c r="EY178" s="121"/>
      <c r="EZ178" s="121"/>
      <c r="FA178" s="121"/>
      <c r="FB178" s="121"/>
      <c r="FC178" s="121"/>
      <c r="FD178" s="121"/>
      <c r="FE178" s="121"/>
      <c r="FF178" s="121"/>
      <c r="FG178" s="121"/>
      <c r="FH178" s="121"/>
      <c r="FI178" s="121"/>
      <c r="FJ178" s="121"/>
      <c r="FK178" s="121"/>
      <c r="FL178" s="121"/>
      <c r="FM178" s="121"/>
      <c r="FN178" s="121"/>
      <c r="FO178" s="121"/>
      <c r="FP178" s="121"/>
      <c r="FQ178" s="121"/>
      <c r="FR178" s="121"/>
      <c r="FS178" s="121"/>
      <c r="FT178" s="121"/>
      <c r="FU178" s="121"/>
      <c r="FV178" s="121"/>
      <c r="FW178" s="121"/>
      <c r="FX178" s="121"/>
      <c r="FY178" s="121"/>
      <c r="FZ178" s="121"/>
      <c r="GA178" s="121"/>
      <c r="GB178" s="121"/>
      <c r="GC178" s="121"/>
      <c r="GD178" s="121"/>
      <c r="GE178" s="121"/>
      <c r="GF178" s="121"/>
      <c r="GG178" s="121"/>
      <c r="GH178" s="121"/>
    </row>
    <row r="179" spans="1:190">
      <c r="A179" s="121"/>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c r="AD179" s="121"/>
      <c r="AE179" s="121"/>
      <c r="AF179" s="121"/>
      <c r="AG179" s="121"/>
      <c r="AH179" s="121"/>
      <c r="AI179" s="121"/>
      <c r="AJ179" s="121"/>
      <c r="AK179" s="121"/>
      <c r="AL179" s="121"/>
      <c r="AM179" s="121"/>
      <c r="AN179" s="121"/>
      <c r="AO179" s="121"/>
      <c r="AP179" s="121"/>
      <c r="AQ179" s="121"/>
      <c r="AR179" s="121"/>
      <c r="AS179" s="121"/>
      <c r="AT179" s="121"/>
      <c r="AU179" s="121"/>
      <c r="AV179" s="121"/>
      <c r="AW179" s="121"/>
      <c r="AX179" s="121"/>
      <c r="AY179" s="121"/>
      <c r="AZ179" s="121"/>
      <c r="BA179" s="121"/>
      <c r="BB179" s="121"/>
      <c r="BC179" s="121"/>
      <c r="BD179" s="121"/>
      <c r="BE179" s="121"/>
      <c r="BF179" s="121"/>
      <c r="BG179" s="121"/>
      <c r="BH179" s="121"/>
      <c r="BI179" s="121"/>
      <c r="BJ179" s="121"/>
      <c r="BK179" s="121"/>
      <c r="BL179" s="121"/>
      <c r="BM179" s="121"/>
      <c r="BN179" s="121"/>
      <c r="BO179" s="121"/>
      <c r="BP179" s="121"/>
      <c r="BQ179" s="121"/>
      <c r="BR179" s="121"/>
      <c r="BS179" s="121"/>
      <c r="BT179" s="121"/>
      <c r="BU179" s="121"/>
      <c r="BV179" s="121"/>
      <c r="BW179" s="121"/>
      <c r="BX179" s="121"/>
      <c r="BY179" s="121"/>
      <c r="BZ179" s="121"/>
      <c r="CA179" s="121"/>
      <c r="CB179" s="121"/>
      <c r="CC179" s="121"/>
      <c r="CD179" s="121"/>
      <c r="CE179" s="121"/>
      <c r="CF179" s="121"/>
      <c r="CG179" s="121"/>
      <c r="CH179" s="121"/>
      <c r="CI179" s="121"/>
      <c r="CJ179" s="121"/>
      <c r="CK179" s="121"/>
      <c r="CL179" s="121"/>
      <c r="CM179" s="121"/>
      <c r="CN179" s="121"/>
      <c r="CO179" s="121"/>
      <c r="CP179" s="121"/>
      <c r="CQ179" s="121"/>
      <c r="CR179" s="121"/>
      <c r="CS179" s="121"/>
      <c r="CT179" s="121"/>
      <c r="CU179" s="121"/>
      <c r="CV179" s="121"/>
      <c r="CW179" s="121"/>
      <c r="CX179" s="121"/>
      <c r="CY179" s="121"/>
      <c r="CZ179" s="121"/>
      <c r="DA179" s="121"/>
      <c r="DB179" s="121"/>
      <c r="DC179" s="121"/>
      <c r="DD179" s="121"/>
      <c r="DE179" s="121"/>
      <c r="DF179" s="121"/>
      <c r="DG179" s="121"/>
      <c r="DH179" s="121"/>
      <c r="DI179" s="121"/>
      <c r="DJ179" s="121"/>
      <c r="DK179" s="121"/>
      <c r="DL179" s="121"/>
      <c r="DM179" s="121"/>
      <c r="DN179" s="121"/>
      <c r="DO179" s="121"/>
      <c r="DP179" s="121"/>
      <c r="DQ179" s="121"/>
      <c r="DR179" s="121"/>
      <c r="DS179" s="121"/>
      <c r="DT179" s="121"/>
      <c r="DU179" s="121"/>
      <c r="DV179" s="121"/>
      <c r="DW179" s="121"/>
      <c r="DX179" s="121"/>
      <c r="DY179" s="121"/>
      <c r="DZ179" s="121"/>
      <c r="EA179" s="121"/>
      <c r="EB179" s="121"/>
      <c r="EC179" s="121"/>
      <c r="ED179" s="121"/>
      <c r="EE179" s="121"/>
      <c r="EF179" s="121"/>
      <c r="EG179" s="121"/>
      <c r="EH179" s="121"/>
      <c r="EI179" s="121"/>
      <c r="EJ179" s="121"/>
      <c r="EK179" s="121"/>
      <c r="EL179" s="121"/>
      <c r="EM179" s="121"/>
      <c r="EN179" s="121"/>
      <c r="EO179" s="121"/>
      <c r="EP179" s="121"/>
      <c r="EQ179" s="121"/>
      <c r="ER179" s="121"/>
      <c r="ES179" s="121"/>
      <c r="ET179" s="121"/>
      <c r="EU179" s="121"/>
      <c r="EV179" s="121"/>
      <c r="EW179" s="121"/>
      <c r="EX179" s="121"/>
      <c r="EY179" s="121"/>
      <c r="EZ179" s="121"/>
      <c r="FA179" s="121"/>
      <c r="FB179" s="121"/>
      <c r="FC179" s="121"/>
      <c r="FD179" s="121"/>
      <c r="FE179" s="121"/>
      <c r="FF179" s="121"/>
      <c r="FG179" s="121"/>
      <c r="FH179" s="121"/>
      <c r="FI179" s="121"/>
      <c r="FJ179" s="121"/>
      <c r="FK179" s="121"/>
      <c r="FL179" s="121"/>
      <c r="FM179" s="121"/>
      <c r="FN179" s="121"/>
      <c r="FO179" s="121"/>
      <c r="FP179" s="121"/>
      <c r="FQ179" s="121"/>
      <c r="FR179" s="121"/>
      <c r="FS179" s="121"/>
      <c r="FT179" s="121"/>
      <c r="FU179" s="121"/>
      <c r="FV179" s="121"/>
      <c r="FW179" s="121"/>
      <c r="FX179" s="121"/>
      <c r="FY179" s="121"/>
      <c r="FZ179" s="121"/>
      <c r="GA179" s="121"/>
      <c r="GB179" s="121"/>
      <c r="GC179" s="121"/>
      <c r="GD179" s="121"/>
      <c r="GE179" s="121"/>
      <c r="GF179" s="121"/>
      <c r="GG179" s="121"/>
      <c r="GH179" s="121"/>
    </row>
    <row r="180" spans="1:190">
      <c r="A180" s="121"/>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c r="AD180" s="121"/>
      <c r="AE180" s="121"/>
      <c r="AF180" s="121"/>
      <c r="AG180" s="121"/>
      <c r="AH180" s="121"/>
      <c r="AI180" s="121"/>
      <c r="AJ180" s="121"/>
      <c r="AK180" s="121"/>
      <c r="AL180" s="121"/>
      <c r="AM180" s="121"/>
      <c r="AN180" s="121"/>
      <c r="AO180" s="121"/>
      <c r="AP180" s="121"/>
      <c r="AQ180" s="121"/>
      <c r="AR180" s="121"/>
      <c r="AS180" s="121"/>
      <c r="AT180" s="121"/>
      <c r="AU180" s="121"/>
      <c r="AV180" s="121"/>
      <c r="AW180" s="121"/>
      <c r="AX180" s="121"/>
      <c r="AY180" s="121"/>
      <c r="AZ180" s="121"/>
      <c r="BA180" s="121"/>
      <c r="BB180" s="121"/>
      <c r="BC180" s="121"/>
      <c r="BD180" s="121"/>
      <c r="BE180" s="121"/>
      <c r="BF180" s="121"/>
      <c r="BG180" s="121"/>
      <c r="BH180" s="121"/>
      <c r="BI180" s="121"/>
      <c r="BJ180" s="121"/>
      <c r="BK180" s="121"/>
      <c r="BL180" s="121"/>
      <c r="BM180" s="121"/>
      <c r="BN180" s="121"/>
      <c r="BO180" s="121"/>
      <c r="BP180" s="121"/>
      <c r="BQ180" s="121"/>
      <c r="BR180" s="121"/>
      <c r="BS180" s="121"/>
      <c r="BT180" s="121"/>
      <c r="BU180" s="121"/>
      <c r="BV180" s="121"/>
      <c r="BW180" s="121"/>
      <c r="BX180" s="121"/>
      <c r="BY180" s="121"/>
      <c r="BZ180" s="121"/>
      <c r="CA180" s="121"/>
      <c r="CB180" s="121"/>
      <c r="CC180" s="121"/>
      <c r="CD180" s="121"/>
      <c r="CE180" s="121"/>
      <c r="CF180" s="121"/>
      <c r="CG180" s="121"/>
      <c r="CH180" s="121"/>
      <c r="CI180" s="121"/>
      <c r="CJ180" s="121"/>
      <c r="CK180" s="121"/>
      <c r="CL180" s="121"/>
      <c r="CM180" s="121"/>
      <c r="CN180" s="121"/>
      <c r="CO180" s="121"/>
      <c r="CP180" s="121"/>
      <c r="CQ180" s="121"/>
      <c r="CR180" s="121"/>
      <c r="CS180" s="121"/>
      <c r="CT180" s="121"/>
      <c r="CU180" s="121"/>
      <c r="CV180" s="121"/>
      <c r="CW180" s="121"/>
      <c r="CX180" s="121"/>
      <c r="CY180" s="121"/>
      <c r="CZ180" s="121"/>
      <c r="DA180" s="121"/>
      <c r="DB180" s="121"/>
      <c r="DC180" s="121"/>
      <c r="DD180" s="121"/>
      <c r="DE180" s="121"/>
      <c r="DF180" s="121"/>
      <c r="DG180" s="121"/>
      <c r="DH180" s="121"/>
      <c r="DI180" s="121"/>
      <c r="DJ180" s="121"/>
      <c r="DK180" s="121"/>
      <c r="DL180" s="121"/>
      <c r="DM180" s="121"/>
      <c r="DN180" s="121"/>
      <c r="DO180" s="121"/>
      <c r="DP180" s="121"/>
      <c r="DQ180" s="121"/>
      <c r="DR180" s="121"/>
      <c r="DS180" s="121"/>
      <c r="DT180" s="121"/>
      <c r="DU180" s="121"/>
      <c r="DV180" s="121"/>
      <c r="DW180" s="121"/>
      <c r="DX180" s="121"/>
      <c r="DY180" s="121"/>
      <c r="DZ180" s="121"/>
      <c r="EA180" s="121"/>
      <c r="EB180" s="121"/>
      <c r="EC180" s="121"/>
      <c r="ED180" s="121"/>
      <c r="EE180" s="121"/>
      <c r="EF180" s="121"/>
      <c r="EG180" s="121"/>
      <c r="EH180" s="121"/>
      <c r="EI180" s="121"/>
      <c r="EJ180" s="121"/>
      <c r="EK180" s="121"/>
      <c r="EL180" s="121"/>
      <c r="EM180" s="121"/>
      <c r="EN180" s="121"/>
      <c r="EO180" s="121"/>
      <c r="EP180" s="121"/>
      <c r="EQ180" s="121"/>
      <c r="ER180" s="121"/>
      <c r="ES180" s="121"/>
      <c r="ET180" s="121"/>
      <c r="EU180" s="121"/>
      <c r="EV180" s="121"/>
      <c r="EW180" s="121"/>
      <c r="EX180" s="121"/>
      <c r="EY180" s="121"/>
      <c r="EZ180" s="121"/>
      <c r="FA180" s="121"/>
      <c r="FB180" s="121"/>
      <c r="FC180" s="121"/>
      <c r="FD180" s="121"/>
      <c r="FE180" s="121"/>
      <c r="FF180" s="121"/>
      <c r="FG180" s="121"/>
      <c r="FH180" s="121"/>
      <c r="FI180" s="121"/>
      <c r="FJ180" s="121"/>
      <c r="FK180" s="121"/>
      <c r="FL180" s="121"/>
      <c r="FM180" s="121"/>
      <c r="FN180" s="121"/>
      <c r="FO180" s="121"/>
      <c r="FP180" s="121"/>
      <c r="FQ180" s="121"/>
      <c r="FR180" s="121"/>
      <c r="FS180" s="121"/>
      <c r="FT180" s="121"/>
      <c r="FU180" s="121"/>
      <c r="FV180" s="121"/>
      <c r="FW180" s="121"/>
      <c r="FX180" s="121"/>
      <c r="FY180" s="121"/>
      <c r="FZ180" s="121"/>
      <c r="GA180" s="121"/>
      <c r="GB180" s="121"/>
      <c r="GC180" s="121"/>
      <c r="GD180" s="121"/>
      <c r="GE180" s="121"/>
      <c r="GF180" s="121"/>
      <c r="GG180" s="121"/>
      <c r="GH180" s="121"/>
    </row>
    <row r="181" spans="1:190">
      <c r="A181" s="121"/>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c r="AE181" s="121"/>
      <c r="AF181" s="121"/>
      <c r="AG181" s="121"/>
      <c r="AH181" s="121"/>
      <c r="AI181" s="121"/>
      <c r="AJ181" s="121"/>
      <c r="AK181" s="121"/>
      <c r="AL181" s="121"/>
      <c r="AM181" s="121"/>
      <c r="AN181" s="121"/>
      <c r="AO181" s="121"/>
      <c r="AP181" s="121"/>
      <c r="AQ181" s="121"/>
      <c r="AR181" s="121"/>
      <c r="AS181" s="121"/>
      <c r="AT181" s="121"/>
      <c r="AU181" s="121"/>
      <c r="AV181" s="121"/>
      <c r="AW181" s="121"/>
      <c r="AX181" s="121"/>
      <c r="AY181" s="121"/>
      <c r="AZ181" s="121"/>
      <c r="BA181" s="121"/>
      <c r="BB181" s="121"/>
      <c r="BC181" s="121"/>
      <c r="BD181" s="121"/>
      <c r="BE181" s="121"/>
      <c r="BF181" s="121"/>
      <c r="BG181" s="121"/>
      <c r="BH181" s="121"/>
      <c r="BI181" s="121"/>
      <c r="BJ181" s="121"/>
      <c r="BK181" s="121"/>
      <c r="BL181" s="121"/>
      <c r="BM181" s="121"/>
      <c r="BN181" s="121"/>
      <c r="BO181" s="121"/>
      <c r="BP181" s="121"/>
      <c r="BQ181" s="121"/>
      <c r="BR181" s="121"/>
      <c r="BS181" s="121"/>
      <c r="BT181" s="121"/>
      <c r="BU181" s="121"/>
      <c r="BV181" s="121"/>
      <c r="BW181" s="121"/>
      <c r="BX181" s="121"/>
      <c r="BY181" s="121"/>
      <c r="BZ181" s="121"/>
      <c r="CA181" s="121"/>
      <c r="CB181" s="121"/>
      <c r="CC181" s="121"/>
      <c r="CD181" s="121"/>
      <c r="CE181" s="121"/>
      <c r="CF181" s="121"/>
      <c r="CG181" s="121"/>
      <c r="CH181" s="121"/>
      <c r="CI181" s="121"/>
      <c r="CJ181" s="121"/>
      <c r="CK181" s="121"/>
      <c r="CL181" s="121"/>
      <c r="CM181" s="121"/>
      <c r="CN181" s="121"/>
      <c r="CO181" s="121"/>
      <c r="CP181" s="121"/>
      <c r="CQ181" s="121"/>
      <c r="CR181" s="121"/>
      <c r="CS181" s="121"/>
      <c r="CT181" s="121"/>
      <c r="CU181" s="121"/>
      <c r="CV181" s="121"/>
      <c r="CW181" s="121"/>
      <c r="CX181" s="121"/>
      <c r="CY181" s="121"/>
      <c r="CZ181" s="121"/>
      <c r="DA181" s="121"/>
      <c r="DB181" s="121"/>
      <c r="DC181" s="121"/>
      <c r="DD181" s="121"/>
      <c r="DE181" s="121"/>
      <c r="DF181" s="121"/>
      <c r="DG181" s="121"/>
      <c r="DH181" s="121"/>
      <c r="DI181" s="121"/>
      <c r="DJ181" s="121"/>
      <c r="DK181" s="121"/>
      <c r="DL181" s="121"/>
      <c r="DM181" s="121"/>
      <c r="DN181" s="121"/>
      <c r="DO181" s="121"/>
      <c r="DP181" s="121"/>
      <c r="DQ181" s="121"/>
      <c r="DR181" s="121"/>
      <c r="DS181" s="121"/>
      <c r="DT181" s="121"/>
      <c r="DU181" s="121"/>
      <c r="DV181" s="121"/>
      <c r="DW181" s="121"/>
      <c r="DX181" s="121"/>
      <c r="DY181" s="121"/>
      <c r="DZ181" s="121"/>
      <c r="EA181" s="121"/>
      <c r="EB181" s="121"/>
      <c r="EC181" s="121"/>
      <c r="ED181" s="121"/>
      <c r="EE181" s="121"/>
      <c r="EF181" s="121"/>
      <c r="EG181" s="121"/>
      <c r="EH181" s="121"/>
      <c r="EI181" s="121"/>
      <c r="EJ181" s="121"/>
      <c r="EK181" s="121"/>
      <c r="EL181" s="121"/>
      <c r="EM181" s="121"/>
      <c r="EN181" s="121"/>
      <c r="EO181" s="121"/>
      <c r="EP181" s="121"/>
      <c r="EQ181" s="121"/>
      <c r="ER181" s="121"/>
      <c r="ES181" s="121"/>
      <c r="ET181" s="121"/>
      <c r="EU181" s="121"/>
      <c r="EV181" s="121"/>
      <c r="EW181" s="121"/>
      <c r="EX181" s="121"/>
      <c r="EY181" s="121"/>
      <c r="EZ181" s="121"/>
      <c r="FA181" s="121"/>
      <c r="FB181" s="121"/>
      <c r="FC181" s="121"/>
      <c r="FD181" s="121"/>
      <c r="FE181" s="121"/>
      <c r="FF181" s="121"/>
      <c r="FG181" s="121"/>
      <c r="FH181" s="121"/>
      <c r="FI181" s="121"/>
      <c r="FJ181" s="121"/>
      <c r="FK181" s="121"/>
      <c r="FL181" s="121"/>
      <c r="FM181" s="121"/>
      <c r="FN181" s="121"/>
      <c r="FO181" s="121"/>
      <c r="FP181" s="121"/>
      <c r="FQ181" s="121"/>
      <c r="FR181" s="121"/>
      <c r="FS181" s="121"/>
      <c r="FT181" s="121"/>
      <c r="FU181" s="121"/>
      <c r="FV181" s="121"/>
      <c r="FW181" s="121"/>
      <c r="FX181" s="121"/>
      <c r="FY181" s="121"/>
      <c r="FZ181" s="121"/>
      <c r="GA181" s="121"/>
      <c r="GB181" s="121"/>
      <c r="GC181" s="121"/>
      <c r="GD181" s="121"/>
      <c r="GE181" s="121"/>
      <c r="GF181" s="121"/>
      <c r="GG181" s="121"/>
      <c r="GH181" s="121"/>
    </row>
    <row r="182" spans="1:190">
      <c r="A182" s="121"/>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c r="AD182" s="121"/>
      <c r="AE182" s="121"/>
      <c r="AF182" s="121"/>
      <c r="AG182" s="121"/>
      <c r="AH182" s="121"/>
      <c r="AI182" s="121"/>
      <c r="AJ182" s="121"/>
      <c r="AK182" s="121"/>
      <c r="AL182" s="121"/>
      <c r="AM182" s="121"/>
      <c r="AN182" s="121"/>
      <c r="AO182" s="121"/>
      <c r="AP182" s="121"/>
      <c r="AQ182" s="121"/>
      <c r="AR182" s="121"/>
      <c r="AS182" s="121"/>
      <c r="AT182" s="121"/>
      <c r="AU182" s="121"/>
      <c r="AV182" s="121"/>
      <c r="AW182" s="121"/>
      <c r="AX182" s="121"/>
      <c r="AY182" s="121"/>
      <c r="AZ182" s="121"/>
      <c r="BA182" s="121"/>
      <c r="BB182" s="121"/>
      <c r="BC182" s="121"/>
      <c r="BD182" s="121"/>
      <c r="BE182" s="121"/>
      <c r="BF182" s="121"/>
      <c r="BG182" s="121"/>
      <c r="BH182" s="121"/>
      <c r="BI182" s="121"/>
      <c r="BJ182" s="121"/>
      <c r="BK182" s="121"/>
      <c r="BL182" s="121"/>
      <c r="BM182" s="121"/>
      <c r="BN182" s="121"/>
      <c r="BO182" s="121"/>
      <c r="BP182" s="121"/>
      <c r="BQ182" s="121"/>
      <c r="BR182" s="121"/>
      <c r="BS182" s="121"/>
      <c r="BT182" s="121"/>
      <c r="BU182" s="121"/>
      <c r="BV182" s="121"/>
      <c r="BW182" s="121"/>
      <c r="BX182" s="121"/>
      <c r="BY182" s="121"/>
      <c r="BZ182" s="121"/>
      <c r="CA182" s="121"/>
      <c r="CB182" s="121"/>
      <c r="CC182" s="121"/>
      <c r="CD182" s="121"/>
      <c r="CE182" s="121"/>
      <c r="CF182" s="121"/>
      <c r="CG182" s="121"/>
      <c r="CH182" s="121"/>
      <c r="CI182" s="121"/>
      <c r="CJ182" s="121"/>
      <c r="CK182" s="121"/>
      <c r="CL182" s="121"/>
      <c r="CM182" s="121"/>
      <c r="CN182" s="121"/>
      <c r="CO182" s="121"/>
      <c r="CP182" s="121"/>
      <c r="CQ182" s="121"/>
      <c r="CR182" s="121"/>
      <c r="CS182" s="121"/>
      <c r="CT182" s="121"/>
      <c r="CU182" s="121"/>
      <c r="CV182" s="121"/>
      <c r="CW182" s="121"/>
      <c r="CX182" s="121"/>
      <c r="CY182" s="121"/>
      <c r="CZ182" s="121"/>
      <c r="DA182" s="121"/>
      <c r="DB182" s="121"/>
      <c r="DC182" s="121"/>
      <c r="DD182" s="121"/>
      <c r="DE182" s="121"/>
      <c r="DF182" s="121"/>
      <c r="DG182" s="121"/>
      <c r="DH182" s="121"/>
      <c r="DI182" s="121"/>
      <c r="DJ182" s="121"/>
      <c r="DK182" s="121"/>
      <c r="DL182" s="121"/>
      <c r="DM182" s="121"/>
      <c r="DN182" s="121"/>
      <c r="DO182" s="121"/>
      <c r="DP182" s="121"/>
      <c r="DQ182" s="121"/>
      <c r="DR182" s="121"/>
      <c r="DS182" s="121"/>
      <c r="DT182" s="121"/>
      <c r="DU182" s="121"/>
      <c r="DV182" s="121"/>
      <c r="DW182" s="121"/>
      <c r="DX182" s="121"/>
      <c r="DY182" s="121"/>
      <c r="DZ182" s="121"/>
      <c r="EA182" s="121"/>
      <c r="EB182" s="121"/>
      <c r="EC182" s="121"/>
      <c r="ED182" s="121"/>
      <c r="EE182" s="121"/>
      <c r="EF182" s="121"/>
      <c r="EG182" s="121"/>
      <c r="EH182" s="121"/>
      <c r="EI182" s="121"/>
      <c r="EJ182" s="121"/>
      <c r="EK182" s="121"/>
      <c r="EL182" s="121"/>
      <c r="EM182" s="121"/>
      <c r="EN182" s="121"/>
      <c r="EO182" s="121"/>
      <c r="EP182" s="121"/>
      <c r="EQ182" s="121"/>
      <c r="ER182" s="121"/>
      <c r="ES182" s="121"/>
      <c r="ET182" s="121"/>
      <c r="EU182" s="121"/>
      <c r="EV182" s="121"/>
      <c r="EW182" s="121"/>
      <c r="EX182" s="121"/>
      <c r="EY182" s="121"/>
      <c r="EZ182" s="121"/>
      <c r="FA182" s="121"/>
      <c r="FB182" s="121"/>
      <c r="FC182" s="121"/>
      <c r="FD182" s="121"/>
      <c r="FE182" s="121"/>
      <c r="FF182" s="121"/>
      <c r="FG182" s="121"/>
      <c r="FH182" s="121"/>
      <c r="FI182" s="121"/>
      <c r="FJ182" s="121"/>
      <c r="FK182" s="121"/>
      <c r="FL182" s="121"/>
      <c r="FM182" s="121"/>
      <c r="FN182" s="121"/>
      <c r="FO182" s="121"/>
      <c r="FP182" s="121"/>
      <c r="FQ182" s="121"/>
      <c r="FR182" s="121"/>
      <c r="FS182" s="121"/>
      <c r="FT182" s="121"/>
      <c r="FU182" s="121"/>
      <c r="FV182" s="121"/>
      <c r="FW182" s="121"/>
      <c r="FX182" s="121"/>
      <c r="FY182" s="121"/>
      <c r="FZ182" s="121"/>
      <c r="GA182" s="121"/>
      <c r="GB182" s="121"/>
      <c r="GC182" s="121"/>
      <c r="GD182" s="121"/>
      <c r="GE182" s="121"/>
      <c r="GF182" s="121"/>
      <c r="GG182" s="121"/>
      <c r="GH182" s="121"/>
    </row>
    <row r="183" spans="1:190">
      <c r="A183" s="121"/>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c r="AE183" s="121"/>
      <c r="AF183" s="121"/>
      <c r="AG183" s="121"/>
      <c r="AH183" s="121"/>
      <c r="AI183" s="121"/>
      <c r="AJ183" s="121"/>
      <c r="AK183" s="121"/>
      <c r="AL183" s="121"/>
      <c r="AM183" s="121"/>
      <c r="AN183" s="121"/>
      <c r="AO183" s="121"/>
      <c r="AP183" s="121"/>
      <c r="AQ183" s="121"/>
      <c r="AR183" s="121"/>
      <c r="AS183" s="121"/>
      <c r="AT183" s="121"/>
      <c r="AU183" s="121"/>
      <c r="AV183" s="121"/>
      <c r="AW183" s="121"/>
      <c r="AX183" s="121"/>
      <c r="AY183" s="121"/>
      <c r="AZ183" s="121"/>
      <c r="BA183" s="121"/>
      <c r="BB183" s="121"/>
      <c r="BC183" s="121"/>
      <c r="BD183" s="121"/>
      <c r="BE183" s="121"/>
      <c r="BF183" s="121"/>
      <c r="BG183" s="121"/>
      <c r="BH183" s="121"/>
      <c r="BI183" s="121"/>
      <c r="BJ183" s="121"/>
      <c r="BK183" s="121"/>
      <c r="BL183" s="121"/>
      <c r="BM183" s="121"/>
      <c r="BN183" s="121"/>
      <c r="BO183" s="121"/>
      <c r="BP183" s="121"/>
      <c r="BQ183" s="121"/>
      <c r="BR183" s="121"/>
      <c r="BS183" s="121"/>
      <c r="BT183" s="121"/>
      <c r="BU183" s="121"/>
      <c r="BV183" s="121"/>
      <c r="BW183" s="121"/>
      <c r="BX183" s="121"/>
      <c r="BY183" s="121"/>
      <c r="BZ183" s="121"/>
      <c r="CA183" s="121"/>
      <c r="CB183" s="121"/>
      <c r="CC183" s="121"/>
      <c r="CD183" s="121"/>
      <c r="CE183" s="121"/>
      <c r="CF183" s="121"/>
      <c r="CG183" s="121"/>
      <c r="CH183" s="121"/>
      <c r="CI183" s="121"/>
      <c r="CJ183" s="121"/>
      <c r="CK183" s="121"/>
      <c r="CL183" s="121"/>
      <c r="CM183" s="121"/>
      <c r="CN183" s="121"/>
      <c r="CO183" s="121"/>
      <c r="CP183" s="121"/>
      <c r="CQ183" s="121"/>
      <c r="CR183" s="121"/>
      <c r="CS183" s="121"/>
      <c r="CT183" s="121"/>
      <c r="CU183" s="121"/>
      <c r="CV183" s="121"/>
      <c r="CW183" s="121"/>
      <c r="CX183" s="121"/>
      <c r="CY183" s="121"/>
      <c r="CZ183" s="121"/>
      <c r="DA183" s="121"/>
      <c r="DB183" s="121"/>
      <c r="DC183" s="121"/>
      <c r="DD183" s="121"/>
      <c r="DE183" s="121"/>
      <c r="DF183" s="121"/>
      <c r="DG183" s="121"/>
      <c r="DH183" s="121"/>
      <c r="DI183" s="121"/>
      <c r="DJ183" s="121"/>
      <c r="DK183" s="121"/>
      <c r="DL183" s="121"/>
      <c r="DM183" s="121"/>
      <c r="DN183" s="121"/>
      <c r="DO183" s="121"/>
      <c r="DP183" s="121"/>
      <c r="DQ183" s="121"/>
      <c r="DR183" s="121"/>
      <c r="DS183" s="121"/>
      <c r="DT183" s="121"/>
      <c r="DU183" s="121"/>
      <c r="DV183" s="121"/>
      <c r="DW183" s="121"/>
      <c r="DX183" s="121"/>
      <c r="DY183" s="121"/>
      <c r="DZ183" s="121"/>
      <c r="EA183" s="121"/>
      <c r="EB183" s="121"/>
      <c r="EC183" s="121"/>
      <c r="ED183" s="121"/>
      <c r="EE183" s="121"/>
      <c r="EF183" s="121"/>
      <c r="EG183" s="121"/>
      <c r="EH183" s="121"/>
      <c r="EI183" s="121"/>
      <c r="EJ183" s="121"/>
      <c r="EK183" s="121"/>
      <c r="EL183" s="121"/>
      <c r="EM183" s="121"/>
      <c r="EN183" s="121"/>
      <c r="EO183" s="121"/>
      <c r="EP183" s="121"/>
      <c r="EQ183" s="121"/>
      <c r="ER183" s="121"/>
      <c r="ES183" s="121"/>
      <c r="ET183" s="121"/>
      <c r="EU183" s="121"/>
      <c r="EV183" s="121"/>
      <c r="EW183" s="121"/>
      <c r="EX183" s="121"/>
      <c r="EY183" s="121"/>
      <c r="EZ183" s="121"/>
      <c r="FA183" s="121"/>
      <c r="FB183" s="121"/>
      <c r="FC183" s="121"/>
      <c r="FD183" s="121"/>
      <c r="FE183" s="121"/>
      <c r="FF183" s="121"/>
      <c r="FG183" s="121"/>
      <c r="FH183" s="121"/>
      <c r="FI183" s="121"/>
      <c r="FJ183" s="121"/>
      <c r="FK183" s="121"/>
      <c r="FL183" s="121"/>
      <c r="FM183" s="121"/>
      <c r="FN183" s="121"/>
      <c r="FO183" s="121"/>
      <c r="FP183" s="121"/>
      <c r="FQ183" s="121"/>
      <c r="FR183" s="121"/>
      <c r="FS183" s="121"/>
      <c r="FT183" s="121"/>
      <c r="FU183" s="121"/>
      <c r="FV183" s="121"/>
      <c r="FW183" s="121"/>
      <c r="FX183" s="121"/>
      <c r="FY183" s="121"/>
      <c r="FZ183" s="121"/>
      <c r="GA183" s="121"/>
      <c r="GB183" s="121"/>
      <c r="GC183" s="121"/>
      <c r="GD183" s="121"/>
      <c r="GE183" s="121"/>
      <c r="GF183" s="121"/>
      <c r="GG183" s="121"/>
      <c r="GH183" s="121"/>
    </row>
    <row r="184" spans="1:190">
      <c r="A184" s="121"/>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c r="AD184" s="121"/>
      <c r="AE184" s="121"/>
      <c r="AF184" s="121"/>
      <c r="AG184" s="121"/>
      <c r="AH184" s="121"/>
      <c r="AI184" s="121"/>
      <c r="AJ184" s="121"/>
      <c r="AK184" s="121"/>
      <c r="AL184" s="121"/>
      <c r="AM184" s="121"/>
      <c r="AN184" s="121"/>
      <c r="AO184" s="121"/>
      <c r="AP184" s="121"/>
      <c r="AQ184" s="121"/>
      <c r="AR184" s="121"/>
      <c r="AS184" s="121"/>
      <c r="AT184" s="121"/>
      <c r="AU184" s="121"/>
      <c r="AV184" s="121"/>
      <c r="AW184" s="121"/>
      <c r="AX184" s="121"/>
      <c r="AY184" s="121"/>
      <c r="AZ184" s="121"/>
      <c r="BA184" s="121"/>
      <c r="BB184" s="121"/>
      <c r="BC184" s="121"/>
      <c r="BD184" s="121"/>
      <c r="BE184" s="121"/>
      <c r="BF184" s="121"/>
      <c r="BG184" s="121"/>
      <c r="BH184" s="121"/>
      <c r="BI184" s="121"/>
      <c r="BJ184" s="121"/>
      <c r="BK184" s="121"/>
      <c r="BL184" s="121"/>
      <c r="BM184" s="121"/>
      <c r="BN184" s="121"/>
      <c r="BO184" s="121"/>
      <c r="BP184" s="121"/>
      <c r="BQ184" s="121"/>
      <c r="BR184" s="121"/>
      <c r="BS184" s="121"/>
      <c r="BT184" s="121"/>
      <c r="BU184" s="121"/>
      <c r="BV184" s="121"/>
      <c r="BW184" s="121"/>
      <c r="BX184" s="121"/>
      <c r="BY184" s="121"/>
      <c r="BZ184" s="121"/>
      <c r="CA184" s="121"/>
      <c r="CB184" s="121"/>
      <c r="CC184" s="121"/>
      <c r="CD184" s="121"/>
      <c r="CE184" s="121"/>
      <c r="CF184" s="121"/>
      <c r="CG184" s="121"/>
      <c r="CH184" s="121"/>
      <c r="CI184" s="121"/>
      <c r="CJ184" s="121"/>
      <c r="CK184" s="121"/>
      <c r="CL184" s="121"/>
      <c r="CM184" s="121"/>
      <c r="CN184" s="121"/>
      <c r="CO184" s="121"/>
      <c r="CP184" s="121"/>
      <c r="CQ184" s="121"/>
      <c r="CR184" s="121"/>
      <c r="CS184" s="121"/>
      <c r="CT184" s="121"/>
      <c r="CU184" s="121"/>
      <c r="CV184" s="121"/>
      <c r="CW184" s="121"/>
      <c r="CX184" s="121"/>
      <c r="CY184" s="121"/>
      <c r="CZ184" s="121"/>
      <c r="DA184" s="121"/>
      <c r="DB184" s="121"/>
      <c r="DC184" s="121"/>
      <c r="DD184" s="121"/>
      <c r="DE184" s="121"/>
      <c r="DF184" s="121"/>
      <c r="DG184" s="121"/>
      <c r="DH184" s="121"/>
      <c r="DI184" s="121"/>
      <c r="DJ184" s="121"/>
      <c r="DK184" s="121"/>
      <c r="DL184" s="121"/>
      <c r="DM184" s="121"/>
      <c r="DN184" s="121"/>
      <c r="DO184" s="121"/>
      <c r="DP184" s="121"/>
      <c r="DQ184" s="121"/>
      <c r="DR184" s="121"/>
      <c r="DS184" s="121"/>
      <c r="DT184" s="121"/>
      <c r="DU184" s="121"/>
      <c r="DV184" s="121"/>
      <c r="DW184" s="121"/>
      <c r="DX184" s="121"/>
      <c r="DY184" s="121"/>
      <c r="DZ184" s="121"/>
      <c r="EA184" s="121"/>
      <c r="EB184" s="121"/>
      <c r="EC184" s="121"/>
      <c r="ED184" s="121"/>
      <c r="EE184" s="121"/>
      <c r="EF184" s="121"/>
      <c r="EG184" s="121"/>
      <c r="EH184" s="121"/>
      <c r="EI184" s="121"/>
      <c r="EJ184" s="121"/>
      <c r="EK184" s="121"/>
      <c r="EL184" s="121"/>
      <c r="EM184" s="121"/>
      <c r="EN184" s="121"/>
      <c r="EO184" s="121"/>
      <c r="EP184" s="121"/>
      <c r="EQ184" s="121"/>
      <c r="ER184" s="121"/>
      <c r="ES184" s="121"/>
      <c r="ET184" s="121"/>
      <c r="EU184" s="121"/>
      <c r="EV184" s="121"/>
      <c r="EW184" s="121"/>
      <c r="EX184" s="121"/>
      <c r="EY184" s="121"/>
      <c r="EZ184" s="121"/>
      <c r="FA184" s="121"/>
      <c r="FB184" s="121"/>
      <c r="FC184" s="121"/>
      <c r="FD184" s="121"/>
      <c r="FE184" s="121"/>
      <c r="FF184" s="121"/>
      <c r="FG184" s="121"/>
      <c r="FH184" s="121"/>
      <c r="FI184" s="121"/>
      <c r="FJ184" s="121"/>
      <c r="FK184" s="121"/>
      <c r="FL184" s="121"/>
      <c r="FM184" s="121"/>
      <c r="FN184" s="121"/>
      <c r="FO184" s="121"/>
      <c r="FP184" s="121"/>
      <c r="FQ184" s="121"/>
      <c r="FR184" s="121"/>
      <c r="FS184" s="121"/>
      <c r="FT184" s="121"/>
      <c r="FU184" s="121"/>
      <c r="FV184" s="121"/>
      <c r="FW184" s="121"/>
      <c r="FX184" s="121"/>
      <c r="FY184" s="121"/>
      <c r="FZ184" s="121"/>
      <c r="GA184" s="121"/>
      <c r="GB184" s="121"/>
      <c r="GC184" s="121"/>
      <c r="GD184" s="121"/>
      <c r="GE184" s="121"/>
      <c r="GF184" s="121"/>
      <c r="GG184" s="121"/>
      <c r="GH184" s="121"/>
    </row>
    <row r="185" spans="1:190">
      <c r="A185" s="121"/>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c r="AD185" s="121"/>
      <c r="AE185" s="121"/>
      <c r="AF185" s="121"/>
      <c r="AG185" s="121"/>
      <c r="AH185" s="121"/>
      <c r="AI185" s="121"/>
      <c r="AJ185" s="121"/>
      <c r="AK185" s="121"/>
      <c r="AL185" s="121"/>
      <c r="AM185" s="121"/>
      <c r="AN185" s="121"/>
      <c r="AO185" s="121"/>
      <c r="AP185" s="121"/>
      <c r="AQ185" s="121"/>
      <c r="AR185" s="121"/>
      <c r="AS185" s="121"/>
      <c r="AT185" s="121"/>
      <c r="AU185" s="121"/>
      <c r="AV185" s="121"/>
      <c r="AW185" s="121"/>
      <c r="AX185" s="121"/>
      <c r="AY185" s="121"/>
      <c r="AZ185" s="121"/>
      <c r="BA185" s="121"/>
      <c r="BB185" s="121"/>
      <c r="BC185" s="121"/>
      <c r="BD185" s="121"/>
      <c r="BE185" s="121"/>
      <c r="BF185" s="121"/>
      <c r="BG185" s="121"/>
      <c r="BH185" s="121"/>
      <c r="BI185" s="121"/>
      <c r="BJ185" s="121"/>
      <c r="BK185" s="121"/>
      <c r="BL185" s="121"/>
      <c r="BM185" s="121"/>
      <c r="BN185" s="121"/>
      <c r="BO185" s="121"/>
      <c r="BP185" s="121"/>
      <c r="BQ185" s="121"/>
      <c r="BR185" s="121"/>
      <c r="BS185" s="121"/>
      <c r="BT185" s="121"/>
      <c r="BU185" s="121"/>
      <c r="BV185" s="121"/>
      <c r="BW185" s="121"/>
      <c r="BX185" s="121"/>
      <c r="BY185" s="121"/>
      <c r="BZ185" s="121"/>
      <c r="CA185" s="121"/>
      <c r="CB185" s="121"/>
      <c r="CC185" s="121"/>
      <c r="CD185" s="121"/>
      <c r="CE185" s="121"/>
      <c r="CF185" s="121"/>
      <c r="CG185" s="121"/>
      <c r="CH185" s="121"/>
      <c r="CI185" s="121"/>
      <c r="CJ185" s="121"/>
      <c r="CK185" s="121"/>
      <c r="CL185" s="121"/>
      <c r="CM185" s="121"/>
      <c r="CN185" s="121"/>
      <c r="CO185" s="121"/>
      <c r="CP185" s="121"/>
      <c r="CQ185" s="121"/>
      <c r="CR185" s="121"/>
      <c r="CS185" s="121"/>
      <c r="CT185" s="121"/>
      <c r="CU185" s="121"/>
      <c r="CV185" s="121"/>
      <c r="CW185" s="121"/>
      <c r="CX185" s="121"/>
      <c r="CY185" s="121"/>
      <c r="CZ185" s="121"/>
      <c r="DA185" s="121"/>
      <c r="DB185" s="121"/>
      <c r="DC185" s="121"/>
      <c r="DD185" s="121"/>
      <c r="DE185" s="121"/>
      <c r="DF185" s="121"/>
      <c r="DG185" s="121"/>
      <c r="DH185" s="121"/>
      <c r="DI185" s="121"/>
      <c r="DJ185" s="121"/>
      <c r="DK185" s="121"/>
      <c r="DL185" s="121"/>
      <c r="DM185" s="121"/>
      <c r="DN185" s="121"/>
      <c r="DO185" s="121"/>
      <c r="DP185" s="121"/>
      <c r="DQ185" s="121"/>
      <c r="DR185" s="121"/>
      <c r="DS185" s="121"/>
      <c r="DT185" s="121"/>
      <c r="DU185" s="121"/>
      <c r="DV185" s="121"/>
      <c r="DW185" s="121"/>
      <c r="DX185" s="121"/>
      <c r="DY185" s="121"/>
      <c r="DZ185" s="121"/>
      <c r="EA185" s="121"/>
      <c r="EB185" s="121"/>
      <c r="EC185" s="121"/>
      <c r="ED185" s="121"/>
      <c r="EE185" s="121"/>
      <c r="EF185" s="121"/>
      <c r="EG185" s="121"/>
      <c r="EH185" s="121"/>
      <c r="EI185" s="121"/>
      <c r="EJ185" s="121"/>
      <c r="EK185" s="121"/>
      <c r="EL185" s="121"/>
      <c r="EM185" s="121"/>
      <c r="EN185" s="121"/>
      <c r="EO185" s="121"/>
      <c r="EP185" s="121"/>
      <c r="EQ185" s="121"/>
      <c r="ER185" s="121"/>
      <c r="ES185" s="121"/>
      <c r="ET185" s="121"/>
      <c r="EU185" s="121"/>
      <c r="EV185" s="121"/>
      <c r="EW185" s="121"/>
      <c r="EX185" s="121"/>
      <c r="EY185" s="121"/>
      <c r="EZ185" s="121"/>
      <c r="FA185" s="121"/>
      <c r="FB185" s="121"/>
      <c r="FC185" s="121"/>
      <c r="FD185" s="121"/>
      <c r="FE185" s="121"/>
      <c r="FF185" s="121"/>
      <c r="FG185" s="121"/>
      <c r="FH185" s="121"/>
      <c r="FI185" s="121"/>
      <c r="FJ185" s="121"/>
      <c r="FK185" s="121"/>
      <c r="FL185" s="121"/>
      <c r="FM185" s="121"/>
      <c r="FN185" s="121"/>
      <c r="FO185" s="121"/>
      <c r="FP185" s="121"/>
      <c r="FQ185" s="121"/>
      <c r="FR185" s="121"/>
      <c r="FS185" s="121"/>
      <c r="FT185" s="121"/>
      <c r="FU185" s="121"/>
      <c r="FV185" s="121"/>
      <c r="FW185" s="121"/>
      <c r="FX185" s="121"/>
      <c r="FY185" s="121"/>
      <c r="FZ185" s="121"/>
      <c r="GA185" s="121"/>
      <c r="GB185" s="121"/>
      <c r="GC185" s="121"/>
      <c r="GD185" s="121"/>
      <c r="GE185" s="121"/>
      <c r="GF185" s="121"/>
      <c r="GG185" s="121"/>
      <c r="GH185" s="121"/>
    </row>
    <row r="186" spans="1:190">
      <c r="A186" s="121"/>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c r="AD186" s="121"/>
      <c r="AE186" s="121"/>
      <c r="AF186" s="121"/>
      <c r="AG186" s="121"/>
      <c r="AH186" s="121"/>
      <c r="AI186" s="121"/>
      <c r="AJ186" s="121"/>
      <c r="AK186" s="121"/>
      <c r="AL186" s="121"/>
      <c r="AM186" s="121"/>
      <c r="AN186" s="121"/>
      <c r="AO186" s="121"/>
      <c r="AP186" s="121"/>
      <c r="AQ186" s="121"/>
      <c r="AR186" s="121"/>
      <c r="AS186" s="121"/>
      <c r="AT186" s="121"/>
      <c r="AU186" s="121"/>
      <c r="AV186" s="121"/>
      <c r="AW186" s="121"/>
      <c r="AX186" s="121"/>
      <c r="AY186" s="121"/>
      <c r="AZ186" s="121"/>
      <c r="BA186" s="121"/>
      <c r="BB186" s="121"/>
      <c r="BC186" s="121"/>
      <c r="BD186" s="121"/>
      <c r="BE186" s="121"/>
      <c r="BF186" s="121"/>
      <c r="BG186" s="121"/>
      <c r="BH186" s="121"/>
      <c r="BI186" s="121"/>
      <c r="BJ186" s="121"/>
      <c r="BK186" s="121"/>
      <c r="BL186" s="121"/>
      <c r="BM186" s="121"/>
      <c r="BN186" s="121"/>
      <c r="BO186" s="121"/>
      <c r="BP186" s="121"/>
      <c r="BQ186" s="121"/>
      <c r="BR186" s="121"/>
      <c r="BS186" s="121"/>
      <c r="BT186" s="121"/>
      <c r="BU186" s="121"/>
      <c r="BV186" s="121"/>
      <c r="BW186" s="121"/>
      <c r="BX186" s="121"/>
      <c r="BY186" s="121"/>
      <c r="BZ186" s="121"/>
      <c r="CA186" s="121"/>
      <c r="CB186" s="121"/>
      <c r="CC186" s="121"/>
      <c r="CD186" s="121"/>
      <c r="CE186" s="121"/>
      <c r="CF186" s="121"/>
      <c r="CG186" s="121"/>
      <c r="CH186" s="121"/>
      <c r="CI186" s="121"/>
      <c r="CJ186" s="121"/>
      <c r="CK186" s="121"/>
      <c r="CL186" s="121"/>
      <c r="CM186" s="121"/>
      <c r="CN186" s="121"/>
      <c r="CO186" s="121"/>
      <c r="CP186" s="121"/>
      <c r="CQ186" s="121"/>
      <c r="CR186" s="121"/>
      <c r="CS186" s="121"/>
      <c r="CT186" s="121"/>
      <c r="CU186" s="121"/>
      <c r="CV186" s="121"/>
      <c r="CW186" s="121"/>
      <c r="CX186" s="121"/>
      <c r="CY186" s="121"/>
      <c r="CZ186" s="121"/>
      <c r="DA186" s="121"/>
      <c r="DB186" s="121"/>
      <c r="DC186" s="121"/>
      <c r="DD186" s="121"/>
      <c r="DE186" s="121"/>
      <c r="DF186" s="121"/>
      <c r="DG186" s="121"/>
      <c r="DH186" s="121"/>
      <c r="DI186" s="121"/>
      <c r="DJ186" s="121"/>
      <c r="DK186" s="121"/>
      <c r="DL186" s="121"/>
      <c r="DM186" s="121"/>
      <c r="DN186" s="121"/>
      <c r="DO186" s="121"/>
      <c r="DP186" s="121"/>
      <c r="DQ186" s="121"/>
      <c r="DR186" s="121"/>
      <c r="DS186" s="121"/>
      <c r="DT186" s="121"/>
      <c r="DU186" s="121"/>
      <c r="DV186" s="121"/>
      <c r="DW186" s="121"/>
      <c r="DX186" s="121"/>
      <c r="DY186" s="121"/>
      <c r="DZ186" s="121"/>
      <c r="EA186" s="121"/>
      <c r="EB186" s="121"/>
      <c r="EC186" s="121"/>
      <c r="ED186" s="121"/>
      <c r="EE186" s="121"/>
      <c r="EF186" s="121"/>
      <c r="EG186" s="121"/>
      <c r="EH186" s="121"/>
      <c r="EI186" s="121"/>
      <c r="EJ186" s="121"/>
      <c r="EK186" s="121"/>
      <c r="EL186" s="121"/>
      <c r="EM186" s="121"/>
      <c r="EN186" s="121"/>
      <c r="EO186" s="121"/>
      <c r="EP186" s="121"/>
      <c r="EQ186" s="121"/>
      <c r="ER186" s="121"/>
      <c r="ES186" s="121"/>
      <c r="ET186" s="121"/>
      <c r="EU186" s="121"/>
      <c r="EV186" s="121"/>
      <c r="EW186" s="121"/>
      <c r="EX186" s="121"/>
      <c r="EY186" s="121"/>
      <c r="EZ186" s="121"/>
      <c r="FA186" s="121"/>
      <c r="FB186" s="121"/>
      <c r="FC186" s="121"/>
      <c r="FD186" s="121"/>
      <c r="FE186" s="121"/>
      <c r="FF186" s="121"/>
      <c r="FG186" s="121"/>
      <c r="FH186" s="121"/>
      <c r="FI186" s="121"/>
      <c r="FJ186" s="121"/>
      <c r="FK186" s="121"/>
      <c r="FL186" s="121"/>
      <c r="FM186" s="121"/>
      <c r="FN186" s="121"/>
      <c r="FO186" s="121"/>
      <c r="FP186" s="121"/>
      <c r="FQ186" s="121"/>
      <c r="FR186" s="121"/>
      <c r="FS186" s="121"/>
      <c r="FT186" s="121"/>
      <c r="FU186" s="121"/>
      <c r="FV186" s="121"/>
      <c r="FW186" s="121"/>
      <c r="FX186" s="121"/>
      <c r="FY186" s="121"/>
      <c r="FZ186" s="121"/>
      <c r="GA186" s="121"/>
      <c r="GB186" s="121"/>
      <c r="GC186" s="121"/>
      <c r="GD186" s="121"/>
      <c r="GE186" s="121"/>
      <c r="GF186" s="121"/>
      <c r="GG186" s="121"/>
      <c r="GH186" s="121"/>
    </row>
    <row r="187" spans="1:190">
      <c r="A187" s="121"/>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1"/>
      <c r="AE187" s="121"/>
      <c r="AF187" s="121"/>
      <c r="AG187" s="121"/>
      <c r="AH187" s="121"/>
      <c r="AI187" s="121"/>
      <c r="AJ187" s="121"/>
      <c r="AK187" s="121"/>
      <c r="AL187" s="121"/>
      <c r="AM187" s="121"/>
      <c r="AN187" s="121"/>
      <c r="AO187" s="121"/>
      <c r="AP187" s="121"/>
      <c r="AQ187" s="121"/>
      <c r="AR187" s="121"/>
      <c r="AS187" s="121"/>
      <c r="AT187" s="121"/>
      <c r="AU187" s="121"/>
      <c r="AV187" s="121"/>
      <c r="AW187" s="121"/>
      <c r="AX187" s="121"/>
      <c r="AY187" s="121"/>
      <c r="AZ187" s="121"/>
      <c r="BA187" s="121"/>
      <c r="BB187" s="121"/>
      <c r="BC187" s="121"/>
      <c r="BD187" s="121"/>
      <c r="BE187" s="121"/>
      <c r="BF187" s="121"/>
      <c r="BG187" s="121"/>
      <c r="BH187" s="121"/>
      <c r="BI187" s="121"/>
      <c r="BJ187" s="121"/>
      <c r="BK187" s="121"/>
      <c r="BL187" s="121"/>
      <c r="BM187" s="121"/>
      <c r="BN187" s="121"/>
      <c r="BO187" s="121"/>
      <c r="BP187" s="121"/>
      <c r="BQ187" s="121"/>
      <c r="BR187" s="121"/>
      <c r="BS187" s="121"/>
      <c r="BT187" s="121"/>
      <c r="BU187" s="121"/>
      <c r="BV187" s="121"/>
      <c r="BW187" s="121"/>
      <c r="BX187" s="121"/>
      <c r="BY187" s="121"/>
      <c r="BZ187" s="121"/>
      <c r="CA187" s="121"/>
      <c r="CB187" s="121"/>
      <c r="CC187" s="121"/>
      <c r="CD187" s="121"/>
      <c r="CE187" s="121"/>
      <c r="CF187" s="121"/>
      <c r="CG187" s="121"/>
      <c r="CH187" s="121"/>
      <c r="CI187" s="121"/>
      <c r="CJ187" s="121"/>
      <c r="CK187" s="121"/>
      <c r="CL187" s="121"/>
      <c r="CM187" s="121"/>
      <c r="CN187" s="121"/>
      <c r="CO187" s="121"/>
      <c r="CP187" s="121"/>
      <c r="CQ187" s="121"/>
      <c r="CR187" s="121"/>
      <c r="CS187" s="121"/>
      <c r="CT187" s="121"/>
      <c r="CU187" s="121"/>
      <c r="CV187" s="121"/>
      <c r="CW187" s="121"/>
      <c r="CX187" s="121"/>
      <c r="CY187" s="121"/>
      <c r="CZ187" s="121"/>
      <c r="DA187" s="121"/>
      <c r="DB187" s="121"/>
      <c r="DC187" s="121"/>
      <c r="DD187" s="121"/>
      <c r="DE187" s="121"/>
      <c r="DF187" s="121"/>
      <c r="DG187" s="121"/>
      <c r="DH187" s="121"/>
      <c r="DI187" s="121"/>
      <c r="DJ187" s="121"/>
      <c r="DK187" s="121"/>
      <c r="DL187" s="121"/>
      <c r="DM187" s="121"/>
      <c r="DN187" s="121"/>
      <c r="DO187" s="121"/>
      <c r="DP187" s="121"/>
      <c r="DQ187" s="121"/>
      <c r="DR187" s="121"/>
      <c r="DS187" s="121"/>
      <c r="DT187" s="121"/>
      <c r="DU187" s="121"/>
      <c r="DV187" s="121"/>
      <c r="DW187" s="121"/>
      <c r="DX187" s="121"/>
      <c r="DY187" s="121"/>
      <c r="DZ187" s="121"/>
      <c r="EA187" s="121"/>
      <c r="EB187" s="121"/>
      <c r="EC187" s="121"/>
      <c r="ED187" s="121"/>
      <c r="EE187" s="121"/>
      <c r="EF187" s="121"/>
      <c r="EG187" s="121"/>
      <c r="EH187" s="121"/>
      <c r="EI187" s="121"/>
      <c r="EJ187" s="121"/>
      <c r="EK187" s="121"/>
      <c r="EL187" s="121"/>
      <c r="EM187" s="121"/>
      <c r="EN187" s="121"/>
      <c r="EO187" s="121"/>
      <c r="EP187" s="121"/>
      <c r="EQ187" s="121"/>
      <c r="ER187" s="121"/>
      <c r="ES187" s="121"/>
      <c r="ET187" s="121"/>
      <c r="EU187" s="121"/>
      <c r="EV187" s="121"/>
      <c r="EW187" s="121"/>
      <c r="EX187" s="121"/>
      <c r="EY187" s="121"/>
      <c r="EZ187" s="121"/>
      <c r="FA187" s="121"/>
      <c r="FB187" s="121"/>
      <c r="FC187" s="121"/>
      <c r="FD187" s="121"/>
      <c r="FE187" s="121"/>
      <c r="FF187" s="121"/>
      <c r="FG187" s="121"/>
      <c r="FH187" s="121"/>
      <c r="FI187" s="121"/>
      <c r="FJ187" s="121"/>
      <c r="FK187" s="121"/>
      <c r="FL187" s="121"/>
      <c r="FM187" s="121"/>
      <c r="FN187" s="121"/>
      <c r="FO187" s="121"/>
      <c r="FP187" s="121"/>
      <c r="FQ187" s="121"/>
      <c r="FR187" s="121"/>
      <c r="FS187" s="121"/>
      <c r="FT187" s="121"/>
      <c r="FU187" s="121"/>
      <c r="FV187" s="121"/>
      <c r="FW187" s="121"/>
      <c r="FX187" s="121"/>
      <c r="FY187" s="121"/>
      <c r="FZ187" s="121"/>
      <c r="GA187" s="121"/>
      <c r="GB187" s="121"/>
      <c r="GC187" s="121"/>
      <c r="GD187" s="121"/>
      <c r="GE187" s="121"/>
      <c r="GF187" s="121"/>
      <c r="GG187" s="121"/>
      <c r="GH187" s="121"/>
    </row>
    <row r="188" spans="1:190">
      <c r="A188" s="121"/>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c r="AD188" s="121"/>
      <c r="AE188" s="121"/>
      <c r="AF188" s="121"/>
      <c r="AG188" s="121"/>
      <c r="AH188" s="121"/>
      <c r="AI188" s="121"/>
      <c r="AJ188" s="121"/>
      <c r="AK188" s="121"/>
      <c r="AL188" s="121"/>
      <c r="AM188" s="121"/>
      <c r="AN188" s="121"/>
      <c r="AO188" s="121"/>
      <c r="AP188" s="121"/>
      <c r="AQ188" s="121"/>
      <c r="AR188" s="121"/>
      <c r="AS188" s="121"/>
      <c r="AT188" s="121"/>
      <c r="AU188" s="121"/>
      <c r="AV188" s="121"/>
      <c r="AW188" s="121"/>
      <c r="AX188" s="121"/>
      <c r="AY188" s="121"/>
      <c r="AZ188" s="121"/>
      <c r="BA188" s="121"/>
      <c r="BB188" s="121"/>
      <c r="BC188" s="121"/>
      <c r="BD188" s="121"/>
      <c r="BE188" s="121"/>
      <c r="BF188" s="121"/>
      <c r="BG188" s="121"/>
      <c r="BH188" s="121"/>
      <c r="BI188" s="121"/>
      <c r="BJ188" s="121"/>
      <c r="BK188" s="121"/>
      <c r="BL188" s="121"/>
      <c r="BM188" s="121"/>
      <c r="BN188" s="121"/>
      <c r="BO188" s="121"/>
      <c r="BP188" s="121"/>
      <c r="BQ188" s="121"/>
      <c r="BR188" s="121"/>
      <c r="BS188" s="121"/>
      <c r="BT188" s="121"/>
      <c r="BU188" s="121"/>
      <c r="BV188" s="121"/>
      <c r="BW188" s="121"/>
      <c r="BX188" s="121"/>
      <c r="BY188" s="121"/>
      <c r="BZ188" s="121"/>
      <c r="CA188" s="121"/>
      <c r="CB188" s="121"/>
      <c r="CC188" s="121"/>
      <c r="CD188" s="121"/>
      <c r="CE188" s="121"/>
      <c r="CF188" s="121"/>
      <c r="CG188" s="121"/>
      <c r="CH188" s="121"/>
      <c r="CI188" s="121"/>
      <c r="CJ188" s="121"/>
      <c r="CK188" s="121"/>
      <c r="CL188" s="121"/>
      <c r="CM188" s="121"/>
      <c r="CN188" s="121"/>
      <c r="CO188" s="121"/>
      <c r="CP188" s="121"/>
      <c r="CQ188" s="121"/>
      <c r="CR188" s="121"/>
      <c r="CS188" s="121"/>
      <c r="CT188" s="121"/>
      <c r="CU188" s="121"/>
      <c r="CV188" s="121"/>
      <c r="CW188" s="121"/>
      <c r="CX188" s="121"/>
      <c r="CY188" s="121"/>
      <c r="CZ188" s="121"/>
      <c r="DA188" s="121"/>
      <c r="DB188" s="121"/>
      <c r="DC188" s="121"/>
      <c r="DD188" s="121"/>
      <c r="DE188" s="121"/>
      <c r="DF188" s="121"/>
      <c r="DG188" s="121"/>
      <c r="DH188" s="121"/>
      <c r="DI188" s="121"/>
      <c r="DJ188" s="121"/>
      <c r="DK188" s="121"/>
      <c r="DL188" s="121"/>
      <c r="DM188" s="121"/>
      <c r="DN188" s="121"/>
      <c r="DO188" s="121"/>
      <c r="DP188" s="121"/>
      <c r="DQ188" s="121"/>
      <c r="DR188" s="121"/>
      <c r="DS188" s="121"/>
      <c r="DT188" s="121"/>
      <c r="DU188" s="121"/>
      <c r="DV188" s="121"/>
      <c r="DW188" s="121"/>
      <c r="DX188" s="121"/>
      <c r="DY188" s="121"/>
      <c r="DZ188" s="121"/>
      <c r="EA188" s="121"/>
      <c r="EB188" s="121"/>
      <c r="EC188" s="121"/>
      <c r="ED188" s="121"/>
      <c r="EE188" s="121"/>
      <c r="EF188" s="121"/>
      <c r="EG188" s="121"/>
      <c r="EH188" s="121"/>
      <c r="EI188" s="121"/>
      <c r="EJ188" s="121"/>
      <c r="EK188" s="121"/>
      <c r="EL188" s="121"/>
      <c r="EM188" s="121"/>
      <c r="EN188" s="121"/>
      <c r="EO188" s="121"/>
      <c r="EP188" s="121"/>
      <c r="EQ188" s="121"/>
      <c r="ER188" s="121"/>
      <c r="ES188" s="121"/>
      <c r="ET188" s="121"/>
      <c r="EU188" s="121"/>
      <c r="EV188" s="121"/>
      <c r="EW188" s="121"/>
      <c r="EX188" s="121"/>
      <c r="EY188" s="121"/>
      <c r="EZ188" s="121"/>
      <c r="FA188" s="121"/>
      <c r="FB188" s="121"/>
      <c r="FC188" s="121"/>
      <c r="FD188" s="121"/>
      <c r="FE188" s="121"/>
      <c r="FF188" s="121"/>
      <c r="FG188" s="121"/>
      <c r="FH188" s="121"/>
      <c r="FI188" s="121"/>
      <c r="FJ188" s="121"/>
      <c r="FK188" s="121"/>
      <c r="FL188" s="121"/>
      <c r="FM188" s="121"/>
      <c r="FN188" s="121"/>
      <c r="FO188" s="121"/>
      <c r="FP188" s="121"/>
      <c r="FQ188" s="121"/>
      <c r="FR188" s="121"/>
      <c r="FS188" s="121"/>
      <c r="FT188" s="121"/>
      <c r="FU188" s="121"/>
      <c r="FV188" s="121"/>
      <c r="FW188" s="121"/>
      <c r="FX188" s="121"/>
      <c r="FY188" s="121"/>
      <c r="FZ188" s="121"/>
      <c r="GA188" s="121"/>
      <c r="GB188" s="121"/>
      <c r="GC188" s="121"/>
      <c r="GD188" s="121"/>
      <c r="GE188" s="121"/>
      <c r="GF188" s="121"/>
      <c r="GG188" s="121"/>
      <c r="GH188" s="121"/>
    </row>
    <row r="189" spans="1:190">
      <c r="A189" s="121"/>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c r="AD189" s="121"/>
      <c r="AE189" s="121"/>
      <c r="AF189" s="121"/>
      <c r="AG189" s="121"/>
      <c r="AH189" s="121"/>
      <c r="AI189" s="121"/>
      <c r="AJ189" s="121"/>
      <c r="AK189" s="121"/>
      <c r="AL189" s="121"/>
      <c r="AM189" s="121"/>
      <c r="AN189" s="121"/>
      <c r="AO189" s="121"/>
      <c r="AP189" s="121"/>
      <c r="AQ189" s="121"/>
      <c r="AR189" s="121"/>
      <c r="AS189" s="121"/>
      <c r="AT189" s="121"/>
      <c r="AU189" s="121"/>
      <c r="AV189" s="121"/>
      <c r="AW189" s="121"/>
      <c r="AX189" s="121"/>
      <c r="AY189" s="121"/>
      <c r="AZ189" s="121"/>
      <c r="BA189" s="121"/>
      <c r="BB189" s="121"/>
      <c r="BC189" s="121"/>
      <c r="BD189" s="121"/>
      <c r="BE189" s="121"/>
      <c r="BF189" s="121"/>
      <c r="BG189" s="121"/>
      <c r="BH189" s="121"/>
      <c r="BI189" s="121"/>
      <c r="BJ189" s="121"/>
      <c r="BK189" s="121"/>
      <c r="BL189" s="121"/>
      <c r="BM189" s="121"/>
      <c r="BN189" s="121"/>
      <c r="BO189" s="121"/>
      <c r="BP189" s="121"/>
      <c r="BQ189" s="121"/>
      <c r="BR189" s="121"/>
      <c r="BS189" s="121"/>
      <c r="BT189" s="121"/>
      <c r="BU189" s="121"/>
      <c r="BV189" s="121"/>
      <c r="BW189" s="121"/>
      <c r="BX189" s="121"/>
      <c r="BY189" s="121"/>
      <c r="BZ189" s="121"/>
      <c r="CA189" s="121"/>
      <c r="CB189" s="121"/>
      <c r="CC189" s="121"/>
      <c r="CD189" s="121"/>
      <c r="CE189" s="121"/>
      <c r="CF189" s="121"/>
      <c r="CG189" s="121"/>
      <c r="CH189" s="121"/>
      <c r="CI189" s="121"/>
      <c r="CJ189" s="121"/>
      <c r="CK189" s="121"/>
      <c r="CL189" s="121"/>
      <c r="CM189" s="121"/>
      <c r="CN189" s="121"/>
      <c r="CO189" s="121"/>
      <c r="CP189" s="121"/>
      <c r="CQ189" s="121"/>
      <c r="CR189" s="121"/>
      <c r="CS189" s="121"/>
      <c r="CT189" s="121"/>
      <c r="CU189" s="121"/>
      <c r="CV189" s="121"/>
      <c r="CW189" s="121"/>
      <c r="CX189" s="121"/>
      <c r="CY189" s="121"/>
      <c r="CZ189" s="121"/>
      <c r="DA189" s="121"/>
      <c r="DB189" s="121"/>
      <c r="DC189" s="121"/>
      <c r="DD189" s="121"/>
      <c r="DE189" s="121"/>
      <c r="DF189" s="121"/>
      <c r="DG189" s="121"/>
      <c r="DH189" s="121"/>
      <c r="DI189" s="121"/>
      <c r="DJ189" s="121"/>
      <c r="DK189" s="121"/>
      <c r="DL189" s="121"/>
      <c r="DM189" s="121"/>
      <c r="DN189" s="121"/>
      <c r="DO189" s="121"/>
      <c r="DP189" s="121"/>
      <c r="DQ189" s="121"/>
      <c r="DR189" s="121"/>
      <c r="DS189" s="121"/>
      <c r="DT189" s="121"/>
      <c r="DU189" s="121"/>
      <c r="DV189" s="121"/>
      <c r="DW189" s="121"/>
      <c r="DX189" s="121"/>
      <c r="DY189" s="121"/>
      <c r="DZ189" s="121"/>
      <c r="EA189" s="121"/>
      <c r="EB189" s="121"/>
      <c r="EC189" s="121"/>
      <c r="ED189" s="121"/>
      <c r="EE189" s="121"/>
      <c r="EF189" s="121"/>
      <c r="EG189" s="121"/>
      <c r="EH189" s="121"/>
      <c r="EI189" s="121"/>
      <c r="EJ189" s="121"/>
      <c r="EK189" s="121"/>
      <c r="EL189" s="121"/>
      <c r="EM189" s="121"/>
      <c r="EN189" s="121"/>
      <c r="EO189" s="121"/>
      <c r="EP189" s="121"/>
      <c r="EQ189" s="121"/>
      <c r="ER189" s="121"/>
      <c r="ES189" s="121"/>
      <c r="ET189" s="121"/>
      <c r="EU189" s="121"/>
      <c r="EV189" s="121"/>
      <c r="EW189" s="121"/>
      <c r="EX189" s="121"/>
      <c r="EY189" s="121"/>
      <c r="EZ189" s="121"/>
      <c r="FA189" s="121"/>
      <c r="FB189" s="121"/>
      <c r="FC189" s="121"/>
      <c r="FD189" s="121"/>
      <c r="FE189" s="121"/>
      <c r="FF189" s="121"/>
      <c r="FG189" s="121"/>
      <c r="FH189" s="121"/>
      <c r="FI189" s="121"/>
      <c r="FJ189" s="121"/>
      <c r="FK189" s="121"/>
      <c r="FL189" s="121"/>
      <c r="FM189" s="121"/>
      <c r="FN189" s="121"/>
      <c r="FO189" s="121"/>
      <c r="FP189" s="121"/>
      <c r="FQ189" s="121"/>
      <c r="FR189" s="121"/>
      <c r="FS189" s="121"/>
      <c r="FT189" s="121"/>
      <c r="FU189" s="121"/>
      <c r="FV189" s="121"/>
      <c r="FW189" s="121"/>
      <c r="FX189" s="121"/>
      <c r="FY189" s="121"/>
      <c r="FZ189" s="121"/>
      <c r="GA189" s="121"/>
      <c r="GB189" s="121"/>
      <c r="GC189" s="121"/>
      <c r="GD189" s="121"/>
      <c r="GE189" s="121"/>
      <c r="GF189" s="121"/>
      <c r="GG189" s="121"/>
      <c r="GH189" s="121"/>
    </row>
    <row r="190" spans="1:190">
      <c r="A190" s="121"/>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c r="AD190" s="121"/>
      <c r="AE190" s="121"/>
      <c r="AF190" s="121"/>
      <c r="AG190" s="121"/>
      <c r="AH190" s="121"/>
      <c r="AI190" s="121"/>
      <c r="AJ190" s="121"/>
      <c r="AK190" s="121"/>
      <c r="AL190" s="121"/>
      <c r="AM190" s="121"/>
      <c r="AN190" s="121"/>
      <c r="AO190" s="121"/>
      <c r="AP190" s="121"/>
      <c r="AQ190" s="121"/>
      <c r="AR190" s="121"/>
      <c r="AS190" s="121"/>
      <c r="AT190" s="121"/>
      <c r="AU190" s="121"/>
      <c r="AV190" s="121"/>
      <c r="AW190" s="121"/>
      <c r="AX190" s="121"/>
      <c r="AY190" s="121"/>
      <c r="AZ190" s="121"/>
      <c r="BA190" s="121"/>
      <c r="BB190" s="121"/>
      <c r="BC190" s="121"/>
      <c r="BD190" s="121"/>
      <c r="BE190" s="121"/>
      <c r="BF190" s="121"/>
      <c r="BG190" s="121"/>
      <c r="BH190" s="121"/>
      <c r="BI190" s="121"/>
      <c r="BJ190" s="121"/>
      <c r="BK190" s="121"/>
      <c r="BL190" s="121"/>
      <c r="BM190" s="121"/>
      <c r="BN190" s="121"/>
      <c r="BO190" s="121"/>
      <c r="BP190" s="121"/>
      <c r="BQ190" s="121"/>
      <c r="BR190" s="121"/>
      <c r="BS190" s="121"/>
      <c r="BT190" s="121"/>
      <c r="BU190" s="121"/>
      <c r="BV190" s="121"/>
      <c r="BW190" s="121"/>
      <c r="BX190" s="121"/>
      <c r="BY190" s="121"/>
      <c r="BZ190" s="121"/>
      <c r="CA190" s="121"/>
      <c r="CB190" s="121"/>
      <c r="CC190" s="121"/>
      <c r="CD190" s="121"/>
      <c r="CE190" s="121"/>
      <c r="CF190" s="121"/>
      <c r="CG190" s="121"/>
      <c r="CH190" s="121"/>
      <c r="CI190" s="121"/>
      <c r="CJ190" s="121"/>
      <c r="CK190" s="121"/>
      <c r="CL190" s="121"/>
      <c r="CM190" s="121"/>
      <c r="CN190" s="121"/>
      <c r="CO190" s="121"/>
      <c r="CP190" s="121"/>
      <c r="CQ190" s="121"/>
      <c r="CR190" s="121"/>
      <c r="CS190" s="121"/>
      <c r="CT190" s="121"/>
      <c r="CU190" s="121"/>
      <c r="CV190" s="121"/>
      <c r="CW190" s="121"/>
      <c r="CX190" s="121"/>
      <c r="CY190" s="121"/>
      <c r="CZ190" s="121"/>
      <c r="DA190" s="121"/>
      <c r="DB190" s="121"/>
      <c r="DC190" s="121"/>
      <c r="DD190" s="121"/>
      <c r="DE190" s="121"/>
      <c r="DF190" s="121"/>
      <c r="DG190" s="121"/>
      <c r="DH190" s="121"/>
      <c r="DI190" s="121"/>
      <c r="DJ190" s="121"/>
      <c r="DK190" s="121"/>
      <c r="DL190" s="121"/>
      <c r="DM190" s="121"/>
      <c r="DN190" s="121"/>
      <c r="DO190" s="121"/>
      <c r="DP190" s="121"/>
      <c r="DQ190" s="121"/>
      <c r="DR190" s="121"/>
      <c r="DS190" s="121"/>
      <c r="DT190" s="121"/>
      <c r="DU190" s="121"/>
      <c r="DV190" s="121"/>
      <c r="DW190" s="121"/>
      <c r="DX190" s="121"/>
      <c r="DY190" s="121"/>
      <c r="DZ190" s="121"/>
      <c r="EA190" s="121"/>
      <c r="EB190" s="121"/>
      <c r="EC190" s="121"/>
      <c r="ED190" s="121"/>
      <c r="EE190" s="121"/>
      <c r="EF190" s="121"/>
      <c r="EG190" s="121"/>
      <c r="EH190" s="121"/>
      <c r="EI190" s="121"/>
      <c r="EJ190" s="121"/>
      <c r="EK190" s="121"/>
      <c r="EL190" s="121"/>
      <c r="EM190" s="121"/>
      <c r="EN190" s="121"/>
      <c r="EO190" s="121"/>
      <c r="EP190" s="121"/>
      <c r="EQ190" s="121"/>
      <c r="ER190" s="121"/>
      <c r="ES190" s="121"/>
      <c r="ET190" s="121"/>
      <c r="EU190" s="121"/>
      <c r="EV190" s="121"/>
      <c r="EW190" s="121"/>
      <c r="EX190" s="121"/>
      <c r="EY190" s="121"/>
      <c r="EZ190" s="121"/>
      <c r="FA190" s="121"/>
      <c r="FB190" s="121"/>
      <c r="FC190" s="121"/>
      <c r="FD190" s="121"/>
      <c r="FE190" s="121"/>
      <c r="FF190" s="121"/>
      <c r="FG190" s="121"/>
      <c r="FH190" s="121"/>
      <c r="FI190" s="121"/>
      <c r="FJ190" s="121"/>
      <c r="FK190" s="121"/>
      <c r="FL190" s="121"/>
      <c r="FM190" s="121"/>
      <c r="FN190" s="121"/>
      <c r="FO190" s="121"/>
      <c r="FP190" s="121"/>
      <c r="FQ190" s="121"/>
      <c r="FR190" s="121"/>
      <c r="FS190" s="121"/>
      <c r="FT190" s="121"/>
      <c r="FU190" s="121"/>
      <c r="FV190" s="121"/>
      <c r="FW190" s="121"/>
      <c r="FX190" s="121"/>
      <c r="FY190" s="121"/>
      <c r="FZ190" s="121"/>
      <c r="GA190" s="121"/>
      <c r="GB190" s="121"/>
      <c r="GC190" s="121"/>
      <c r="GD190" s="121"/>
      <c r="GE190" s="121"/>
      <c r="GF190" s="121"/>
      <c r="GG190" s="121"/>
      <c r="GH190" s="121"/>
    </row>
    <row r="191" spans="1:190">
      <c r="A191" s="121"/>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c r="AE191" s="121"/>
      <c r="AF191" s="121"/>
      <c r="AG191" s="121"/>
      <c r="AH191" s="121"/>
      <c r="AI191" s="121"/>
      <c r="AJ191" s="121"/>
      <c r="AK191" s="121"/>
      <c r="AL191" s="121"/>
      <c r="AM191" s="121"/>
      <c r="AN191" s="121"/>
      <c r="AO191" s="121"/>
      <c r="AP191" s="121"/>
      <c r="AQ191" s="121"/>
      <c r="AR191" s="121"/>
      <c r="AS191" s="121"/>
      <c r="AT191" s="121"/>
      <c r="AU191" s="121"/>
      <c r="AV191" s="121"/>
      <c r="AW191" s="121"/>
      <c r="AX191" s="121"/>
      <c r="AY191" s="121"/>
      <c r="AZ191" s="121"/>
      <c r="BA191" s="121"/>
      <c r="BB191" s="121"/>
      <c r="BC191" s="121"/>
      <c r="BD191" s="121"/>
      <c r="BE191" s="121"/>
      <c r="BF191" s="121"/>
      <c r="BG191" s="121"/>
      <c r="BH191" s="121"/>
      <c r="BI191" s="121"/>
      <c r="BJ191" s="121"/>
      <c r="BK191" s="121"/>
      <c r="BL191" s="121"/>
      <c r="BM191" s="121"/>
      <c r="BN191" s="121"/>
      <c r="BO191" s="121"/>
      <c r="BP191" s="121"/>
      <c r="BQ191" s="121"/>
      <c r="BR191" s="121"/>
      <c r="BS191" s="121"/>
      <c r="BT191" s="121"/>
      <c r="BU191" s="121"/>
      <c r="BV191" s="121"/>
      <c r="BW191" s="121"/>
      <c r="BX191" s="121"/>
      <c r="BY191" s="121"/>
      <c r="BZ191" s="121"/>
      <c r="CA191" s="121"/>
      <c r="CB191" s="121"/>
      <c r="CC191" s="121"/>
      <c r="CD191" s="121"/>
      <c r="CE191" s="121"/>
      <c r="CF191" s="121"/>
      <c r="CG191" s="121"/>
      <c r="CH191" s="121"/>
      <c r="CI191" s="121"/>
      <c r="CJ191" s="121"/>
      <c r="CK191" s="121"/>
      <c r="CL191" s="121"/>
      <c r="CM191" s="121"/>
      <c r="CN191" s="121"/>
      <c r="CO191" s="121"/>
      <c r="CP191" s="121"/>
      <c r="CQ191" s="121"/>
      <c r="CR191" s="121"/>
      <c r="CS191" s="121"/>
      <c r="CT191" s="121"/>
      <c r="CU191" s="121"/>
      <c r="CV191" s="121"/>
      <c r="CW191" s="121"/>
      <c r="CX191" s="121"/>
      <c r="CY191" s="121"/>
      <c r="CZ191" s="121"/>
      <c r="DA191" s="121"/>
      <c r="DB191" s="121"/>
      <c r="DC191" s="121"/>
      <c r="DD191" s="121"/>
      <c r="DE191" s="121"/>
      <c r="DF191" s="121"/>
      <c r="DG191" s="121"/>
      <c r="DH191" s="121"/>
      <c r="DI191" s="121"/>
      <c r="DJ191" s="121"/>
      <c r="DK191" s="121"/>
      <c r="DL191" s="121"/>
      <c r="DM191" s="121"/>
      <c r="DN191" s="121"/>
      <c r="DO191" s="121"/>
      <c r="DP191" s="121"/>
      <c r="DQ191" s="121"/>
      <c r="DR191" s="121"/>
      <c r="DS191" s="121"/>
      <c r="DT191" s="121"/>
      <c r="DU191" s="121"/>
      <c r="DV191" s="121"/>
      <c r="DW191" s="121"/>
      <c r="DX191" s="121"/>
      <c r="DY191" s="121"/>
      <c r="DZ191" s="121"/>
      <c r="EA191" s="121"/>
      <c r="EB191" s="121"/>
      <c r="EC191" s="121"/>
      <c r="ED191" s="121"/>
      <c r="EE191" s="121"/>
      <c r="EF191" s="121"/>
      <c r="EG191" s="121"/>
      <c r="EH191" s="121"/>
      <c r="EI191" s="121"/>
      <c r="EJ191" s="121"/>
      <c r="EK191" s="121"/>
      <c r="EL191" s="121"/>
      <c r="EM191" s="121"/>
      <c r="EN191" s="121"/>
      <c r="EO191" s="121"/>
      <c r="EP191" s="121"/>
      <c r="EQ191" s="121"/>
      <c r="ER191" s="121"/>
      <c r="ES191" s="121"/>
      <c r="ET191" s="121"/>
      <c r="EU191" s="121"/>
      <c r="EV191" s="121"/>
      <c r="EW191" s="121"/>
      <c r="EX191" s="121"/>
      <c r="EY191" s="121"/>
      <c r="EZ191" s="121"/>
      <c r="FA191" s="121"/>
      <c r="FB191" s="121"/>
      <c r="FC191" s="121"/>
      <c r="FD191" s="121"/>
      <c r="FE191" s="121"/>
      <c r="FF191" s="121"/>
      <c r="FG191" s="121"/>
      <c r="FH191" s="121"/>
      <c r="FI191" s="121"/>
      <c r="FJ191" s="121"/>
      <c r="FK191" s="121"/>
      <c r="FL191" s="121"/>
      <c r="FM191" s="121"/>
      <c r="FN191" s="121"/>
      <c r="FO191" s="121"/>
      <c r="FP191" s="121"/>
      <c r="FQ191" s="121"/>
      <c r="FR191" s="121"/>
      <c r="FS191" s="121"/>
      <c r="FT191" s="121"/>
      <c r="FU191" s="121"/>
      <c r="FV191" s="121"/>
      <c r="FW191" s="121"/>
      <c r="FX191" s="121"/>
      <c r="FY191" s="121"/>
      <c r="FZ191" s="121"/>
      <c r="GA191" s="121"/>
      <c r="GB191" s="121"/>
      <c r="GC191" s="121"/>
      <c r="GD191" s="121"/>
      <c r="GE191" s="121"/>
      <c r="GF191" s="121"/>
      <c r="GG191" s="121"/>
      <c r="GH191" s="121"/>
    </row>
    <row r="192" spans="1:190">
      <c r="A192" s="121"/>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c r="AD192" s="121"/>
      <c r="AE192" s="121"/>
      <c r="AF192" s="121"/>
      <c r="AG192" s="121"/>
      <c r="AH192" s="121"/>
      <c r="AI192" s="121"/>
      <c r="AJ192" s="121"/>
      <c r="AK192" s="121"/>
      <c r="AL192" s="121"/>
      <c r="AM192" s="121"/>
      <c r="AN192" s="121"/>
      <c r="AO192" s="121"/>
      <c r="AP192" s="121"/>
      <c r="AQ192" s="121"/>
      <c r="AR192" s="121"/>
      <c r="AS192" s="121"/>
      <c r="AT192" s="121"/>
      <c r="AU192" s="121"/>
      <c r="AV192" s="121"/>
      <c r="AW192" s="121"/>
      <c r="AX192" s="121"/>
      <c r="AY192" s="121"/>
      <c r="AZ192" s="121"/>
      <c r="BA192" s="121"/>
      <c r="BB192" s="121"/>
      <c r="BC192" s="121"/>
      <c r="BD192" s="121"/>
      <c r="BE192" s="121"/>
      <c r="BF192" s="121"/>
      <c r="BG192" s="121"/>
      <c r="BH192" s="121"/>
      <c r="BI192" s="121"/>
      <c r="BJ192" s="121"/>
      <c r="BK192" s="121"/>
      <c r="BL192" s="121"/>
      <c r="BM192" s="121"/>
      <c r="BN192" s="121"/>
      <c r="BO192" s="121"/>
      <c r="BP192" s="121"/>
      <c r="BQ192" s="121"/>
      <c r="BR192" s="121"/>
      <c r="BS192" s="121"/>
      <c r="BT192" s="121"/>
      <c r="BU192" s="121"/>
      <c r="BV192" s="121"/>
      <c r="BW192" s="121"/>
      <c r="BX192" s="121"/>
      <c r="BY192" s="121"/>
      <c r="BZ192" s="121"/>
      <c r="CA192" s="121"/>
      <c r="CB192" s="121"/>
      <c r="CC192" s="121"/>
      <c r="CD192" s="121"/>
      <c r="CE192" s="121"/>
      <c r="CF192" s="121"/>
      <c r="CG192" s="121"/>
      <c r="CH192" s="121"/>
      <c r="CI192" s="121"/>
      <c r="CJ192" s="121"/>
      <c r="CK192" s="121"/>
      <c r="CL192" s="121"/>
      <c r="CM192" s="121"/>
      <c r="CN192" s="121"/>
      <c r="CO192" s="121"/>
      <c r="CP192" s="121"/>
      <c r="CQ192" s="121"/>
      <c r="CR192" s="121"/>
      <c r="CS192" s="121"/>
      <c r="CT192" s="121"/>
      <c r="CU192" s="121"/>
      <c r="CV192" s="121"/>
      <c r="CW192" s="121"/>
      <c r="CX192" s="121"/>
      <c r="CY192" s="121"/>
      <c r="CZ192" s="121"/>
      <c r="DA192" s="121"/>
      <c r="DB192" s="121"/>
      <c r="DC192" s="121"/>
      <c r="DD192" s="121"/>
      <c r="DE192" s="121"/>
      <c r="DF192" s="121"/>
      <c r="DG192" s="121"/>
      <c r="DH192" s="121"/>
      <c r="DI192" s="121"/>
      <c r="DJ192" s="121"/>
      <c r="DK192" s="121"/>
      <c r="DL192" s="121"/>
      <c r="DM192" s="121"/>
      <c r="DN192" s="121"/>
      <c r="DO192" s="121"/>
      <c r="DP192" s="121"/>
      <c r="DQ192" s="121"/>
      <c r="DR192" s="121"/>
      <c r="DS192" s="121"/>
      <c r="DT192" s="121"/>
      <c r="DU192" s="121"/>
      <c r="DV192" s="121"/>
      <c r="DW192" s="121"/>
      <c r="DX192" s="121"/>
      <c r="DY192" s="121"/>
      <c r="DZ192" s="121"/>
      <c r="EA192" s="121"/>
      <c r="EB192" s="121"/>
      <c r="EC192" s="121"/>
      <c r="ED192" s="121"/>
      <c r="EE192" s="121"/>
      <c r="EF192" s="121"/>
      <c r="EG192" s="121"/>
      <c r="EH192" s="121"/>
      <c r="EI192" s="121"/>
      <c r="EJ192" s="121"/>
      <c r="EK192" s="121"/>
      <c r="EL192" s="121"/>
      <c r="EM192" s="121"/>
      <c r="EN192" s="121"/>
      <c r="EO192" s="121"/>
      <c r="EP192" s="121"/>
      <c r="EQ192" s="121"/>
      <c r="ER192" s="121"/>
      <c r="ES192" s="121"/>
      <c r="ET192" s="121"/>
      <c r="EU192" s="121"/>
      <c r="EV192" s="121"/>
      <c r="EW192" s="121"/>
      <c r="EX192" s="121"/>
      <c r="EY192" s="121"/>
      <c r="EZ192" s="121"/>
      <c r="FA192" s="121"/>
      <c r="FB192" s="121"/>
      <c r="FC192" s="121"/>
      <c r="FD192" s="121"/>
      <c r="FE192" s="121"/>
      <c r="FF192" s="121"/>
      <c r="FG192" s="121"/>
      <c r="FH192" s="121"/>
      <c r="FI192" s="121"/>
      <c r="FJ192" s="121"/>
      <c r="FK192" s="121"/>
      <c r="FL192" s="121"/>
      <c r="FM192" s="121"/>
      <c r="FN192" s="121"/>
      <c r="FO192" s="121"/>
      <c r="FP192" s="121"/>
      <c r="FQ192" s="121"/>
      <c r="FR192" s="121"/>
      <c r="FS192" s="121"/>
      <c r="FT192" s="121"/>
      <c r="FU192" s="121"/>
      <c r="FV192" s="121"/>
      <c r="FW192" s="121"/>
      <c r="FX192" s="121"/>
      <c r="FY192" s="121"/>
      <c r="FZ192" s="121"/>
      <c r="GA192" s="121"/>
      <c r="GB192" s="121"/>
      <c r="GC192" s="121"/>
      <c r="GD192" s="121"/>
      <c r="GE192" s="121"/>
      <c r="GF192" s="121"/>
      <c r="GG192" s="121"/>
      <c r="GH192" s="121"/>
    </row>
    <row r="193" spans="1:190">
      <c r="A193" s="121"/>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c r="AD193" s="121"/>
      <c r="AE193" s="121"/>
      <c r="AF193" s="121"/>
      <c r="AG193" s="121"/>
      <c r="AH193" s="121"/>
      <c r="AI193" s="121"/>
      <c r="AJ193" s="121"/>
      <c r="AK193" s="121"/>
      <c r="AL193" s="121"/>
      <c r="AM193" s="121"/>
      <c r="AN193" s="121"/>
      <c r="AO193" s="121"/>
      <c r="AP193" s="121"/>
      <c r="AQ193" s="121"/>
      <c r="AR193" s="121"/>
      <c r="AS193" s="121"/>
      <c r="AT193" s="121"/>
      <c r="AU193" s="121"/>
      <c r="AV193" s="121"/>
      <c r="AW193" s="121"/>
      <c r="AX193" s="121"/>
      <c r="AY193" s="121"/>
      <c r="AZ193" s="121"/>
      <c r="BA193" s="121"/>
      <c r="BB193" s="121"/>
      <c r="BC193" s="121"/>
      <c r="BD193" s="121"/>
      <c r="BE193" s="121"/>
      <c r="BF193" s="121"/>
      <c r="BG193" s="121"/>
      <c r="BH193" s="121"/>
      <c r="BI193" s="121"/>
      <c r="BJ193" s="121"/>
      <c r="BK193" s="121"/>
      <c r="BL193" s="121"/>
      <c r="BM193" s="121"/>
      <c r="BN193" s="121"/>
      <c r="BO193" s="121"/>
      <c r="BP193" s="121"/>
      <c r="BQ193" s="121"/>
      <c r="BR193" s="121"/>
      <c r="BS193" s="121"/>
      <c r="BT193" s="121"/>
      <c r="BU193" s="121"/>
      <c r="BV193" s="121"/>
      <c r="BW193" s="121"/>
      <c r="BX193" s="121"/>
      <c r="BY193" s="121"/>
      <c r="BZ193" s="121"/>
      <c r="CA193" s="121"/>
      <c r="CB193" s="121"/>
      <c r="CC193" s="121"/>
      <c r="CD193" s="121"/>
      <c r="CE193" s="121"/>
      <c r="CF193" s="121"/>
      <c r="CG193" s="121"/>
      <c r="CH193" s="121"/>
      <c r="CI193" s="121"/>
      <c r="CJ193" s="121"/>
      <c r="CK193" s="121"/>
      <c r="CL193" s="121"/>
      <c r="CM193" s="121"/>
      <c r="CN193" s="121"/>
      <c r="CO193" s="121"/>
      <c r="CP193" s="121"/>
      <c r="CQ193" s="121"/>
      <c r="CR193" s="121"/>
      <c r="CS193" s="121"/>
      <c r="CT193" s="121"/>
      <c r="CU193" s="121"/>
      <c r="CV193" s="121"/>
      <c r="CW193" s="121"/>
      <c r="CX193" s="121"/>
      <c r="CY193" s="121"/>
      <c r="CZ193" s="121"/>
      <c r="DA193" s="121"/>
      <c r="DB193" s="121"/>
      <c r="DC193" s="121"/>
      <c r="DD193" s="121"/>
      <c r="DE193" s="121"/>
      <c r="DF193" s="121"/>
      <c r="DG193" s="121"/>
      <c r="DH193" s="121"/>
      <c r="DI193" s="121"/>
      <c r="DJ193" s="121"/>
      <c r="DK193" s="121"/>
      <c r="DL193" s="121"/>
      <c r="DM193" s="121"/>
      <c r="DN193" s="121"/>
      <c r="DO193" s="121"/>
      <c r="DP193" s="121"/>
      <c r="DQ193" s="121"/>
      <c r="DR193" s="121"/>
      <c r="DS193" s="121"/>
      <c r="DT193" s="121"/>
      <c r="DU193" s="121"/>
      <c r="DV193" s="121"/>
      <c r="DW193" s="121"/>
      <c r="DX193" s="121"/>
      <c r="DY193" s="121"/>
      <c r="DZ193" s="121"/>
      <c r="EA193" s="121"/>
      <c r="EB193" s="121"/>
      <c r="EC193" s="121"/>
      <c r="ED193" s="121"/>
      <c r="EE193" s="121"/>
      <c r="EF193" s="121"/>
      <c r="EG193" s="121"/>
      <c r="EH193" s="121"/>
      <c r="EI193" s="121"/>
      <c r="EJ193" s="121"/>
      <c r="EK193" s="121"/>
      <c r="EL193" s="121"/>
      <c r="EM193" s="121"/>
      <c r="EN193" s="121"/>
      <c r="EO193" s="121"/>
      <c r="EP193" s="121"/>
      <c r="EQ193" s="121"/>
      <c r="ER193" s="121"/>
      <c r="ES193" s="121"/>
      <c r="ET193" s="121"/>
      <c r="EU193" s="121"/>
      <c r="EV193" s="121"/>
      <c r="EW193" s="121"/>
      <c r="EX193" s="121"/>
      <c r="EY193" s="121"/>
      <c r="EZ193" s="121"/>
      <c r="FA193" s="121"/>
      <c r="FB193" s="121"/>
      <c r="FC193" s="121"/>
      <c r="FD193" s="121"/>
      <c r="FE193" s="121"/>
      <c r="FF193" s="121"/>
      <c r="FG193" s="121"/>
      <c r="FH193" s="121"/>
      <c r="FI193" s="121"/>
      <c r="FJ193" s="121"/>
      <c r="FK193" s="121"/>
      <c r="FL193" s="121"/>
      <c r="FM193" s="121"/>
      <c r="FN193" s="121"/>
      <c r="FO193" s="121"/>
      <c r="FP193" s="121"/>
      <c r="FQ193" s="121"/>
      <c r="FR193" s="121"/>
      <c r="FS193" s="121"/>
      <c r="FT193" s="121"/>
      <c r="FU193" s="121"/>
      <c r="FV193" s="121"/>
      <c r="FW193" s="121"/>
      <c r="FX193" s="121"/>
      <c r="FY193" s="121"/>
      <c r="FZ193" s="121"/>
      <c r="GA193" s="121"/>
      <c r="GB193" s="121"/>
      <c r="GC193" s="121"/>
      <c r="GD193" s="121"/>
      <c r="GE193" s="121"/>
      <c r="GF193" s="121"/>
      <c r="GG193" s="121"/>
      <c r="GH193" s="121"/>
    </row>
    <row r="194" spans="1:190">
      <c r="A194" s="121"/>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c r="AD194" s="121"/>
      <c r="AE194" s="121"/>
      <c r="AF194" s="121"/>
      <c r="AG194" s="121"/>
      <c r="AH194" s="121"/>
      <c r="AI194" s="121"/>
      <c r="AJ194" s="121"/>
      <c r="AK194" s="121"/>
      <c r="AL194" s="121"/>
      <c r="AM194" s="121"/>
      <c r="AN194" s="121"/>
      <c r="AO194" s="121"/>
      <c r="AP194" s="121"/>
      <c r="AQ194" s="121"/>
      <c r="AR194" s="121"/>
      <c r="AS194" s="121"/>
      <c r="AT194" s="121"/>
      <c r="AU194" s="121"/>
      <c r="AV194" s="121"/>
      <c r="AW194" s="121"/>
      <c r="AX194" s="121"/>
      <c r="AY194" s="121"/>
      <c r="AZ194" s="121"/>
      <c r="BA194" s="121"/>
      <c r="BB194" s="121"/>
      <c r="BC194" s="121"/>
      <c r="BD194" s="121"/>
      <c r="BE194" s="121"/>
      <c r="BF194" s="121"/>
      <c r="BG194" s="121"/>
      <c r="BH194" s="121"/>
      <c r="BI194" s="121"/>
      <c r="BJ194" s="121"/>
      <c r="BK194" s="121"/>
      <c r="BL194" s="121"/>
      <c r="BM194" s="121"/>
      <c r="BN194" s="121"/>
      <c r="BO194" s="121"/>
      <c r="BP194" s="121"/>
      <c r="BQ194" s="121"/>
      <c r="BR194" s="121"/>
      <c r="BS194" s="121"/>
      <c r="BT194" s="121"/>
      <c r="BU194" s="121"/>
      <c r="BV194" s="121"/>
      <c r="BW194" s="121"/>
      <c r="BX194" s="121"/>
      <c r="BY194" s="121"/>
      <c r="BZ194" s="121"/>
      <c r="CA194" s="121"/>
      <c r="CB194" s="121"/>
      <c r="CC194" s="121"/>
      <c r="CD194" s="121"/>
      <c r="CE194" s="121"/>
      <c r="CF194" s="121"/>
      <c r="CG194" s="121"/>
      <c r="CH194" s="121"/>
      <c r="CI194" s="121"/>
      <c r="CJ194" s="121"/>
      <c r="CK194" s="121"/>
      <c r="CL194" s="121"/>
      <c r="CM194" s="121"/>
      <c r="CN194" s="121"/>
      <c r="CO194" s="121"/>
      <c r="CP194" s="121"/>
      <c r="CQ194" s="121"/>
      <c r="CR194" s="121"/>
      <c r="CS194" s="121"/>
      <c r="CT194" s="121"/>
      <c r="CU194" s="121"/>
      <c r="CV194" s="121"/>
      <c r="CW194" s="121"/>
      <c r="CX194" s="121"/>
      <c r="CY194" s="121"/>
      <c r="CZ194" s="121"/>
      <c r="DA194" s="121"/>
      <c r="DB194" s="121"/>
      <c r="DC194" s="121"/>
      <c r="DD194" s="121"/>
      <c r="DE194" s="121"/>
      <c r="DF194" s="121"/>
      <c r="DG194" s="121"/>
      <c r="DH194" s="121"/>
      <c r="DI194" s="121"/>
      <c r="DJ194" s="121"/>
      <c r="DK194" s="121"/>
      <c r="DL194" s="121"/>
      <c r="DM194" s="121"/>
      <c r="DN194" s="121"/>
      <c r="DO194" s="121"/>
      <c r="DP194" s="121"/>
      <c r="DQ194" s="121"/>
      <c r="DR194" s="121"/>
      <c r="DS194" s="121"/>
      <c r="DT194" s="121"/>
      <c r="DU194" s="121"/>
      <c r="DV194" s="121"/>
      <c r="DW194" s="121"/>
      <c r="DX194" s="121"/>
      <c r="DY194" s="121"/>
      <c r="DZ194" s="121"/>
      <c r="EA194" s="121"/>
      <c r="EB194" s="121"/>
      <c r="EC194" s="121"/>
      <c r="ED194" s="121"/>
      <c r="EE194" s="121"/>
      <c r="EF194" s="121"/>
      <c r="EG194" s="121"/>
      <c r="EH194" s="121"/>
      <c r="EI194" s="121"/>
      <c r="EJ194" s="121"/>
      <c r="EK194" s="121"/>
      <c r="EL194" s="121"/>
      <c r="EM194" s="121"/>
      <c r="EN194" s="121"/>
      <c r="EO194" s="121"/>
      <c r="EP194" s="121"/>
      <c r="EQ194" s="121"/>
      <c r="ER194" s="121"/>
      <c r="ES194" s="121"/>
      <c r="ET194" s="121"/>
      <c r="EU194" s="121"/>
      <c r="EV194" s="121"/>
      <c r="EW194" s="121"/>
      <c r="EX194" s="121"/>
      <c r="EY194" s="121"/>
      <c r="EZ194" s="121"/>
      <c r="FA194" s="121"/>
      <c r="FB194" s="121"/>
      <c r="FC194" s="121"/>
      <c r="FD194" s="121"/>
      <c r="FE194" s="121"/>
      <c r="FF194" s="121"/>
      <c r="FG194" s="121"/>
      <c r="FH194" s="121"/>
      <c r="FI194" s="121"/>
      <c r="FJ194" s="121"/>
      <c r="FK194" s="121"/>
      <c r="FL194" s="121"/>
      <c r="FM194" s="121"/>
      <c r="FN194" s="121"/>
      <c r="FO194" s="121"/>
      <c r="FP194" s="121"/>
      <c r="FQ194" s="121"/>
      <c r="FR194" s="121"/>
      <c r="FS194" s="121"/>
      <c r="FT194" s="121"/>
      <c r="FU194" s="121"/>
      <c r="FV194" s="121"/>
      <c r="FW194" s="121"/>
      <c r="FX194" s="121"/>
      <c r="FY194" s="121"/>
      <c r="FZ194" s="121"/>
      <c r="GA194" s="121"/>
      <c r="GB194" s="121"/>
      <c r="GC194" s="121"/>
      <c r="GD194" s="121"/>
      <c r="GE194" s="121"/>
      <c r="GF194" s="121"/>
      <c r="GG194" s="121"/>
      <c r="GH194" s="121"/>
    </row>
    <row r="195" spans="1:190">
      <c r="A195" s="121"/>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c r="AD195" s="121"/>
      <c r="AE195" s="121"/>
      <c r="AF195" s="121"/>
      <c r="AG195" s="121"/>
      <c r="AH195" s="121"/>
      <c r="AI195" s="121"/>
      <c r="AJ195" s="121"/>
      <c r="AK195" s="121"/>
      <c r="AL195" s="121"/>
      <c r="AM195" s="121"/>
      <c r="AN195" s="121"/>
      <c r="AO195" s="121"/>
      <c r="AP195" s="121"/>
      <c r="AQ195" s="121"/>
      <c r="AR195" s="121"/>
      <c r="AS195" s="121"/>
      <c r="AT195" s="121"/>
      <c r="AU195" s="121"/>
      <c r="AV195" s="121"/>
      <c r="AW195" s="121"/>
      <c r="AX195" s="121"/>
      <c r="AY195" s="121"/>
      <c r="AZ195" s="121"/>
      <c r="BA195" s="121"/>
      <c r="BB195" s="121"/>
      <c r="BC195" s="121"/>
      <c r="BD195" s="121"/>
      <c r="BE195" s="121"/>
      <c r="BF195" s="121"/>
      <c r="BG195" s="121"/>
      <c r="BH195" s="121"/>
      <c r="BI195" s="121"/>
      <c r="BJ195" s="121"/>
      <c r="BK195" s="121"/>
      <c r="BL195" s="121"/>
      <c r="BM195" s="121"/>
      <c r="BN195" s="121"/>
      <c r="BO195" s="121"/>
      <c r="BP195" s="121"/>
      <c r="BQ195" s="121"/>
      <c r="BR195" s="121"/>
      <c r="BS195" s="121"/>
      <c r="BT195" s="121"/>
      <c r="BU195" s="121"/>
      <c r="BV195" s="121"/>
      <c r="BW195" s="121"/>
      <c r="BX195" s="121"/>
      <c r="BY195" s="121"/>
      <c r="BZ195" s="121"/>
      <c r="CA195" s="121"/>
      <c r="CB195" s="121"/>
      <c r="CC195" s="121"/>
      <c r="CD195" s="121"/>
      <c r="CE195" s="121"/>
      <c r="CF195" s="121"/>
      <c r="CG195" s="121"/>
      <c r="CH195" s="121"/>
      <c r="CI195" s="121"/>
      <c r="CJ195" s="121"/>
      <c r="CK195" s="121"/>
      <c r="CL195" s="121"/>
      <c r="CM195" s="121"/>
      <c r="CN195" s="121"/>
      <c r="CO195" s="121"/>
      <c r="CP195" s="121"/>
      <c r="CQ195" s="121"/>
      <c r="CR195" s="121"/>
      <c r="CS195" s="121"/>
      <c r="CT195" s="121"/>
      <c r="CU195" s="121"/>
      <c r="CV195" s="121"/>
      <c r="CW195" s="121"/>
      <c r="CX195" s="121"/>
      <c r="CY195" s="121"/>
      <c r="CZ195" s="121"/>
      <c r="DA195" s="121"/>
      <c r="DB195" s="121"/>
      <c r="DC195" s="121"/>
      <c r="DD195" s="121"/>
      <c r="DE195" s="121"/>
      <c r="DF195" s="121"/>
      <c r="DG195" s="121"/>
      <c r="DH195" s="121"/>
      <c r="DI195" s="121"/>
      <c r="DJ195" s="121"/>
      <c r="DK195" s="121"/>
      <c r="DL195" s="121"/>
      <c r="DM195" s="121"/>
      <c r="DN195" s="121"/>
      <c r="DO195" s="121"/>
      <c r="DP195" s="121"/>
      <c r="DQ195" s="121"/>
      <c r="DR195" s="121"/>
      <c r="DS195" s="121"/>
      <c r="DT195" s="121"/>
      <c r="DU195" s="121"/>
      <c r="DV195" s="121"/>
      <c r="DW195" s="121"/>
      <c r="DX195" s="121"/>
      <c r="DY195" s="121"/>
      <c r="DZ195" s="121"/>
      <c r="EA195" s="121"/>
      <c r="EB195" s="121"/>
      <c r="EC195" s="121"/>
      <c r="ED195" s="121"/>
      <c r="EE195" s="121"/>
      <c r="EF195" s="121"/>
      <c r="EG195" s="121"/>
      <c r="EH195" s="121"/>
      <c r="EI195" s="121"/>
      <c r="EJ195" s="121"/>
      <c r="EK195" s="121"/>
      <c r="EL195" s="121"/>
      <c r="EM195" s="121"/>
      <c r="EN195" s="121"/>
      <c r="EO195" s="121"/>
      <c r="EP195" s="121"/>
      <c r="EQ195" s="121"/>
      <c r="ER195" s="121"/>
      <c r="ES195" s="121"/>
      <c r="ET195" s="121"/>
      <c r="EU195" s="121"/>
      <c r="EV195" s="121"/>
      <c r="EW195" s="121"/>
      <c r="EX195" s="121"/>
      <c r="EY195" s="121"/>
      <c r="EZ195" s="121"/>
      <c r="FA195" s="121"/>
      <c r="FB195" s="121"/>
      <c r="FC195" s="121"/>
      <c r="FD195" s="121"/>
      <c r="FE195" s="121"/>
      <c r="FF195" s="121"/>
      <c r="FG195" s="121"/>
      <c r="FH195" s="121"/>
      <c r="FI195" s="121"/>
      <c r="FJ195" s="121"/>
      <c r="FK195" s="121"/>
      <c r="FL195" s="121"/>
      <c r="FM195" s="121"/>
      <c r="FN195" s="121"/>
      <c r="FO195" s="121"/>
      <c r="FP195" s="121"/>
      <c r="FQ195" s="121"/>
      <c r="FR195" s="121"/>
      <c r="FS195" s="121"/>
      <c r="FT195" s="121"/>
      <c r="FU195" s="121"/>
      <c r="FV195" s="121"/>
      <c r="FW195" s="121"/>
      <c r="FX195" s="121"/>
      <c r="FY195" s="121"/>
      <c r="FZ195" s="121"/>
      <c r="GA195" s="121"/>
      <c r="GB195" s="121"/>
      <c r="GC195" s="121"/>
      <c r="GD195" s="121"/>
      <c r="GE195" s="121"/>
      <c r="GF195" s="121"/>
      <c r="GG195" s="121"/>
      <c r="GH195" s="121"/>
    </row>
    <row r="196" spans="1:190">
      <c r="A196" s="121"/>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c r="AD196" s="121"/>
      <c r="AE196" s="121"/>
      <c r="AF196" s="121"/>
      <c r="AG196" s="121"/>
      <c r="AH196" s="121"/>
      <c r="AI196" s="121"/>
      <c r="AJ196" s="121"/>
      <c r="AK196" s="121"/>
      <c r="AL196" s="121"/>
      <c r="AM196" s="121"/>
      <c r="AN196" s="121"/>
      <c r="AO196" s="121"/>
      <c r="AP196" s="121"/>
      <c r="AQ196" s="121"/>
      <c r="AR196" s="121"/>
      <c r="AS196" s="121"/>
      <c r="AT196" s="121"/>
      <c r="AU196" s="121"/>
      <c r="AV196" s="121"/>
      <c r="AW196" s="121"/>
      <c r="AX196" s="121"/>
      <c r="AY196" s="121"/>
      <c r="AZ196" s="121"/>
      <c r="BA196" s="121"/>
      <c r="BB196" s="121"/>
      <c r="BC196" s="121"/>
      <c r="BD196" s="121"/>
      <c r="BE196" s="121"/>
      <c r="BF196" s="121"/>
      <c r="BG196" s="121"/>
      <c r="BH196" s="121"/>
      <c r="BI196" s="121"/>
      <c r="BJ196" s="121"/>
      <c r="BK196" s="121"/>
      <c r="BL196" s="121"/>
      <c r="BM196" s="121"/>
      <c r="BN196" s="121"/>
      <c r="BO196" s="121"/>
      <c r="BP196" s="121"/>
      <c r="BQ196" s="121"/>
      <c r="BR196" s="121"/>
      <c r="BS196" s="121"/>
      <c r="BT196" s="121"/>
      <c r="BU196" s="121"/>
      <c r="BV196" s="121"/>
      <c r="BW196" s="121"/>
      <c r="BX196" s="121"/>
      <c r="BY196" s="121"/>
      <c r="BZ196" s="121"/>
      <c r="CA196" s="121"/>
      <c r="CB196" s="121"/>
      <c r="CC196" s="121"/>
      <c r="CD196" s="121"/>
      <c r="CE196" s="121"/>
      <c r="CF196" s="121"/>
      <c r="CG196" s="121"/>
      <c r="CH196" s="121"/>
      <c r="CI196" s="121"/>
      <c r="CJ196" s="121"/>
      <c r="CK196" s="121"/>
      <c r="CL196" s="121"/>
      <c r="CM196" s="121"/>
      <c r="CN196" s="121"/>
      <c r="CO196" s="121"/>
      <c r="CP196" s="121"/>
      <c r="CQ196" s="121"/>
      <c r="CR196" s="121"/>
      <c r="CS196" s="121"/>
      <c r="CT196" s="121"/>
      <c r="CU196" s="121"/>
      <c r="CV196" s="121"/>
      <c r="CW196" s="121"/>
      <c r="CX196" s="121"/>
      <c r="CY196" s="121"/>
      <c r="CZ196" s="121"/>
      <c r="DA196" s="121"/>
      <c r="DB196" s="121"/>
      <c r="DC196" s="121"/>
      <c r="DD196" s="121"/>
      <c r="DE196" s="121"/>
      <c r="DF196" s="121"/>
      <c r="DG196" s="121"/>
      <c r="DH196" s="121"/>
      <c r="DI196" s="121"/>
      <c r="DJ196" s="121"/>
      <c r="DK196" s="121"/>
      <c r="DL196" s="121"/>
      <c r="DM196" s="121"/>
      <c r="DN196" s="121"/>
      <c r="DO196" s="121"/>
      <c r="DP196" s="121"/>
      <c r="DQ196" s="121"/>
      <c r="DR196" s="121"/>
      <c r="DS196" s="121"/>
      <c r="DT196" s="121"/>
      <c r="DU196" s="121"/>
      <c r="DV196" s="121"/>
      <c r="DW196" s="121"/>
      <c r="DX196" s="121"/>
      <c r="DY196" s="121"/>
      <c r="DZ196" s="121"/>
      <c r="EA196" s="121"/>
      <c r="EB196" s="121"/>
      <c r="EC196" s="121"/>
      <c r="ED196" s="121"/>
      <c r="EE196" s="121"/>
      <c r="EF196" s="121"/>
      <c r="EG196" s="121"/>
      <c r="EH196" s="121"/>
      <c r="EI196" s="121"/>
      <c r="EJ196" s="121"/>
      <c r="EK196" s="121"/>
      <c r="EL196" s="121"/>
      <c r="EM196" s="121"/>
      <c r="EN196" s="121"/>
      <c r="EO196" s="121"/>
      <c r="EP196" s="121"/>
      <c r="EQ196" s="121"/>
      <c r="ER196" s="121"/>
      <c r="ES196" s="121"/>
      <c r="ET196" s="121"/>
      <c r="EU196" s="121"/>
      <c r="EV196" s="121"/>
      <c r="EW196" s="121"/>
      <c r="EX196" s="121"/>
      <c r="EY196" s="121"/>
      <c r="EZ196" s="121"/>
      <c r="FA196" s="121"/>
      <c r="FB196" s="121"/>
      <c r="FC196" s="121"/>
      <c r="FD196" s="121"/>
      <c r="FE196" s="121"/>
      <c r="FF196" s="121"/>
      <c r="FG196" s="121"/>
      <c r="FH196" s="121"/>
      <c r="FI196" s="121"/>
      <c r="FJ196" s="121"/>
      <c r="FK196" s="121"/>
      <c r="FL196" s="121"/>
      <c r="FM196" s="121"/>
      <c r="FN196" s="121"/>
      <c r="FO196" s="121"/>
      <c r="FP196" s="121"/>
      <c r="FQ196" s="121"/>
      <c r="FR196" s="121"/>
      <c r="FS196" s="121"/>
      <c r="FT196" s="121"/>
      <c r="FU196" s="121"/>
      <c r="FV196" s="121"/>
      <c r="FW196" s="121"/>
      <c r="FX196" s="121"/>
      <c r="FY196" s="121"/>
      <c r="FZ196" s="121"/>
      <c r="GA196" s="121"/>
      <c r="GB196" s="121"/>
      <c r="GC196" s="121"/>
      <c r="GD196" s="121"/>
      <c r="GE196" s="121"/>
      <c r="GF196" s="121"/>
      <c r="GG196" s="121"/>
      <c r="GH196" s="121"/>
    </row>
    <row r="197" spans="1:190">
      <c r="A197" s="121"/>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c r="AD197" s="121"/>
      <c r="AE197" s="121"/>
      <c r="AF197" s="121"/>
      <c r="AG197" s="121"/>
      <c r="AH197" s="121"/>
      <c r="AI197" s="121"/>
      <c r="AJ197" s="121"/>
      <c r="AK197" s="121"/>
      <c r="AL197" s="121"/>
      <c r="AM197" s="121"/>
      <c r="AN197" s="121"/>
      <c r="AO197" s="121"/>
      <c r="AP197" s="121"/>
      <c r="AQ197" s="121"/>
      <c r="AR197" s="121"/>
      <c r="AS197" s="121"/>
      <c r="AT197" s="121"/>
      <c r="AU197" s="121"/>
      <c r="AV197" s="121"/>
      <c r="AW197" s="121"/>
      <c r="AX197" s="121"/>
      <c r="AY197" s="121"/>
      <c r="AZ197" s="121"/>
      <c r="BA197" s="121"/>
      <c r="BB197" s="121"/>
      <c r="BC197" s="121"/>
      <c r="BD197" s="121"/>
      <c r="BE197" s="121"/>
      <c r="BF197" s="121"/>
      <c r="BG197" s="121"/>
      <c r="BH197" s="121"/>
      <c r="BI197" s="121"/>
      <c r="BJ197" s="121"/>
      <c r="BK197" s="121"/>
      <c r="BL197" s="121"/>
      <c r="BM197" s="121"/>
      <c r="BN197" s="121"/>
      <c r="BO197" s="121"/>
      <c r="BP197" s="121"/>
      <c r="BQ197" s="121"/>
      <c r="BR197" s="121"/>
      <c r="BS197" s="121"/>
      <c r="BT197" s="121"/>
      <c r="BU197" s="121"/>
      <c r="BV197" s="121"/>
      <c r="BW197" s="121"/>
      <c r="BX197" s="121"/>
      <c r="BY197" s="121"/>
      <c r="BZ197" s="121"/>
      <c r="CA197" s="121"/>
      <c r="CB197" s="121"/>
      <c r="CC197" s="121"/>
      <c r="CD197" s="121"/>
      <c r="CE197" s="121"/>
      <c r="CF197" s="121"/>
      <c r="CG197" s="121"/>
      <c r="CH197" s="121"/>
      <c r="CI197" s="121"/>
      <c r="CJ197" s="121"/>
      <c r="CK197" s="121"/>
      <c r="CL197" s="121"/>
      <c r="CM197" s="121"/>
      <c r="CN197" s="121"/>
      <c r="CO197" s="121"/>
      <c r="CP197" s="121"/>
      <c r="CQ197" s="121"/>
      <c r="CR197" s="121"/>
      <c r="CS197" s="121"/>
      <c r="CT197" s="121"/>
      <c r="CU197" s="121"/>
      <c r="CV197" s="121"/>
      <c r="CW197" s="121"/>
      <c r="CX197" s="121"/>
      <c r="CY197" s="121"/>
      <c r="CZ197" s="121"/>
      <c r="DA197" s="121"/>
      <c r="DB197" s="121"/>
      <c r="DC197" s="121"/>
      <c r="DD197" s="121"/>
      <c r="DE197" s="121"/>
      <c r="DF197" s="121"/>
      <c r="DG197" s="121"/>
      <c r="DH197" s="121"/>
      <c r="DI197" s="121"/>
      <c r="DJ197" s="121"/>
      <c r="DK197" s="121"/>
      <c r="DL197" s="121"/>
      <c r="DM197" s="121"/>
      <c r="DN197" s="121"/>
      <c r="DO197" s="121"/>
      <c r="DP197" s="121"/>
      <c r="DQ197" s="121"/>
      <c r="DR197" s="121"/>
      <c r="DS197" s="121"/>
      <c r="DT197" s="121"/>
      <c r="DU197" s="121"/>
      <c r="DV197" s="121"/>
      <c r="DW197" s="121"/>
      <c r="DX197" s="121"/>
      <c r="DY197" s="121"/>
      <c r="DZ197" s="121"/>
      <c r="EA197" s="121"/>
      <c r="EB197" s="121"/>
      <c r="EC197" s="121"/>
      <c r="ED197" s="121"/>
      <c r="EE197" s="121"/>
      <c r="EF197" s="121"/>
      <c r="EG197" s="121"/>
      <c r="EH197" s="121"/>
      <c r="EI197" s="121"/>
      <c r="EJ197" s="121"/>
      <c r="EK197" s="121"/>
      <c r="EL197" s="121"/>
      <c r="EM197" s="121"/>
      <c r="EN197" s="121"/>
      <c r="EO197" s="121"/>
      <c r="EP197" s="121"/>
      <c r="EQ197" s="121"/>
      <c r="ER197" s="121"/>
      <c r="ES197" s="121"/>
      <c r="ET197" s="121"/>
      <c r="EU197" s="121"/>
      <c r="EV197" s="121"/>
      <c r="EW197" s="121"/>
      <c r="EX197" s="121"/>
      <c r="EY197" s="121"/>
      <c r="EZ197" s="121"/>
      <c r="FA197" s="121"/>
      <c r="FB197" s="121"/>
      <c r="FC197" s="121"/>
      <c r="FD197" s="121"/>
      <c r="FE197" s="121"/>
      <c r="FF197" s="121"/>
      <c r="FG197" s="121"/>
      <c r="FH197" s="121"/>
      <c r="FI197" s="121"/>
      <c r="FJ197" s="121"/>
      <c r="FK197" s="121"/>
      <c r="FL197" s="121"/>
      <c r="FM197" s="121"/>
      <c r="FN197" s="121"/>
      <c r="FO197" s="121"/>
      <c r="FP197" s="121"/>
      <c r="FQ197" s="121"/>
      <c r="FR197" s="121"/>
      <c r="FS197" s="121"/>
      <c r="FT197" s="121"/>
      <c r="FU197" s="121"/>
      <c r="FV197" s="121"/>
      <c r="FW197" s="121"/>
      <c r="FX197" s="121"/>
      <c r="FY197" s="121"/>
      <c r="FZ197" s="121"/>
      <c r="GA197" s="121"/>
      <c r="GB197" s="121"/>
      <c r="GC197" s="121"/>
      <c r="GD197" s="121"/>
      <c r="GE197" s="121"/>
      <c r="GF197" s="121"/>
      <c r="GG197" s="121"/>
      <c r="GH197" s="121"/>
    </row>
    <row r="198" spans="1:190">
      <c r="A198" s="121"/>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c r="AD198" s="121"/>
      <c r="AE198" s="121"/>
      <c r="AF198" s="121"/>
      <c r="AG198" s="121"/>
      <c r="AH198" s="121"/>
      <c r="AI198" s="121"/>
      <c r="AJ198" s="121"/>
      <c r="AK198" s="121"/>
      <c r="AL198" s="121"/>
      <c r="AM198" s="121"/>
      <c r="AN198" s="121"/>
      <c r="AO198" s="121"/>
      <c r="AP198" s="121"/>
      <c r="AQ198" s="121"/>
      <c r="AR198" s="121"/>
      <c r="AS198" s="121"/>
      <c r="AT198" s="121"/>
      <c r="AU198" s="121"/>
      <c r="AV198" s="121"/>
      <c r="AW198" s="121"/>
      <c r="AX198" s="121"/>
      <c r="AY198" s="121"/>
      <c r="AZ198" s="121"/>
      <c r="BA198" s="121"/>
      <c r="BB198" s="121"/>
      <c r="BC198" s="121"/>
      <c r="BD198" s="121"/>
      <c r="BE198" s="121"/>
      <c r="BF198" s="121"/>
      <c r="BG198" s="121"/>
      <c r="BH198" s="121"/>
      <c r="BI198" s="121"/>
      <c r="BJ198" s="121"/>
      <c r="BK198" s="121"/>
      <c r="BL198" s="121"/>
      <c r="BM198" s="121"/>
      <c r="BN198" s="121"/>
      <c r="BO198" s="121"/>
      <c r="BP198" s="121"/>
      <c r="BQ198" s="121"/>
      <c r="BR198" s="121"/>
      <c r="BS198" s="121"/>
      <c r="BT198" s="121"/>
      <c r="BU198" s="121"/>
      <c r="BV198" s="121"/>
      <c r="BW198" s="121"/>
      <c r="BX198" s="121"/>
      <c r="BY198" s="121"/>
      <c r="BZ198" s="121"/>
      <c r="CA198" s="121"/>
      <c r="CB198" s="121"/>
      <c r="CC198" s="121"/>
      <c r="CD198" s="121"/>
      <c r="CE198" s="121"/>
      <c r="CF198" s="121"/>
      <c r="CG198" s="121"/>
      <c r="CH198" s="121"/>
      <c r="CI198" s="121"/>
      <c r="CJ198" s="121"/>
      <c r="CK198" s="121"/>
      <c r="CL198" s="121"/>
      <c r="CM198" s="121"/>
      <c r="CN198" s="121"/>
      <c r="CO198" s="121"/>
      <c r="CP198" s="121"/>
      <c r="CQ198" s="121"/>
      <c r="CR198" s="121"/>
      <c r="CS198" s="121"/>
      <c r="CT198" s="121"/>
      <c r="CU198" s="121"/>
      <c r="CV198" s="121"/>
      <c r="CW198" s="121"/>
      <c r="CX198" s="121"/>
      <c r="CY198" s="121"/>
      <c r="CZ198" s="121"/>
      <c r="DA198" s="121"/>
      <c r="DB198" s="121"/>
      <c r="DC198" s="121"/>
      <c r="DD198" s="121"/>
      <c r="DE198" s="121"/>
      <c r="DF198" s="121"/>
      <c r="DG198" s="121"/>
      <c r="DH198" s="121"/>
      <c r="DI198" s="121"/>
      <c r="DJ198" s="121"/>
      <c r="DK198" s="121"/>
      <c r="DL198" s="121"/>
      <c r="DM198" s="121"/>
      <c r="DN198" s="121"/>
      <c r="DO198" s="121"/>
      <c r="DP198" s="121"/>
      <c r="DQ198" s="121"/>
      <c r="DR198" s="121"/>
      <c r="DS198" s="121"/>
      <c r="DT198" s="121"/>
      <c r="DU198" s="121"/>
      <c r="DV198" s="121"/>
      <c r="DW198" s="121"/>
      <c r="DX198" s="121"/>
      <c r="DY198" s="121"/>
      <c r="DZ198" s="121"/>
      <c r="EA198" s="121"/>
      <c r="EB198" s="121"/>
      <c r="EC198" s="121"/>
      <c r="ED198" s="121"/>
      <c r="EE198" s="121"/>
      <c r="EF198" s="121"/>
      <c r="EG198" s="121"/>
      <c r="EH198" s="121"/>
      <c r="EI198" s="121"/>
      <c r="EJ198" s="121"/>
      <c r="EK198" s="121"/>
      <c r="EL198" s="121"/>
      <c r="EM198" s="121"/>
      <c r="EN198" s="121"/>
      <c r="EO198" s="121"/>
      <c r="EP198" s="121"/>
      <c r="EQ198" s="121"/>
      <c r="ER198" s="121"/>
      <c r="ES198" s="121"/>
      <c r="ET198" s="121"/>
      <c r="EU198" s="121"/>
      <c r="EV198" s="121"/>
      <c r="EW198" s="121"/>
      <c r="EX198" s="121"/>
      <c r="EY198" s="121"/>
      <c r="EZ198" s="121"/>
      <c r="FA198" s="121"/>
      <c r="FB198" s="121"/>
      <c r="FC198" s="121"/>
      <c r="FD198" s="121"/>
      <c r="FE198" s="121"/>
      <c r="FF198" s="121"/>
      <c r="FG198" s="121"/>
      <c r="FH198" s="121"/>
      <c r="FI198" s="121"/>
      <c r="FJ198" s="121"/>
      <c r="FK198" s="121"/>
      <c r="FL198" s="121"/>
      <c r="FM198" s="121"/>
      <c r="FN198" s="121"/>
      <c r="FO198" s="121"/>
      <c r="FP198" s="121"/>
      <c r="FQ198" s="121"/>
      <c r="FR198" s="121"/>
      <c r="FS198" s="121"/>
      <c r="FT198" s="121"/>
      <c r="FU198" s="121"/>
      <c r="FV198" s="121"/>
      <c r="FW198" s="121"/>
      <c r="FX198" s="121"/>
      <c r="FY198" s="121"/>
      <c r="FZ198" s="121"/>
      <c r="GA198" s="121"/>
      <c r="GB198" s="121"/>
      <c r="GC198" s="121"/>
      <c r="GD198" s="121"/>
      <c r="GE198" s="121"/>
      <c r="GF198" s="121"/>
      <c r="GG198" s="121"/>
      <c r="GH198" s="121"/>
    </row>
    <row r="199" spans="1:190">
      <c r="A199" s="121"/>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c r="AD199" s="121"/>
      <c r="AE199" s="121"/>
      <c r="AF199" s="121"/>
      <c r="AG199" s="121"/>
      <c r="AH199" s="121"/>
      <c r="AI199" s="121"/>
      <c r="AJ199" s="121"/>
      <c r="AK199" s="121"/>
      <c r="AL199" s="121"/>
      <c r="AM199" s="121"/>
      <c r="AN199" s="121"/>
      <c r="AO199" s="121"/>
      <c r="AP199" s="121"/>
      <c r="AQ199" s="121"/>
      <c r="AR199" s="121"/>
      <c r="AS199" s="121"/>
      <c r="AT199" s="121"/>
      <c r="AU199" s="121"/>
      <c r="AV199" s="121"/>
      <c r="AW199" s="121"/>
      <c r="AX199" s="121"/>
      <c r="AY199" s="121"/>
      <c r="AZ199" s="121"/>
      <c r="BA199" s="121"/>
      <c r="BB199" s="121"/>
      <c r="BC199" s="121"/>
      <c r="BD199" s="121"/>
      <c r="BE199" s="121"/>
      <c r="BF199" s="121"/>
      <c r="BG199" s="121"/>
      <c r="BH199" s="121"/>
      <c r="BI199" s="121"/>
      <c r="BJ199" s="121"/>
      <c r="BK199" s="121"/>
      <c r="BL199" s="121"/>
      <c r="BM199" s="121"/>
      <c r="BN199" s="121"/>
      <c r="BO199" s="121"/>
      <c r="BP199" s="121"/>
      <c r="BQ199" s="121"/>
      <c r="BR199" s="121"/>
      <c r="BS199" s="121"/>
      <c r="BT199" s="121"/>
      <c r="BU199" s="121"/>
      <c r="BV199" s="121"/>
      <c r="BW199" s="121"/>
      <c r="BX199" s="121"/>
      <c r="BY199" s="121"/>
      <c r="BZ199" s="121"/>
      <c r="CA199" s="121"/>
      <c r="CB199" s="121"/>
      <c r="CC199" s="121"/>
      <c r="CD199" s="121"/>
      <c r="CE199" s="121"/>
      <c r="CF199" s="121"/>
      <c r="CG199" s="121"/>
      <c r="CH199" s="121"/>
      <c r="CI199" s="121"/>
      <c r="CJ199" s="121"/>
      <c r="CK199" s="121"/>
      <c r="CL199" s="121"/>
      <c r="CM199" s="121"/>
      <c r="CN199" s="121"/>
      <c r="CO199" s="121"/>
      <c r="CP199" s="121"/>
      <c r="CQ199" s="121"/>
      <c r="CR199" s="121"/>
      <c r="CS199" s="121"/>
      <c r="CT199" s="121"/>
      <c r="CU199" s="121"/>
      <c r="CV199" s="121"/>
      <c r="CW199" s="121"/>
      <c r="CX199" s="121"/>
      <c r="CY199" s="121"/>
      <c r="CZ199" s="121"/>
      <c r="DA199" s="121"/>
      <c r="DB199" s="121"/>
      <c r="DC199" s="121"/>
      <c r="DD199" s="121"/>
      <c r="DE199" s="121"/>
      <c r="DF199" s="121"/>
      <c r="DG199" s="121"/>
      <c r="DH199" s="121"/>
      <c r="DI199" s="121"/>
      <c r="DJ199" s="121"/>
      <c r="DK199" s="121"/>
      <c r="DL199" s="121"/>
      <c r="DM199" s="121"/>
      <c r="DN199" s="121"/>
      <c r="DO199" s="121"/>
      <c r="DP199" s="121"/>
      <c r="DQ199" s="121"/>
      <c r="DR199" s="121"/>
      <c r="DS199" s="121"/>
      <c r="DT199" s="121"/>
      <c r="DU199" s="121"/>
      <c r="DV199" s="121"/>
      <c r="DW199" s="121"/>
      <c r="DX199" s="121"/>
      <c r="DY199" s="121"/>
      <c r="DZ199" s="121"/>
      <c r="EA199" s="121"/>
      <c r="EB199" s="121"/>
      <c r="EC199" s="121"/>
      <c r="ED199" s="121"/>
      <c r="EE199" s="121"/>
      <c r="EF199" s="121"/>
      <c r="EG199" s="121"/>
      <c r="EH199" s="121"/>
      <c r="EI199" s="121"/>
      <c r="EJ199" s="121"/>
      <c r="EK199" s="121"/>
      <c r="EL199" s="121"/>
      <c r="EM199" s="121"/>
      <c r="EN199" s="121"/>
      <c r="EO199" s="121"/>
      <c r="EP199" s="121"/>
      <c r="EQ199" s="121"/>
      <c r="ER199" s="121"/>
      <c r="ES199" s="121"/>
      <c r="ET199" s="121"/>
      <c r="EU199" s="121"/>
      <c r="EV199" s="121"/>
      <c r="EW199" s="121"/>
      <c r="EX199" s="121"/>
      <c r="EY199" s="121"/>
      <c r="EZ199" s="121"/>
      <c r="FA199" s="121"/>
      <c r="FB199" s="121"/>
      <c r="FC199" s="121"/>
      <c r="FD199" s="121"/>
      <c r="FE199" s="121"/>
      <c r="FF199" s="121"/>
      <c r="FG199" s="121"/>
      <c r="FH199" s="121"/>
      <c r="FI199" s="121"/>
      <c r="FJ199" s="121"/>
      <c r="FK199" s="121"/>
      <c r="FL199" s="121"/>
      <c r="FM199" s="121"/>
      <c r="FN199" s="121"/>
      <c r="FO199" s="121"/>
      <c r="FP199" s="121"/>
      <c r="FQ199" s="121"/>
      <c r="FR199" s="121"/>
      <c r="FS199" s="121"/>
      <c r="FT199" s="121"/>
      <c r="FU199" s="121"/>
      <c r="FV199" s="121"/>
      <c r="FW199" s="121"/>
      <c r="FX199" s="121"/>
      <c r="FY199" s="121"/>
      <c r="FZ199" s="121"/>
      <c r="GA199" s="121"/>
      <c r="GB199" s="121"/>
      <c r="GC199" s="121"/>
      <c r="GD199" s="121"/>
      <c r="GE199" s="121"/>
      <c r="GF199" s="121"/>
      <c r="GG199" s="121"/>
      <c r="GH199" s="121"/>
    </row>
    <row r="200" spans="1:190">
      <c r="A200" s="121"/>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c r="AD200" s="121"/>
      <c r="AE200" s="121"/>
      <c r="AF200" s="121"/>
      <c r="AG200" s="121"/>
      <c r="AH200" s="121"/>
      <c r="AI200" s="121"/>
      <c r="AJ200" s="121"/>
      <c r="AK200" s="121"/>
      <c r="AL200" s="121"/>
      <c r="AM200" s="121"/>
      <c r="AN200" s="121"/>
      <c r="AO200" s="121"/>
      <c r="AP200" s="121"/>
      <c r="AQ200" s="121"/>
      <c r="AR200" s="121"/>
      <c r="AS200" s="121"/>
      <c r="AT200" s="121"/>
      <c r="AU200" s="121"/>
      <c r="AV200" s="121"/>
      <c r="AW200" s="121"/>
      <c r="AX200" s="121"/>
      <c r="AY200" s="121"/>
      <c r="AZ200" s="121"/>
      <c r="BA200" s="121"/>
      <c r="BB200" s="121"/>
      <c r="BC200" s="121"/>
      <c r="BD200" s="121"/>
      <c r="BE200" s="121"/>
      <c r="BF200" s="121"/>
      <c r="BG200" s="121"/>
      <c r="BH200" s="121"/>
      <c r="BI200" s="121"/>
      <c r="BJ200" s="121"/>
      <c r="BK200" s="121"/>
      <c r="BL200" s="121"/>
      <c r="BM200" s="121"/>
      <c r="BN200" s="121"/>
      <c r="BO200" s="121"/>
      <c r="BP200" s="121"/>
      <c r="BQ200" s="121"/>
      <c r="BR200" s="121"/>
      <c r="BS200" s="121"/>
      <c r="BT200" s="121"/>
      <c r="BU200" s="121"/>
      <c r="BV200" s="121"/>
      <c r="BW200" s="121"/>
      <c r="BX200" s="121"/>
      <c r="BY200" s="121"/>
      <c r="BZ200" s="121"/>
      <c r="CA200" s="121"/>
      <c r="CB200" s="121"/>
      <c r="CC200" s="121"/>
      <c r="CD200" s="121"/>
      <c r="CE200" s="121"/>
      <c r="CF200" s="121"/>
      <c r="CG200" s="121"/>
      <c r="CH200" s="121"/>
      <c r="CI200" s="121"/>
      <c r="CJ200" s="121"/>
      <c r="CK200" s="121"/>
      <c r="CL200" s="121"/>
      <c r="CM200" s="121"/>
      <c r="CN200" s="121"/>
      <c r="CO200" s="121"/>
      <c r="CP200" s="121"/>
      <c r="CQ200" s="121"/>
      <c r="CR200" s="121"/>
      <c r="CS200" s="121"/>
      <c r="CT200" s="121"/>
      <c r="CU200" s="121"/>
      <c r="CV200" s="121"/>
      <c r="CW200" s="121"/>
      <c r="CX200" s="121"/>
      <c r="CY200" s="121"/>
      <c r="CZ200" s="121"/>
      <c r="DA200" s="121"/>
      <c r="DB200" s="121"/>
      <c r="DC200" s="121"/>
      <c r="DD200" s="121"/>
      <c r="DE200" s="121"/>
      <c r="DF200" s="121"/>
      <c r="DG200" s="121"/>
      <c r="DH200" s="121"/>
      <c r="DI200" s="121"/>
      <c r="DJ200" s="121"/>
      <c r="DK200" s="121"/>
      <c r="DL200" s="121"/>
      <c r="DM200" s="121"/>
      <c r="DN200" s="121"/>
      <c r="DO200" s="121"/>
      <c r="DP200" s="121"/>
      <c r="DQ200" s="121"/>
      <c r="DR200" s="121"/>
      <c r="DS200" s="121"/>
      <c r="DT200" s="121"/>
      <c r="DU200" s="121"/>
      <c r="DV200" s="121"/>
      <c r="DW200" s="121"/>
      <c r="DX200" s="121"/>
      <c r="DY200" s="121"/>
      <c r="DZ200" s="121"/>
      <c r="EA200" s="121"/>
      <c r="EB200" s="121"/>
      <c r="EC200" s="121"/>
      <c r="ED200" s="121"/>
      <c r="EE200" s="121"/>
      <c r="EF200" s="121"/>
      <c r="EG200" s="121"/>
      <c r="EH200" s="121"/>
      <c r="EI200" s="121"/>
      <c r="EJ200" s="121"/>
      <c r="EK200" s="121"/>
      <c r="EL200" s="121"/>
      <c r="EM200" s="121"/>
      <c r="EN200" s="121"/>
      <c r="EO200" s="121"/>
      <c r="EP200" s="121"/>
      <c r="EQ200" s="121"/>
      <c r="ER200" s="121"/>
      <c r="ES200" s="121"/>
      <c r="ET200" s="121"/>
      <c r="EU200" s="121"/>
      <c r="EV200" s="121"/>
      <c r="EW200" s="121"/>
      <c r="EX200" s="121"/>
      <c r="EY200" s="121"/>
      <c r="EZ200" s="121"/>
      <c r="FA200" s="121"/>
      <c r="FB200" s="121"/>
      <c r="FC200" s="121"/>
      <c r="FD200" s="121"/>
      <c r="FE200" s="121"/>
      <c r="FF200" s="121"/>
      <c r="FG200" s="121"/>
      <c r="FH200" s="121"/>
      <c r="FI200" s="121"/>
      <c r="FJ200" s="121"/>
      <c r="FK200" s="121"/>
      <c r="FL200" s="121"/>
      <c r="FM200" s="121"/>
      <c r="FN200" s="121"/>
      <c r="FO200" s="121"/>
      <c r="FP200" s="121"/>
      <c r="FQ200" s="121"/>
      <c r="FR200" s="121"/>
      <c r="FS200" s="121"/>
      <c r="FT200" s="121"/>
      <c r="FU200" s="121"/>
      <c r="FV200" s="121"/>
      <c r="FW200" s="121"/>
      <c r="FX200" s="121"/>
      <c r="FY200" s="121"/>
      <c r="FZ200" s="121"/>
      <c r="GA200" s="121"/>
      <c r="GB200" s="121"/>
      <c r="GC200" s="121"/>
      <c r="GD200" s="121"/>
      <c r="GE200" s="121"/>
      <c r="GF200" s="121"/>
      <c r="GG200" s="121"/>
      <c r="GH200" s="121"/>
    </row>
    <row r="201" spans="1:190">
      <c r="A201" s="121"/>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c r="AD201" s="121"/>
      <c r="AE201" s="121"/>
      <c r="AF201" s="121"/>
      <c r="AG201" s="121"/>
      <c r="AH201" s="121"/>
      <c r="AI201" s="121"/>
      <c r="AJ201" s="121"/>
      <c r="AK201" s="121"/>
      <c r="AL201" s="121"/>
      <c r="AM201" s="121"/>
      <c r="AN201" s="121"/>
      <c r="AO201" s="121"/>
      <c r="AP201" s="121"/>
      <c r="AQ201" s="121"/>
      <c r="AR201" s="121"/>
      <c r="AS201" s="121"/>
      <c r="AT201" s="121"/>
      <c r="AU201" s="121"/>
      <c r="AV201" s="121"/>
      <c r="AW201" s="121"/>
      <c r="AX201" s="121"/>
      <c r="AY201" s="121"/>
      <c r="AZ201" s="121"/>
      <c r="BA201" s="121"/>
      <c r="BB201" s="121"/>
      <c r="BC201" s="121"/>
      <c r="BD201" s="121"/>
      <c r="BE201" s="121"/>
      <c r="BF201" s="121"/>
      <c r="BG201" s="121"/>
      <c r="BH201" s="121"/>
      <c r="BI201" s="121"/>
      <c r="BJ201" s="121"/>
      <c r="BK201" s="121"/>
      <c r="BL201" s="121"/>
      <c r="BM201" s="121"/>
      <c r="BN201" s="121"/>
      <c r="BO201" s="121"/>
      <c r="BP201" s="121"/>
      <c r="BQ201" s="121"/>
      <c r="BR201" s="121"/>
      <c r="BS201" s="121"/>
      <c r="BT201" s="121"/>
      <c r="BU201" s="121"/>
      <c r="BV201" s="121"/>
      <c r="BW201" s="121"/>
      <c r="BX201" s="121"/>
      <c r="BY201" s="121"/>
      <c r="BZ201" s="121"/>
      <c r="CA201" s="121"/>
      <c r="CB201" s="121"/>
      <c r="CC201" s="121"/>
      <c r="CD201" s="121"/>
      <c r="CE201" s="121"/>
      <c r="CF201" s="121"/>
      <c r="CG201" s="121"/>
      <c r="CH201" s="121"/>
      <c r="CI201" s="121"/>
      <c r="CJ201" s="121"/>
      <c r="CK201" s="121"/>
      <c r="CL201" s="121"/>
      <c r="CM201" s="121"/>
      <c r="CN201" s="121"/>
      <c r="CO201" s="121"/>
      <c r="CP201" s="121"/>
      <c r="CQ201" s="121"/>
      <c r="CR201" s="121"/>
      <c r="CS201" s="121"/>
      <c r="CT201" s="121"/>
      <c r="CU201" s="121"/>
      <c r="CV201" s="121"/>
      <c r="CW201" s="121"/>
      <c r="CX201" s="121"/>
      <c r="CY201" s="121"/>
      <c r="CZ201" s="121"/>
      <c r="DA201" s="121"/>
      <c r="DB201" s="121"/>
      <c r="DC201" s="121"/>
      <c r="DD201" s="121"/>
      <c r="DE201" s="121"/>
      <c r="DF201" s="121"/>
      <c r="DG201" s="121"/>
      <c r="DH201" s="121"/>
      <c r="DI201" s="121"/>
      <c r="DJ201" s="121"/>
      <c r="DK201" s="121"/>
      <c r="DL201" s="121"/>
      <c r="DM201" s="121"/>
      <c r="DN201" s="121"/>
      <c r="DO201" s="121"/>
      <c r="DP201" s="121"/>
      <c r="DQ201" s="121"/>
      <c r="DR201" s="121"/>
      <c r="DS201" s="121"/>
      <c r="DT201" s="121"/>
      <c r="DU201" s="121"/>
      <c r="DV201" s="121"/>
      <c r="DW201" s="121"/>
      <c r="DX201" s="121"/>
      <c r="DY201" s="121"/>
      <c r="DZ201" s="121"/>
      <c r="EA201" s="121"/>
      <c r="EB201" s="121"/>
      <c r="EC201" s="121"/>
      <c r="ED201" s="121"/>
      <c r="EE201" s="121"/>
      <c r="EF201" s="121"/>
      <c r="EG201" s="121"/>
      <c r="EH201" s="121"/>
      <c r="EI201" s="121"/>
      <c r="EJ201" s="121"/>
      <c r="EK201" s="121"/>
      <c r="EL201" s="121"/>
      <c r="EM201" s="121"/>
      <c r="EN201" s="121"/>
      <c r="EO201" s="121"/>
      <c r="EP201" s="121"/>
      <c r="EQ201" s="121"/>
      <c r="ER201" s="121"/>
      <c r="ES201" s="121"/>
      <c r="ET201" s="121"/>
      <c r="EU201" s="121"/>
      <c r="EV201" s="121"/>
      <c r="EW201" s="121"/>
      <c r="EX201" s="121"/>
      <c r="EY201" s="121"/>
      <c r="EZ201" s="121"/>
      <c r="FA201" s="121"/>
      <c r="FB201" s="121"/>
      <c r="FC201" s="121"/>
      <c r="FD201" s="121"/>
      <c r="FE201" s="121"/>
      <c r="FF201" s="121"/>
      <c r="FG201" s="121"/>
      <c r="FH201" s="121"/>
      <c r="FI201" s="121"/>
      <c r="FJ201" s="121"/>
      <c r="FK201" s="121"/>
      <c r="FL201" s="121"/>
      <c r="FM201" s="121"/>
      <c r="FN201" s="121"/>
      <c r="FO201" s="121"/>
      <c r="FP201" s="121"/>
      <c r="FQ201" s="121"/>
      <c r="FR201" s="121"/>
      <c r="FS201" s="121"/>
      <c r="FT201" s="121"/>
      <c r="FU201" s="121"/>
      <c r="FV201" s="121"/>
      <c r="FW201" s="121"/>
      <c r="FX201" s="121"/>
      <c r="FY201" s="121"/>
      <c r="FZ201" s="121"/>
      <c r="GA201" s="121"/>
      <c r="GB201" s="121"/>
      <c r="GC201" s="121"/>
      <c r="GD201" s="121"/>
      <c r="GE201" s="121"/>
      <c r="GF201" s="121"/>
      <c r="GG201" s="121"/>
      <c r="GH201" s="121"/>
    </row>
    <row r="202" spans="1:190">
      <c r="A202" s="121"/>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c r="AD202" s="121"/>
      <c r="AE202" s="121"/>
      <c r="AF202" s="121"/>
      <c r="AG202" s="121"/>
      <c r="AH202" s="121"/>
      <c r="AI202" s="121"/>
      <c r="AJ202" s="121"/>
      <c r="AK202" s="121"/>
      <c r="AL202" s="121"/>
      <c r="AM202" s="121"/>
      <c r="AN202" s="121"/>
      <c r="AO202" s="121"/>
      <c r="AP202" s="121"/>
      <c r="AQ202" s="121"/>
      <c r="AR202" s="121"/>
      <c r="AS202" s="121"/>
      <c r="AT202" s="121"/>
      <c r="AU202" s="121"/>
      <c r="AV202" s="121"/>
      <c r="AW202" s="121"/>
      <c r="AX202" s="121"/>
      <c r="AY202" s="121"/>
      <c r="AZ202" s="121"/>
      <c r="BA202" s="121"/>
      <c r="BB202" s="121"/>
      <c r="BC202" s="121"/>
      <c r="BD202" s="121"/>
      <c r="BE202" s="121"/>
      <c r="BF202" s="121"/>
      <c r="BG202" s="121"/>
      <c r="BH202" s="121"/>
      <c r="BI202" s="121"/>
      <c r="BJ202" s="121"/>
      <c r="BK202" s="121"/>
      <c r="BL202" s="121"/>
      <c r="BM202" s="121"/>
      <c r="BN202" s="121"/>
      <c r="BO202" s="121"/>
      <c r="BP202" s="121"/>
      <c r="BQ202" s="121"/>
      <c r="BR202" s="121"/>
      <c r="BS202" s="121"/>
      <c r="BT202" s="121"/>
      <c r="BU202" s="121"/>
      <c r="BV202" s="121"/>
      <c r="BW202" s="121"/>
      <c r="BX202" s="121"/>
      <c r="BY202" s="121"/>
      <c r="BZ202" s="121"/>
      <c r="CA202" s="121"/>
      <c r="CB202" s="121"/>
      <c r="CC202" s="121"/>
      <c r="CD202" s="121"/>
      <c r="CE202" s="121"/>
      <c r="CF202" s="121"/>
      <c r="CG202" s="121"/>
      <c r="CH202" s="121"/>
      <c r="CI202" s="121"/>
      <c r="CJ202" s="121"/>
      <c r="CK202" s="121"/>
      <c r="CL202" s="121"/>
      <c r="CM202" s="121"/>
      <c r="CN202" s="121"/>
      <c r="CO202" s="121"/>
      <c r="CP202" s="121"/>
      <c r="CQ202" s="121"/>
      <c r="CR202" s="121"/>
      <c r="CS202" s="121"/>
      <c r="CT202" s="121"/>
      <c r="CU202" s="121"/>
      <c r="CV202" s="121"/>
      <c r="CW202" s="121"/>
      <c r="CX202" s="121"/>
      <c r="CY202" s="121"/>
      <c r="CZ202" s="121"/>
      <c r="DA202" s="121"/>
      <c r="DB202" s="121"/>
      <c r="DC202" s="121"/>
      <c r="DD202" s="121"/>
      <c r="DE202" s="121"/>
      <c r="DF202" s="121"/>
      <c r="DG202" s="121"/>
      <c r="DH202" s="121"/>
      <c r="DI202" s="121"/>
      <c r="DJ202" s="121"/>
      <c r="DK202" s="121"/>
      <c r="DL202" s="121"/>
      <c r="DM202" s="121"/>
      <c r="DN202" s="121"/>
      <c r="DO202" s="121"/>
      <c r="DP202" s="121"/>
      <c r="DQ202" s="121"/>
      <c r="DR202" s="121"/>
      <c r="DS202" s="121"/>
      <c r="DT202" s="121"/>
      <c r="DU202" s="121"/>
      <c r="DV202" s="121"/>
      <c r="DW202" s="121"/>
      <c r="DX202" s="121"/>
      <c r="DY202" s="121"/>
      <c r="DZ202" s="121"/>
      <c r="EA202" s="121"/>
      <c r="EB202" s="121"/>
      <c r="EC202" s="121"/>
      <c r="ED202" s="121"/>
      <c r="EE202" s="121"/>
      <c r="EF202" s="121"/>
      <c r="EG202" s="121"/>
      <c r="EH202" s="121"/>
      <c r="EI202" s="121"/>
      <c r="EJ202" s="121"/>
      <c r="EK202" s="121"/>
      <c r="EL202" s="121"/>
      <c r="EM202" s="121"/>
      <c r="EN202" s="121"/>
      <c r="EO202" s="121"/>
      <c r="EP202" s="121"/>
      <c r="EQ202" s="121"/>
      <c r="ER202" s="121"/>
      <c r="ES202" s="121"/>
      <c r="ET202" s="121"/>
      <c r="EU202" s="121"/>
      <c r="EV202" s="121"/>
      <c r="EW202" s="121"/>
      <c r="EX202" s="121"/>
      <c r="EY202" s="121"/>
      <c r="EZ202" s="121"/>
      <c r="FA202" s="121"/>
      <c r="FB202" s="121"/>
      <c r="FC202" s="121"/>
      <c r="FD202" s="121"/>
      <c r="FE202" s="121"/>
      <c r="FF202" s="121"/>
      <c r="FG202" s="121"/>
      <c r="FH202" s="121"/>
      <c r="FI202" s="121"/>
      <c r="FJ202" s="121"/>
      <c r="FK202" s="121"/>
      <c r="FL202" s="121"/>
      <c r="FM202" s="121"/>
      <c r="FN202" s="121"/>
      <c r="FO202" s="121"/>
      <c r="FP202" s="121"/>
      <c r="FQ202" s="121"/>
      <c r="FR202" s="121"/>
      <c r="FS202" s="121"/>
      <c r="FT202" s="121"/>
      <c r="FU202" s="121"/>
      <c r="FV202" s="121"/>
      <c r="FW202" s="121"/>
      <c r="FX202" s="121"/>
      <c r="FY202" s="121"/>
      <c r="FZ202" s="121"/>
      <c r="GA202" s="121"/>
      <c r="GB202" s="121"/>
      <c r="GC202" s="121"/>
      <c r="GD202" s="121"/>
      <c r="GE202" s="121"/>
      <c r="GF202" s="121"/>
      <c r="GG202" s="121"/>
      <c r="GH202" s="121"/>
    </row>
    <row r="203" spans="1:190">
      <c r="A203" s="121"/>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c r="AD203" s="121"/>
      <c r="AE203" s="121"/>
      <c r="AF203" s="121"/>
      <c r="AG203" s="121"/>
      <c r="AH203" s="121"/>
      <c r="AI203" s="121"/>
      <c r="AJ203" s="121"/>
      <c r="AK203" s="121"/>
      <c r="AL203" s="121"/>
      <c r="AM203" s="121"/>
      <c r="AN203" s="121"/>
      <c r="AO203" s="121"/>
      <c r="AP203" s="121"/>
      <c r="AQ203" s="121"/>
      <c r="AR203" s="121"/>
      <c r="AS203" s="121"/>
      <c r="AT203" s="121"/>
      <c r="AU203" s="121"/>
      <c r="AV203" s="121"/>
      <c r="AW203" s="121"/>
      <c r="AX203" s="121"/>
      <c r="AY203" s="121"/>
      <c r="AZ203" s="121"/>
      <c r="BA203" s="121"/>
      <c r="BB203" s="121"/>
      <c r="BC203" s="121"/>
      <c r="BD203" s="121"/>
      <c r="BE203" s="121"/>
      <c r="BF203" s="121"/>
      <c r="BG203" s="121"/>
      <c r="BH203" s="121"/>
      <c r="BI203" s="121"/>
      <c r="BJ203" s="121"/>
      <c r="BK203" s="121"/>
      <c r="BL203" s="121"/>
      <c r="BM203" s="121"/>
      <c r="BN203" s="121"/>
      <c r="BO203" s="121"/>
      <c r="BP203" s="121"/>
      <c r="BQ203" s="121"/>
      <c r="BR203" s="121"/>
      <c r="BS203" s="121"/>
      <c r="BT203" s="121"/>
      <c r="BU203" s="121"/>
      <c r="BV203" s="121"/>
      <c r="BW203" s="121"/>
      <c r="BX203" s="121"/>
      <c r="BY203" s="121"/>
      <c r="BZ203" s="121"/>
      <c r="CA203" s="121"/>
      <c r="CB203" s="121"/>
      <c r="CC203" s="121"/>
      <c r="CD203" s="121"/>
      <c r="CE203" s="121"/>
      <c r="CF203" s="121"/>
      <c r="CG203" s="121"/>
      <c r="CH203" s="121"/>
      <c r="CI203" s="121"/>
      <c r="CJ203" s="121"/>
      <c r="CK203" s="121"/>
      <c r="CL203" s="121"/>
      <c r="CM203" s="121"/>
      <c r="CN203" s="121"/>
      <c r="CO203" s="121"/>
      <c r="CP203" s="121"/>
      <c r="CQ203" s="121"/>
      <c r="CR203" s="121"/>
      <c r="CS203" s="121"/>
      <c r="CT203" s="121"/>
      <c r="CU203" s="121"/>
      <c r="CV203" s="121"/>
      <c r="CW203" s="121"/>
      <c r="CX203" s="121"/>
      <c r="CY203" s="121"/>
      <c r="CZ203" s="121"/>
      <c r="DA203" s="121"/>
      <c r="DB203" s="121"/>
      <c r="DC203" s="121"/>
      <c r="DD203" s="121"/>
      <c r="DE203" s="121"/>
      <c r="DF203" s="121"/>
      <c r="DG203" s="121"/>
      <c r="DH203" s="121"/>
      <c r="DI203" s="121"/>
      <c r="DJ203" s="121"/>
      <c r="DK203" s="121"/>
      <c r="DL203" s="121"/>
      <c r="DM203" s="121"/>
      <c r="DN203" s="121"/>
      <c r="DO203" s="121"/>
      <c r="DP203" s="121"/>
      <c r="DQ203" s="121"/>
      <c r="DR203" s="121"/>
      <c r="DS203" s="121"/>
      <c r="DT203" s="121"/>
      <c r="DU203" s="121"/>
      <c r="DV203" s="121"/>
      <c r="DW203" s="121"/>
      <c r="DX203" s="121"/>
      <c r="DY203" s="121"/>
      <c r="DZ203" s="121"/>
      <c r="EA203" s="121"/>
      <c r="EB203" s="121"/>
      <c r="EC203" s="121"/>
      <c r="ED203" s="121"/>
      <c r="EE203" s="121"/>
      <c r="EF203" s="121"/>
      <c r="EG203" s="121"/>
      <c r="EH203" s="121"/>
      <c r="EI203" s="121"/>
      <c r="EJ203" s="121"/>
      <c r="EK203" s="121"/>
      <c r="EL203" s="121"/>
      <c r="EM203" s="121"/>
      <c r="EN203" s="121"/>
      <c r="EO203" s="121"/>
      <c r="EP203" s="121"/>
      <c r="EQ203" s="121"/>
      <c r="ER203" s="121"/>
      <c r="ES203" s="121"/>
      <c r="ET203" s="121"/>
      <c r="EU203" s="121"/>
      <c r="EV203" s="121"/>
      <c r="EW203" s="121"/>
      <c r="EX203" s="121"/>
      <c r="EY203" s="121"/>
      <c r="EZ203" s="121"/>
      <c r="FA203" s="121"/>
      <c r="FB203" s="121"/>
      <c r="FC203" s="121"/>
      <c r="FD203" s="121"/>
      <c r="FE203" s="121"/>
      <c r="FF203" s="121"/>
      <c r="FG203" s="121"/>
      <c r="FH203" s="121"/>
      <c r="FI203" s="121"/>
      <c r="FJ203" s="121"/>
      <c r="FK203" s="121"/>
      <c r="FL203" s="121"/>
      <c r="FM203" s="121"/>
      <c r="FN203" s="121"/>
      <c r="FO203" s="121"/>
      <c r="FP203" s="121"/>
      <c r="FQ203" s="121"/>
      <c r="FR203" s="121"/>
      <c r="FS203" s="121"/>
      <c r="FT203" s="121"/>
      <c r="FU203" s="121"/>
      <c r="FV203" s="121"/>
      <c r="FW203" s="121"/>
      <c r="FX203" s="121"/>
      <c r="FY203" s="121"/>
      <c r="FZ203" s="121"/>
      <c r="GA203" s="121"/>
      <c r="GB203" s="121"/>
      <c r="GC203" s="121"/>
      <c r="GD203" s="121"/>
      <c r="GE203" s="121"/>
      <c r="GF203" s="121"/>
      <c r="GG203" s="121"/>
      <c r="GH203" s="121"/>
    </row>
    <row r="204" spans="1:190">
      <c r="A204" s="121"/>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121"/>
      <c r="AE204" s="121"/>
      <c r="AF204" s="121"/>
      <c r="AG204" s="121"/>
      <c r="AH204" s="121"/>
      <c r="AI204" s="121"/>
      <c r="AJ204" s="121"/>
      <c r="AK204" s="121"/>
      <c r="AL204" s="121"/>
      <c r="AM204" s="121"/>
      <c r="AN204" s="121"/>
      <c r="AO204" s="121"/>
      <c r="AP204" s="121"/>
      <c r="AQ204" s="121"/>
      <c r="AR204" s="121"/>
      <c r="AS204" s="121"/>
      <c r="AT204" s="121"/>
      <c r="AU204" s="121"/>
      <c r="AV204" s="121"/>
      <c r="AW204" s="121"/>
      <c r="AX204" s="121"/>
      <c r="AY204" s="121"/>
      <c r="AZ204" s="121"/>
      <c r="BA204" s="121"/>
      <c r="BB204" s="121"/>
      <c r="BC204" s="121"/>
      <c r="BD204" s="121"/>
      <c r="BE204" s="121"/>
      <c r="BF204" s="121"/>
      <c r="BG204" s="121"/>
      <c r="BH204" s="121"/>
      <c r="BI204" s="121"/>
      <c r="BJ204" s="121"/>
      <c r="BK204" s="121"/>
      <c r="BL204" s="121"/>
      <c r="BM204" s="121"/>
      <c r="BN204" s="121"/>
      <c r="BO204" s="121"/>
      <c r="BP204" s="121"/>
      <c r="BQ204" s="121"/>
      <c r="BR204" s="121"/>
      <c r="BS204" s="121"/>
      <c r="BT204" s="121"/>
      <c r="BU204" s="121"/>
      <c r="BV204" s="121"/>
      <c r="BW204" s="121"/>
      <c r="BX204" s="121"/>
      <c r="BY204" s="121"/>
      <c r="BZ204" s="121"/>
      <c r="CA204" s="121"/>
      <c r="CB204" s="121"/>
      <c r="CC204" s="121"/>
      <c r="CD204" s="121"/>
      <c r="CE204" s="121"/>
      <c r="CF204" s="121"/>
      <c r="CG204" s="121"/>
      <c r="CH204" s="121"/>
      <c r="CI204" s="121"/>
      <c r="CJ204" s="121"/>
      <c r="CK204" s="121"/>
      <c r="CL204" s="121"/>
      <c r="CM204" s="121"/>
      <c r="CN204" s="121"/>
      <c r="CO204" s="121"/>
      <c r="CP204" s="121"/>
      <c r="CQ204" s="121"/>
      <c r="CR204" s="121"/>
      <c r="CS204" s="121"/>
      <c r="CT204" s="121"/>
      <c r="CU204" s="121"/>
      <c r="CV204" s="121"/>
      <c r="CW204" s="121"/>
      <c r="CX204" s="121"/>
      <c r="CY204" s="121"/>
      <c r="CZ204" s="121"/>
      <c r="DA204" s="121"/>
      <c r="DB204" s="121"/>
      <c r="DC204" s="121"/>
      <c r="DD204" s="121"/>
      <c r="DE204" s="121"/>
      <c r="DF204" s="121"/>
      <c r="DG204" s="121"/>
      <c r="DH204" s="121"/>
      <c r="DI204" s="121"/>
      <c r="DJ204" s="121"/>
      <c r="DK204" s="121"/>
      <c r="DL204" s="121"/>
      <c r="DM204" s="121"/>
      <c r="DN204" s="121"/>
      <c r="DO204" s="121"/>
      <c r="DP204" s="121"/>
      <c r="DQ204" s="121"/>
      <c r="DR204" s="121"/>
      <c r="DS204" s="121"/>
      <c r="DT204" s="121"/>
      <c r="DU204" s="121"/>
      <c r="DV204" s="121"/>
      <c r="DW204" s="121"/>
      <c r="DX204" s="121"/>
      <c r="DY204" s="121"/>
      <c r="DZ204" s="121"/>
      <c r="EA204" s="121"/>
      <c r="EB204" s="121"/>
      <c r="EC204" s="121"/>
      <c r="ED204" s="121"/>
      <c r="EE204" s="121"/>
      <c r="EF204" s="121"/>
      <c r="EG204" s="121"/>
      <c r="EH204" s="121"/>
      <c r="EI204" s="121"/>
      <c r="EJ204" s="121"/>
      <c r="EK204" s="121"/>
      <c r="EL204" s="121"/>
      <c r="EM204" s="121"/>
      <c r="EN204" s="121"/>
      <c r="EO204" s="121"/>
      <c r="EP204" s="121"/>
      <c r="EQ204" s="121"/>
      <c r="ER204" s="121"/>
      <c r="ES204" s="121"/>
      <c r="ET204" s="121"/>
      <c r="EU204" s="121"/>
      <c r="EV204" s="121"/>
      <c r="EW204" s="121"/>
      <c r="EX204" s="121"/>
      <c r="EY204" s="121"/>
      <c r="EZ204" s="121"/>
      <c r="FA204" s="121"/>
      <c r="FB204" s="121"/>
      <c r="FC204" s="121"/>
      <c r="FD204" s="121"/>
      <c r="FE204" s="121"/>
      <c r="FF204" s="121"/>
      <c r="FG204" s="121"/>
      <c r="FH204" s="121"/>
      <c r="FI204" s="121"/>
      <c r="FJ204" s="121"/>
      <c r="FK204" s="121"/>
      <c r="FL204" s="121"/>
      <c r="FM204" s="121"/>
      <c r="FN204" s="121"/>
      <c r="FO204" s="121"/>
      <c r="FP204" s="121"/>
      <c r="FQ204" s="121"/>
      <c r="FR204" s="121"/>
      <c r="FS204" s="121"/>
      <c r="FT204" s="121"/>
      <c r="FU204" s="121"/>
      <c r="FV204" s="121"/>
      <c r="FW204" s="121"/>
      <c r="FX204" s="121"/>
      <c r="FY204" s="121"/>
      <c r="FZ204" s="121"/>
      <c r="GA204" s="121"/>
      <c r="GB204" s="121"/>
      <c r="GC204" s="121"/>
      <c r="GD204" s="121"/>
      <c r="GE204" s="121"/>
      <c r="GF204" s="121"/>
      <c r="GG204" s="121"/>
      <c r="GH204" s="121"/>
    </row>
    <row r="205" spans="1:190">
      <c r="A205" s="121"/>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c r="AD205" s="121"/>
      <c r="AE205" s="121"/>
      <c r="AF205" s="121"/>
      <c r="AG205" s="121"/>
      <c r="AH205" s="121"/>
      <c r="AI205" s="121"/>
      <c r="AJ205" s="121"/>
      <c r="AK205" s="121"/>
      <c r="AL205" s="121"/>
      <c r="AM205" s="121"/>
      <c r="AN205" s="121"/>
      <c r="AO205" s="121"/>
      <c r="AP205" s="121"/>
      <c r="AQ205" s="121"/>
      <c r="AR205" s="121"/>
      <c r="AS205" s="121"/>
      <c r="AT205" s="121"/>
      <c r="AU205" s="121"/>
      <c r="AV205" s="121"/>
      <c r="AW205" s="121"/>
      <c r="AX205" s="121"/>
      <c r="AY205" s="121"/>
      <c r="AZ205" s="121"/>
      <c r="BA205" s="121"/>
      <c r="BB205" s="121"/>
      <c r="BC205" s="121"/>
      <c r="BD205" s="121"/>
      <c r="BE205" s="121"/>
      <c r="BF205" s="121"/>
      <c r="BG205" s="121"/>
      <c r="BH205" s="121"/>
      <c r="BI205" s="121"/>
      <c r="BJ205" s="121"/>
      <c r="BK205" s="121"/>
      <c r="BL205" s="121"/>
      <c r="BM205" s="121"/>
      <c r="BN205" s="121"/>
      <c r="BO205" s="121"/>
      <c r="BP205" s="121"/>
      <c r="BQ205" s="121"/>
      <c r="BR205" s="121"/>
      <c r="BS205" s="121"/>
      <c r="BT205" s="121"/>
      <c r="BU205" s="121"/>
      <c r="BV205" s="121"/>
      <c r="BW205" s="121"/>
      <c r="BX205" s="121"/>
      <c r="BY205" s="121"/>
      <c r="BZ205" s="121"/>
      <c r="CA205" s="121"/>
      <c r="CB205" s="121"/>
      <c r="CC205" s="121"/>
      <c r="CD205" s="121"/>
      <c r="CE205" s="121"/>
      <c r="CF205" s="121"/>
      <c r="CG205" s="121"/>
      <c r="CH205" s="121"/>
      <c r="CI205" s="121"/>
      <c r="CJ205" s="121"/>
      <c r="CK205" s="121"/>
      <c r="CL205" s="121"/>
      <c r="CM205" s="121"/>
      <c r="CN205" s="121"/>
      <c r="CO205" s="121"/>
      <c r="CP205" s="121"/>
      <c r="CQ205" s="121"/>
      <c r="CR205" s="121"/>
      <c r="CS205" s="121"/>
      <c r="CT205" s="121"/>
      <c r="CU205" s="121"/>
      <c r="CV205" s="121"/>
      <c r="CW205" s="121"/>
      <c r="CX205" s="121"/>
      <c r="CY205" s="121"/>
      <c r="CZ205" s="121"/>
      <c r="DA205" s="121"/>
      <c r="DB205" s="121"/>
      <c r="DC205" s="121"/>
      <c r="DD205" s="121"/>
      <c r="DE205" s="121"/>
      <c r="DF205" s="121"/>
      <c r="DG205" s="121"/>
      <c r="DH205" s="121"/>
      <c r="DI205" s="121"/>
      <c r="DJ205" s="121"/>
      <c r="DK205" s="121"/>
      <c r="DL205" s="121"/>
      <c r="DM205" s="121"/>
      <c r="DN205" s="121"/>
      <c r="DO205" s="121"/>
      <c r="DP205" s="121"/>
      <c r="DQ205" s="121"/>
      <c r="DR205" s="121"/>
      <c r="DS205" s="121"/>
      <c r="DT205" s="121"/>
      <c r="DU205" s="121"/>
      <c r="DV205" s="121"/>
      <c r="DW205" s="121"/>
      <c r="DX205" s="121"/>
      <c r="DY205" s="121"/>
      <c r="DZ205" s="121"/>
      <c r="EA205" s="121"/>
      <c r="EB205" s="121"/>
      <c r="EC205" s="121"/>
      <c r="ED205" s="121"/>
      <c r="EE205" s="121"/>
      <c r="EF205" s="121"/>
      <c r="EG205" s="121"/>
      <c r="EH205" s="121"/>
      <c r="EI205" s="121"/>
      <c r="EJ205" s="121"/>
      <c r="EK205" s="121"/>
      <c r="EL205" s="121"/>
      <c r="EM205" s="121"/>
      <c r="EN205" s="121"/>
      <c r="EO205" s="121"/>
      <c r="EP205" s="121"/>
      <c r="EQ205" s="121"/>
      <c r="ER205" s="121"/>
      <c r="ES205" s="121"/>
      <c r="ET205" s="121"/>
      <c r="EU205" s="121"/>
      <c r="EV205" s="121"/>
      <c r="EW205" s="121"/>
      <c r="EX205" s="121"/>
      <c r="EY205" s="121"/>
      <c r="EZ205" s="121"/>
      <c r="FA205" s="121"/>
      <c r="FB205" s="121"/>
      <c r="FC205" s="121"/>
      <c r="FD205" s="121"/>
      <c r="FE205" s="121"/>
      <c r="FF205" s="121"/>
      <c r="FG205" s="121"/>
      <c r="FH205" s="121"/>
      <c r="FI205" s="121"/>
      <c r="FJ205" s="121"/>
      <c r="FK205" s="121"/>
      <c r="FL205" s="121"/>
      <c r="FM205" s="121"/>
      <c r="FN205" s="121"/>
      <c r="FO205" s="121"/>
      <c r="FP205" s="121"/>
      <c r="FQ205" s="121"/>
      <c r="FR205" s="121"/>
      <c r="FS205" s="121"/>
      <c r="FT205" s="121"/>
      <c r="FU205" s="121"/>
      <c r="FV205" s="121"/>
      <c r="FW205" s="121"/>
      <c r="FX205" s="121"/>
      <c r="FY205" s="121"/>
      <c r="FZ205" s="121"/>
      <c r="GA205" s="121"/>
      <c r="GB205" s="121"/>
      <c r="GC205" s="121"/>
      <c r="GD205" s="121"/>
      <c r="GE205" s="121"/>
      <c r="GF205" s="121"/>
      <c r="GG205" s="121"/>
      <c r="GH205" s="121"/>
    </row>
    <row r="206" spans="1:190">
      <c r="A206" s="121"/>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c r="AD206" s="121"/>
      <c r="AE206" s="121"/>
      <c r="AF206" s="121"/>
      <c r="AG206" s="121"/>
      <c r="AH206" s="121"/>
      <c r="AI206" s="121"/>
      <c r="AJ206" s="121"/>
      <c r="AK206" s="121"/>
      <c r="AL206" s="121"/>
      <c r="AM206" s="121"/>
      <c r="AN206" s="121"/>
      <c r="AO206" s="121"/>
      <c r="AP206" s="121"/>
      <c r="AQ206" s="121"/>
      <c r="AR206" s="121"/>
      <c r="AS206" s="121"/>
      <c r="AT206" s="121"/>
      <c r="AU206" s="121"/>
      <c r="AV206" s="121"/>
      <c r="AW206" s="121"/>
      <c r="AX206" s="121"/>
      <c r="AY206" s="121"/>
      <c r="AZ206" s="121"/>
      <c r="BA206" s="121"/>
      <c r="BB206" s="121"/>
      <c r="BC206" s="121"/>
      <c r="BD206" s="121"/>
      <c r="BE206" s="121"/>
      <c r="BF206" s="121"/>
      <c r="BG206" s="121"/>
      <c r="BH206" s="121"/>
      <c r="BI206" s="121"/>
      <c r="BJ206" s="121"/>
      <c r="BK206" s="121"/>
      <c r="BL206" s="121"/>
      <c r="BM206" s="121"/>
      <c r="BN206" s="121"/>
      <c r="BO206" s="121"/>
      <c r="BP206" s="121"/>
      <c r="BQ206" s="121"/>
      <c r="BR206" s="121"/>
      <c r="BS206" s="121"/>
      <c r="BT206" s="121"/>
      <c r="BU206" s="121"/>
      <c r="BV206" s="121"/>
      <c r="BW206" s="121"/>
      <c r="BX206" s="121"/>
      <c r="BY206" s="121"/>
      <c r="BZ206" s="121"/>
      <c r="CA206" s="121"/>
      <c r="CB206" s="121"/>
      <c r="CC206" s="121"/>
      <c r="CD206" s="121"/>
      <c r="CE206" s="121"/>
      <c r="CF206" s="121"/>
      <c r="CG206" s="121"/>
      <c r="CH206" s="121"/>
      <c r="CI206" s="121"/>
      <c r="CJ206" s="121"/>
      <c r="CK206" s="121"/>
      <c r="CL206" s="121"/>
      <c r="CM206" s="121"/>
      <c r="CN206" s="121"/>
      <c r="CO206" s="121"/>
      <c r="CP206" s="121"/>
      <c r="CQ206" s="121"/>
      <c r="CR206" s="121"/>
      <c r="CS206" s="121"/>
      <c r="CT206" s="121"/>
      <c r="CU206" s="121"/>
      <c r="CV206" s="121"/>
      <c r="CW206" s="121"/>
      <c r="CX206" s="121"/>
      <c r="CY206" s="121"/>
      <c r="CZ206" s="121"/>
      <c r="DA206" s="121"/>
      <c r="DB206" s="121"/>
      <c r="DC206" s="121"/>
      <c r="DD206" s="121"/>
      <c r="DE206" s="121"/>
      <c r="DF206" s="121"/>
      <c r="DG206" s="121"/>
      <c r="DH206" s="121"/>
      <c r="DI206" s="121"/>
      <c r="DJ206" s="121"/>
      <c r="DK206" s="121"/>
      <c r="DL206" s="121"/>
      <c r="DM206" s="121"/>
      <c r="DN206" s="121"/>
      <c r="DO206" s="121"/>
      <c r="DP206" s="121"/>
      <c r="DQ206" s="121"/>
      <c r="DR206" s="121"/>
      <c r="DS206" s="121"/>
      <c r="DT206" s="121"/>
      <c r="DU206" s="121"/>
      <c r="DV206" s="121"/>
      <c r="DW206" s="121"/>
      <c r="DX206" s="121"/>
      <c r="DY206" s="121"/>
      <c r="DZ206" s="121"/>
      <c r="EA206" s="121"/>
      <c r="EB206" s="121"/>
      <c r="EC206" s="121"/>
      <c r="ED206" s="121"/>
      <c r="EE206" s="121"/>
      <c r="EF206" s="121"/>
      <c r="EG206" s="121"/>
      <c r="EH206" s="121"/>
      <c r="EI206" s="121"/>
      <c r="EJ206" s="121"/>
      <c r="EK206" s="121"/>
      <c r="EL206" s="121"/>
      <c r="EM206" s="121"/>
      <c r="EN206" s="121"/>
      <c r="EO206" s="121"/>
      <c r="EP206" s="121"/>
      <c r="EQ206" s="121"/>
      <c r="ER206" s="121"/>
      <c r="ES206" s="121"/>
      <c r="ET206" s="121"/>
      <c r="EU206" s="121"/>
      <c r="EV206" s="121"/>
      <c r="EW206" s="121"/>
      <c r="EX206" s="121"/>
      <c r="EY206" s="121"/>
      <c r="EZ206" s="121"/>
      <c r="FA206" s="121"/>
      <c r="FB206" s="121"/>
      <c r="FC206" s="121"/>
      <c r="FD206" s="121"/>
      <c r="FE206" s="121"/>
      <c r="FF206" s="121"/>
      <c r="FG206" s="121"/>
      <c r="FH206" s="121"/>
      <c r="FI206" s="121"/>
      <c r="FJ206" s="121"/>
      <c r="FK206" s="121"/>
      <c r="FL206" s="121"/>
      <c r="FM206" s="121"/>
      <c r="FN206" s="121"/>
      <c r="FO206" s="121"/>
      <c r="FP206" s="121"/>
      <c r="FQ206" s="121"/>
      <c r="FR206" s="121"/>
      <c r="FS206" s="121"/>
      <c r="FT206" s="121"/>
      <c r="FU206" s="121"/>
      <c r="FV206" s="121"/>
      <c r="FW206" s="121"/>
      <c r="FX206" s="121"/>
      <c r="FY206" s="121"/>
      <c r="FZ206" s="121"/>
      <c r="GA206" s="121"/>
      <c r="GB206" s="121"/>
      <c r="GC206" s="121"/>
      <c r="GD206" s="121"/>
      <c r="GE206" s="121"/>
      <c r="GF206" s="121"/>
      <c r="GG206" s="121"/>
      <c r="GH206" s="121"/>
    </row>
    <row r="207" spans="1:190">
      <c r="A207" s="121"/>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c r="AD207" s="121"/>
      <c r="AE207" s="121"/>
      <c r="AF207" s="121"/>
      <c r="AG207" s="121"/>
      <c r="AH207" s="121"/>
      <c r="AI207" s="121"/>
      <c r="AJ207" s="121"/>
      <c r="AK207" s="121"/>
      <c r="AL207" s="121"/>
      <c r="AM207" s="121"/>
      <c r="AN207" s="121"/>
      <c r="AO207" s="121"/>
      <c r="AP207" s="121"/>
      <c r="AQ207" s="121"/>
      <c r="AR207" s="121"/>
      <c r="AS207" s="121"/>
      <c r="AT207" s="121"/>
      <c r="AU207" s="121"/>
      <c r="AV207" s="121"/>
      <c r="AW207" s="121"/>
      <c r="AX207" s="121"/>
      <c r="AY207" s="121"/>
      <c r="AZ207" s="121"/>
      <c r="BA207" s="121"/>
      <c r="BB207" s="121"/>
      <c r="BC207" s="121"/>
      <c r="BD207" s="121"/>
      <c r="BE207" s="121"/>
      <c r="BF207" s="121"/>
      <c r="BG207" s="121"/>
      <c r="BH207" s="121"/>
      <c r="BI207" s="121"/>
      <c r="BJ207" s="121"/>
      <c r="BK207" s="121"/>
      <c r="BL207" s="121"/>
      <c r="BM207" s="121"/>
      <c r="BN207" s="121"/>
      <c r="BO207" s="121"/>
      <c r="BP207" s="121"/>
      <c r="BQ207" s="121"/>
      <c r="BR207" s="121"/>
      <c r="BS207" s="121"/>
      <c r="BT207" s="121"/>
      <c r="BU207" s="121"/>
      <c r="BV207" s="121"/>
      <c r="BW207" s="121"/>
      <c r="BX207" s="121"/>
      <c r="BY207" s="121"/>
      <c r="BZ207" s="121"/>
      <c r="CA207" s="121"/>
      <c r="CB207" s="121"/>
      <c r="CC207" s="121"/>
      <c r="CD207" s="121"/>
      <c r="CE207" s="121"/>
      <c r="CF207" s="121"/>
      <c r="CG207" s="121"/>
      <c r="CH207" s="121"/>
      <c r="CI207" s="121"/>
      <c r="CJ207" s="121"/>
      <c r="CK207" s="121"/>
      <c r="CL207" s="121"/>
      <c r="CM207" s="121"/>
      <c r="CN207" s="121"/>
      <c r="CO207" s="121"/>
      <c r="CP207" s="121"/>
      <c r="CQ207" s="121"/>
      <c r="CR207" s="121"/>
      <c r="CS207" s="121"/>
      <c r="CT207" s="121"/>
      <c r="CU207" s="121"/>
      <c r="CV207" s="121"/>
      <c r="CW207" s="121"/>
      <c r="CX207" s="121"/>
      <c r="CY207" s="121"/>
      <c r="CZ207" s="121"/>
      <c r="DA207" s="121"/>
      <c r="DB207" s="121"/>
      <c r="DC207" s="121"/>
      <c r="DD207" s="121"/>
      <c r="DE207" s="121"/>
      <c r="DF207" s="121"/>
      <c r="DG207" s="121"/>
      <c r="DH207" s="121"/>
      <c r="DI207" s="121"/>
      <c r="DJ207" s="121"/>
      <c r="DK207" s="121"/>
      <c r="DL207" s="121"/>
      <c r="DM207" s="121"/>
      <c r="DN207" s="121"/>
      <c r="DO207" s="121"/>
      <c r="DP207" s="121"/>
      <c r="DQ207" s="121"/>
      <c r="DR207" s="121"/>
      <c r="DS207" s="121"/>
      <c r="DT207" s="121"/>
      <c r="DU207" s="121"/>
      <c r="DV207" s="121"/>
      <c r="DW207" s="121"/>
      <c r="DX207" s="121"/>
      <c r="DY207" s="121"/>
      <c r="DZ207" s="121"/>
      <c r="EA207" s="121"/>
      <c r="EB207" s="121"/>
      <c r="EC207" s="121"/>
      <c r="ED207" s="121"/>
      <c r="EE207" s="121"/>
      <c r="EF207" s="121"/>
      <c r="EG207" s="121"/>
      <c r="EH207" s="121"/>
      <c r="EI207" s="121"/>
      <c r="EJ207" s="121"/>
      <c r="EK207" s="121"/>
      <c r="EL207" s="121"/>
      <c r="EM207" s="121"/>
      <c r="EN207" s="121"/>
      <c r="EO207" s="121"/>
      <c r="EP207" s="121"/>
      <c r="EQ207" s="121"/>
      <c r="ER207" s="121"/>
      <c r="ES207" s="121"/>
      <c r="ET207" s="121"/>
      <c r="EU207" s="121"/>
      <c r="EV207" s="121"/>
      <c r="EW207" s="121"/>
      <c r="EX207" s="121"/>
      <c r="EY207" s="121"/>
      <c r="EZ207" s="121"/>
      <c r="FA207" s="121"/>
      <c r="FB207" s="121"/>
      <c r="FC207" s="121"/>
      <c r="FD207" s="121"/>
      <c r="FE207" s="121"/>
      <c r="FF207" s="121"/>
      <c r="FG207" s="121"/>
      <c r="FH207" s="121"/>
      <c r="FI207" s="121"/>
      <c r="FJ207" s="121"/>
      <c r="FK207" s="121"/>
      <c r="FL207" s="121"/>
      <c r="FM207" s="121"/>
      <c r="FN207" s="121"/>
      <c r="FO207" s="121"/>
      <c r="FP207" s="121"/>
      <c r="FQ207" s="121"/>
      <c r="FR207" s="121"/>
      <c r="FS207" s="121"/>
      <c r="FT207" s="121"/>
      <c r="FU207" s="121"/>
      <c r="FV207" s="121"/>
      <c r="FW207" s="121"/>
      <c r="FX207" s="121"/>
      <c r="FY207" s="121"/>
      <c r="FZ207" s="121"/>
      <c r="GA207" s="121"/>
      <c r="GB207" s="121"/>
      <c r="GC207" s="121"/>
      <c r="GD207" s="121"/>
      <c r="GE207" s="121"/>
      <c r="GF207" s="121"/>
      <c r="GG207" s="121"/>
      <c r="GH207" s="121"/>
    </row>
    <row r="208" spans="1:190">
      <c r="A208" s="121"/>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c r="AD208" s="121"/>
      <c r="AE208" s="121"/>
      <c r="AF208" s="121"/>
      <c r="AG208" s="121"/>
      <c r="AH208" s="121"/>
      <c r="AI208" s="121"/>
      <c r="AJ208" s="121"/>
      <c r="AK208" s="121"/>
      <c r="AL208" s="121"/>
      <c r="AM208" s="121"/>
      <c r="AN208" s="121"/>
      <c r="AO208" s="121"/>
      <c r="AP208" s="121"/>
      <c r="AQ208" s="121"/>
      <c r="AR208" s="121"/>
      <c r="AS208" s="121"/>
      <c r="AT208" s="121"/>
      <c r="AU208" s="121"/>
      <c r="AV208" s="121"/>
      <c r="AW208" s="121"/>
      <c r="AX208" s="121"/>
      <c r="AY208" s="121"/>
      <c r="AZ208" s="121"/>
      <c r="BA208" s="121"/>
      <c r="BB208" s="121"/>
      <c r="BC208" s="121"/>
      <c r="BD208" s="121"/>
      <c r="BE208" s="121"/>
      <c r="BF208" s="121"/>
      <c r="BG208" s="121"/>
      <c r="BH208" s="121"/>
      <c r="BI208" s="121"/>
      <c r="BJ208" s="121"/>
      <c r="BK208" s="121"/>
      <c r="BL208" s="121"/>
      <c r="BM208" s="121"/>
      <c r="BN208" s="121"/>
      <c r="BO208" s="121"/>
      <c r="BP208" s="121"/>
      <c r="BQ208" s="121"/>
      <c r="BR208" s="121"/>
      <c r="BS208" s="121"/>
      <c r="BT208" s="121"/>
      <c r="BU208" s="121"/>
      <c r="BV208" s="121"/>
      <c r="BW208" s="121"/>
      <c r="BX208" s="121"/>
      <c r="BY208" s="121"/>
      <c r="BZ208" s="121"/>
      <c r="CA208" s="121"/>
      <c r="CB208" s="121"/>
      <c r="CC208" s="121"/>
      <c r="CD208" s="121"/>
      <c r="CE208" s="121"/>
      <c r="CF208" s="121"/>
      <c r="CG208" s="121"/>
      <c r="CH208" s="121"/>
      <c r="CI208" s="121"/>
      <c r="CJ208" s="121"/>
      <c r="CK208" s="121"/>
      <c r="CL208" s="121"/>
      <c r="CM208" s="121"/>
      <c r="CN208" s="121"/>
      <c r="CO208" s="121"/>
      <c r="CP208" s="121"/>
      <c r="CQ208" s="121"/>
      <c r="CR208" s="121"/>
      <c r="CS208" s="121"/>
      <c r="CT208" s="121"/>
      <c r="CU208" s="121"/>
      <c r="CV208" s="121"/>
      <c r="CW208" s="121"/>
      <c r="CX208" s="121"/>
      <c r="CY208" s="121"/>
      <c r="CZ208" s="121"/>
      <c r="DA208" s="121"/>
      <c r="DB208" s="121"/>
      <c r="DC208" s="121"/>
      <c r="DD208" s="121"/>
      <c r="DE208" s="121"/>
      <c r="DF208" s="121"/>
      <c r="DG208" s="121"/>
      <c r="DH208" s="121"/>
      <c r="DI208" s="121"/>
      <c r="DJ208" s="121"/>
      <c r="DK208" s="121"/>
      <c r="DL208" s="121"/>
      <c r="DM208" s="121"/>
      <c r="DN208" s="121"/>
      <c r="DO208" s="121"/>
      <c r="DP208" s="121"/>
      <c r="DQ208" s="121"/>
      <c r="DR208" s="121"/>
      <c r="DS208" s="121"/>
      <c r="DT208" s="121"/>
      <c r="DU208" s="121"/>
      <c r="DV208" s="121"/>
      <c r="DW208" s="121"/>
      <c r="DX208" s="121"/>
      <c r="DY208" s="121"/>
      <c r="DZ208" s="121"/>
      <c r="EA208" s="121"/>
      <c r="EB208" s="121"/>
      <c r="EC208" s="121"/>
      <c r="ED208" s="121"/>
      <c r="EE208" s="121"/>
      <c r="EF208" s="121"/>
      <c r="EG208" s="121"/>
      <c r="EH208" s="121"/>
      <c r="EI208" s="121"/>
      <c r="EJ208" s="121"/>
      <c r="EK208" s="121"/>
      <c r="EL208" s="121"/>
      <c r="EM208" s="121"/>
      <c r="EN208" s="121"/>
      <c r="EO208" s="121"/>
      <c r="EP208" s="121"/>
      <c r="EQ208" s="121"/>
      <c r="ER208" s="121"/>
      <c r="ES208" s="121"/>
      <c r="ET208" s="121"/>
      <c r="EU208" s="121"/>
      <c r="EV208" s="121"/>
      <c r="EW208" s="121"/>
      <c r="EX208" s="121"/>
      <c r="EY208" s="121"/>
      <c r="EZ208" s="121"/>
      <c r="FA208" s="121"/>
      <c r="FB208" s="121"/>
      <c r="FC208" s="121"/>
      <c r="FD208" s="121"/>
      <c r="FE208" s="121"/>
      <c r="FF208" s="121"/>
      <c r="FG208" s="121"/>
      <c r="FH208" s="121"/>
      <c r="FI208" s="121"/>
      <c r="FJ208" s="121"/>
      <c r="FK208" s="121"/>
      <c r="FL208" s="121"/>
      <c r="FM208" s="121"/>
      <c r="FN208" s="121"/>
      <c r="FO208" s="121"/>
      <c r="FP208" s="121"/>
      <c r="FQ208" s="121"/>
      <c r="FR208" s="121"/>
      <c r="FS208" s="121"/>
      <c r="FT208" s="121"/>
      <c r="FU208" s="121"/>
      <c r="FV208" s="121"/>
      <c r="FW208" s="121"/>
      <c r="FX208" s="121"/>
      <c r="FY208" s="121"/>
      <c r="FZ208" s="121"/>
      <c r="GA208" s="121"/>
      <c r="GB208" s="121"/>
      <c r="GC208" s="121"/>
      <c r="GD208" s="121"/>
      <c r="GE208" s="121"/>
      <c r="GF208" s="121"/>
      <c r="GG208" s="121"/>
      <c r="GH208" s="121"/>
    </row>
    <row r="209" spans="1:190">
      <c r="A209" s="121"/>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c r="AE209" s="121"/>
      <c r="AF209" s="121"/>
      <c r="AG209" s="121"/>
      <c r="AH209" s="121"/>
      <c r="AI209" s="121"/>
      <c r="AJ209" s="121"/>
      <c r="AK209" s="121"/>
      <c r="AL209" s="121"/>
      <c r="AM209" s="121"/>
      <c r="AN209" s="121"/>
      <c r="AO209" s="121"/>
      <c r="AP209" s="121"/>
      <c r="AQ209" s="121"/>
      <c r="AR209" s="121"/>
      <c r="AS209" s="121"/>
      <c r="AT209" s="121"/>
      <c r="AU209" s="121"/>
      <c r="AV209" s="121"/>
      <c r="AW209" s="121"/>
      <c r="AX209" s="121"/>
      <c r="AY209" s="121"/>
      <c r="AZ209" s="121"/>
      <c r="BA209" s="121"/>
      <c r="BB209" s="121"/>
      <c r="BC209" s="121"/>
      <c r="BD209" s="121"/>
      <c r="BE209" s="121"/>
      <c r="BF209" s="121"/>
      <c r="BG209" s="121"/>
      <c r="BH209" s="121"/>
      <c r="BI209" s="121"/>
      <c r="BJ209" s="121"/>
      <c r="BK209" s="121"/>
      <c r="BL209" s="121"/>
      <c r="BM209" s="121"/>
      <c r="BN209" s="121"/>
      <c r="BO209" s="121"/>
      <c r="BP209" s="121"/>
      <c r="BQ209" s="121"/>
      <c r="BR209" s="121"/>
      <c r="BS209" s="121"/>
      <c r="BT209" s="121"/>
      <c r="BU209" s="121"/>
      <c r="BV209" s="121"/>
      <c r="BW209" s="121"/>
      <c r="BX209" s="121"/>
      <c r="BY209" s="121"/>
      <c r="BZ209" s="121"/>
      <c r="CA209" s="121"/>
      <c r="CB209" s="121"/>
      <c r="CC209" s="121"/>
      <c r="CD209" s="121"/>
      <c r="CE209" s="121"/>
      <c r="CF209" s="121"/>
      <c r="CG209" s="121"/>
      <c r="CH209" s="121"/>
      <c r="CI209" s="121"/>
      <c r="CJ209" s="121"/>
      <c r="CK209" s="121"/>
      <c r="CL209" s="121"/>
      <c r="CM209" s="121"/>
      <c r="CN209" s="121"/>
      <c r="CO209" s="121"/>
      <c r="CP209" s="121"/>
      <c r="CQ209" s="121"/>
      <c r="CR209" s="121"/>
      <c r="CS209" s="121"/>
      <c r="CT209" s="121"/>
      <c r="CU209" s="121"/>
      <c r="CV209" s="121"/>
      <c r="CW209" s="121"/>
      <c r="CX209" s="121"/>
      <c r="CY209" s="121"/>
      <c r="CZ209" s="121"/>
      <c r="DA209" s="121"/>
      <c r="DB209" s="121"/>
      <c r="DC209" s="121"/>
      <c r="DD209" s="121"/>
      <c r="DE209" s="121"/>
      <c r="DF209" s="121"/>
      <c r="DG209" s="121"/>
      <c r="DH209" s="121"/>
      <c r="DI209" s="121"/>
      <c r="DJ209" s="121"/>
      <c r="DK209" s="121"/>
      <c r="DL209" s="121"/>
      <c r="DM209" s="121"/>
      <c r="DN209" s="121"/>
      <c r="DO209" s="121"/>
      <c r="DP209" s="121"/>
      <c r="DQ209" s="121"/>
      <c r="DR209" s="121"/>
      <c r="DS209" s="121"/>
      <c r="DT209" s="121"/>
      <c r="DU209" s="121"/>
      <c r="DV209" s="121"/>
      <c r="DW209" s="121"/>
      <c r="DX209" s="121"/>
      <c r="DY209" s="121"/>
      <c r="DZ209" s="121"/>
      <c r="EA209" s="121"/>
      <c r="EB209" s="121"/>
      <c r="EC209" s="121"/>
      <c r="ED209" s="121"/>
      <c r="EE209" s="121"/>
      <c r="EF209" s="121"/>
      <c r="EG209" s="121"/>
      <c r="EH209" s="121"/>
      <c r="EI209" s="121"/>
      <c r="EJ209" s="121"/>
      <c r="EK209" s="121"/>
      <c r="EL209" s="121"/>
      <c r="EM209" s="121"/>
      <c r="EN209" s="121"/>
      <c r="EO209" s="121"/>
      <c r="EP209" s="121"/>
      <c r="EQ209" s="121"/>
      <c r="ER209" s="121"/>
      <c r="ES209" s="121"/>
      <c r="ET209" s="121"/>
      <c r="EU209" s="121"/>
      <c r="EV209" s="121"/>
      <c r="EW209" s="121"/>
      <c r="EX209" s="121"/>
      <c r="EY209" s="121"/>
      <c r="EZ209" s="121"/>
      <c r="FA209" s="121"/>
      <c r="FB209" s="121"/>
      <c r="FC209" s="121"/>
      <c r="FD209" s="121"/>
      <c r="FE209" s="121"/>
      <c r="FF209" s="121"/>
      <c r="FG209" s="121"/>
      <c r="FH209" s="121"/>
      <c r="FI209" s="121"/>
      <c r="FJ209" s="121"/>
      <c r="FK209" s="121"/>
      <c r="FL209" s="121"/>
      <c r="FM209" s="121"/>
      <c r="FN209" s="121"/>
      <c r="FO209" s="121"/>
      <c r="FP209" s="121"/>
      <c r="FQ209" s="121"/>
      <c r="FR209" s="121"/>
      <c r="FS209" s="121"/>
      <c r="FT209" s="121"/>
      <c r="FU209" s="121"/>
      <c r="FV209" s="121"/>
      <c r="FW209" s="121"/>
      <c r="FX209" s="121"/>
      <c r="FY209" s="121"/>
      <c r="FZ209" s="121"/>
      <c r="GA209" s="121"/>
      <c r="GB209" s="121"/>
      <c r="GC209" s="121"/>
      <c r="GD209" s="121"/>
      <c r="GE209" s="121"/>
      <c r="GF209" s="121"/>
      <c r="GG209" s="121"/>
      <c r="GH209" s="121"/>
    </row>
    <row r="210" spans="1:190">
      <c r="A210" s="121"/>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c r="AE210" s="121"/>
      <c r="AF210" s="121"/>
      <c r="AG210" s="121"/>
      <c r="AH210" s="121"/>
      <c r="AI210" s="121"/>
      <c r="AJ210" s="121"/>
      <c r="AK210" s="121"/>
      <c r="AL210" s="121"/>
      <c r="AM210" s="121"/>
      <c r="AN210" s="121"/>
      <c r="AO210" s="121"/>
      <c r="AP210" s="121"/>
      <c r="AQ210" s="121"/>
      <c r="AR210" s="121"/>
      <c r="AS210" s="121"/>
      <c r="AT210" s="121"/>
      <c r="AU210" s="121"/>
      <c r="AV210" s="121"/>
      <c r="AW210" s="121"/>
      <c r="AX210" s="121"/>
      <c r="AY210" s="121"/>
      <c r="AZ210" s="121"/>
      <c r="BA210" s="121"/>
      <c r="BB210" s="121"/>
      <c r="BC210" s="121"/>
      <c r="BD210" s="121"/>
      <c r="BE210" s="121"/>
      <c r="BF210" s="121"/>
      <c r="BG210" s="121"/>
      <c r="BH210" s="121"/>
      <c r="BI210" s="121"/>
      <c r="BJ210" s="121"/>
      <c r="BK210" s="121"/>
      <c r="BL210" s="121"/>
      <c r="BM210" s="121"/>
      <c r="BN210" s="121"/>
      <c r="BO210" s="121"/>
      <c r="BP210" s="121"/>
      <c r="BQ210" s="121"/>
      <c r="BR210" s="121"/>
      <c r="BS210" s="121"/>
      <c r="BT210" s="121"/>
      <c r="BU210" s="121"/>
      <c r="BV210" s="121"/>
      <c r="BW210" s="121"/>
      <c r="BX210" s="121"/>
      <c r="BY210" s="121"/>
      <c r="BZ210" s="121"/>
      <c r="CA210" s="121"/>
      <c r="CB210" s="121"/>
      <c r="CC210" s="121"/>
      <c r="CD210" s="121"/>
      <c r="CE210" s="121"/>
      <c r="CF210" s="121"/>
      <c r="CG210" s="121"/>
      <c r="CH210" s="121"/>
      <c r="CI210" s="121"/>
      <c r="CJ210" s="121"/>
      <c r="CK210" s="121"/>
      <c r="CL210" s="121"/>
      <c r="CM210" s="121"/>
      <c r="CN210" s="121"/>
      <c r="CO210" s="121"/>
      <c r="CP210" s="121"/>
      <c r="CQ210" s="121"/>
      <c r="CR210" s="121"/>
      <c r="CS210" s="121"/>
      <c r="CT210" s="121"/>
      <c r="CU210" s="121"/>
      <c r="CV210" s="121"/>
      <c r="CW210" s="121"/>
      <c r="CX210" s="121"/>
      <c r="CY210" s="121"/>
      <c r="CZ210" s="121"/>
      <c r="DA210" s="121"/>
      <c r="DB210" s="121"/>
      <c r="DC210" s="121"/>
      <c r="DD210" s="121"/>
      <c r="DE210" s="121"/>
      <c r="DF210" s="121"/>
      <c r="DG210" s="121"/>
      <c r="DH210" s="121"/>
      <c r="DI210" s="121"/>
      <c r="DJ210" s="121"/>
      <c r="DK210" s="121"/>
      <c r="DL210" s="121"/>
      <c r="DM210" s="121"/>
      <c r="DN210" s="121"/>
      <c r="DO210" s="121"/>
      <c r="DP210" s="121"/>
      <c r="DQ210" s="121"/>
      <c r="DR210" s="121"/>
      <c r="DS210" s="121"/>
      <c r="DT210" s="121"/>
      <c r="DU210" s="121"/>
      <c r="DV210" s="121"/>
      <c r="DW210" s="121"/>
      <c r="DX210" s="121"/>
      <c r="DY210" s="121"/>
      <c r="DZ210" s="121"/>
      <c r="EA210" s="121"/>
      <c r="EB210" s="121"/>
      <c r="EC210" s="121"/>
      <c r="ED210" s="121"/>
      <c r="EE210" s="121"/>
      <c r="EF210" s="121"/>
      <c r="EG210" s="121"/>
      <c r="EH210" s="121"/>
      <c r="EI210" s="121"/>
      <c r="EJ210" s="121"/>
      <c r="EK210" s="121"/>
      <c r="EL210" s="121"/>
      <c r="EM210" s="121"/>
      <c r="EN210" s="121"/>
      <c r="EO210" s="121"/>
      <c r="EP210" s="121"/>
      <c r="EQ210" s="121"/>
      <c r="ER210" s="121"/>
      <c r="ES210" s="121"/>
      <c r="ET210" s="121"/>
      <c r="EU210" s="121"/>
      <c r="EV210" s="121"/>
      <c r="EW210" s="121"/>
      <c r="EX210" s="121"/>
      <c r="EY210" s="121"/>
      <c r="EZ210" s="121"/>
      <c r="FA210" s="121"/>
      <c r="FB210" s="121"/>
      <c r="FC210" s="121"/>
      <c r="FD210" s="121"/>
      <c r="FE210" s="121"/>
      <c r="FF210" s="121"/>
      <c r="FG210" s="121"/>
      <c r="FH210" s="121"/>
      <c r="FI210" s="121"/>
      <c r="FJ210" s="121"/>
      <c r="FK210" s="121"/>
      <c r="FL210" s="121"/>
      <c r="FM210" s="121"/>
      <c r="FN210" s="121"/>
      <c r="FO210" s="121"/>
      <c r="FP210" s="121"/>
      <c r="FQ210" s="121"/>
      <c r="FR210" s="121"/>
      <c r="FS210" s="121"/>
      <c r="FT210" s="121"/>
      <c r="FU210" s="121"/>
      <c r="FV210" s="121"/>
      <c r="FW210" s="121"/>
      <c r="FX210" s="121"/>
      <c r="FY210" s="121"/>
      <c r="FZ210" s="121"/>
      <c r="GA210" s="121"/>
      <c r="GB210" s="121"/>
      <c r="GC210" s="121"/>
      <c r="GD210" s="121"/>
      <c r="GE210" s="121"/>
      <c r="GF210" s="121"/>
      <c r="GG210" s="121"/>
      <c r="GH210" s="121"/>
    </row>
    <row r="211" spans="1:190">
      <c r="A211" s="121"/>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c r="AD211" s="121"/>
      <c r="AE211" s="121"/>
      <c r="AF211" s="121"/>
      <c r="AG211" s="121"/>
      <c r="AH211" s="121"/>
      <c r="AI211" s="121"/>
      <c r="AJ211" s="121"/>
      <c r="AK211" s="121"/>
      <c r="AL211" s="121"/>
      <c r="AM211" s="121"/>
      <c r="AN211" s="121"/>
      <c r="AO211" s="121"/>
      <c r="AP211" s="121"/>
      <c r="AQ211" s="121"/>
      <c r="AR211" s="121"/>
      <c r="AS211" s="121"/>
      <c r="AT211" s="121"/>
      <c r="AU211" s="121"/>
      <c r="AV211" s="121"/>
      <c r="AW211" s="121"/>
      <c r="AX211" s="121"/>
      <c r="AY211" s="121"/>
      <c r="AZ211" s="121"/>
      <c r="BA211" s="121"/>
      <c r="BB211" s="121"/>
      <c r="BC211" s="121"/>
      <c r="BD211" s="121"/>
      <c r="BE211" s="121"/>
      <c r="BF211" s="121"/>
      <c r="BG211" s="121"/>
      <c r="BH211" s="121"/>
      <c r="BI211" s="121"/>
      <c r="BJ211" s="121"/>
      <c r="BK211" s="121"/>
      <c r="BL211" s="121"/>
      <c r="BM211" s="121"/>
      <c r="BN211" s="121"/>
      <c r="BO211" s="121"/>
      <c r="BP211" s="121"/>
      <c r="BQ211" s="121"/>
      <c r="BR211" s="121"/>
      <c r="BS211" s="121"/>
      <c r="BT211" s="121"/>
      <c r="BU211" s="121"/>
      <c r="BV211" s="121"/>
      <c r="BW211" s="121"/>
      <c r="BX211" s="121"/>
      <c r="BY211" s="121"/>
      <c r="BZ211" s="121"/>
      <c r="CA211" s="121"/>
      <c r="CB211" s="121"/>
      <c r="CC211" s="121"/>
      <c r="CD211" s="121"/>
      <c r="CE211" s="121"/>
      <c r="CF211" s="121"/>
      <c r="CG211" s="121"/>
      <c r="CH211" s="121"/>
      <c r="CI211" s="121"/>
      <c r="CJ211" s="121"/>
      <c r="CK211" s="121"/>
      <c r="CL211" s="121"/>
      <c r="CM211" s="121"/>
      <c r="CN211" s="121"/>
      <c r="CO211" s="121"/>
      <c r="CP211" s="121"/>
      <c r="CQ211" s="121"/>
      <c r="CR211" s="121"/>
      <c r="CS211" s="121"/>
      <c r="CT211" s="121"/>
      <c r="CU211" s="121"/>
      <c r="CV211" s="121"/>
      <c r="CW211" s="121"/>
      <c r="CX211" s="121"/>
      <c r="CY211" s="121"/>
      <c r="CZ211" s="121"/>
      <c r="DA211" s="121"/>
      <c r="DB211" s="121"/>
      <c r="DC211" s="121"/>
      <c r="DD211" s="121"/>
      <c r="DE211" s="121"/>
      <c r="DF211" s="121"/>
      <c r="DG211" s="121"/>
      <c r="DH211" s="121"/>
      <c r="DI211" s="121"/>
      <c r="DJ211" s="121"/>
      <c r="DK211" s="121"/>
      <c r="DL211" s="121"/>
      <c r="DM211" s="121"/>
      <c r="DN211" s="121"/>
      <c r="DO211" s="121"/>
      <c r="DP211" s="121"/>
      <c r="DQ211" s="121"/>
      <c r="DR211" s="121"/>
      <c r="DS211" s="121"/>
      <c r="DT211" s="121"/>
      <c r="DU211" s="121"/>
      <c r="DV211" s="121"/>
      <c r="DW211" s="121"/>
      <c r="DX211" s="121"/>
      <c r="DY211" s="121"/>
      <c r="DZ211" s="121"/>
      <c r="EA211" s="121"/>
      <c r="EB211" s="121"/>
      <c r="EC211" s="121"/>
      <c r="ED211" s="121"/>
      <c r="EE211" s="121"/>
      <c r="EF211" s="121"/>
      <c r="EG211" s="121"/>
      <c r="EH211" s="121"/>
      <c r="EI211" s="121"/>
      <c r="EJ211" s="121"/>
      <c r="EK211" s="121"/>
      <c r="EL211" s="121"/>
      <c r="EM211" s="121"/>
      <c r="EN211" s="121"/>
      <c r="EO211" s="121"/>
      <c r="EP211" s="121"/>
      <c r="EQ211" s="121"/>
      <c r="ER211" s="121"/>
      <c r="ES211" s="121"/>
      <c r="ET211" s="121"/>
      <c r="EU211" s="121"/>
      <c r="EV211" s="121"/>
      <c r="EW211" s="121"/>
      <c r="EX211" s="121"/>
      <c r="EY211" s="121"/>
      <c r="EZ211" s="121"/>
      <c r="FA211" s="121"/>
      <c r="FB211" s="121"/>
      <c r="FC211" s="121"/>
      <c r="FD211" s="121"/>
      <c r="FE211" s="121"/>
      <c r="FF211" s="121"/>
      <c r="FG211" s="121"/>
      <c r="FH211" s="121"/>
      <c r="FI211" s="121"/>
      <c r="FJ211" s="121"/>
      <c r="FK211" s="121"/>
      <c r="FL211" s="121"/>
      <c r="FM211" s="121"/>
      <c r="FN211" s="121"/>
      <c r="FO211" s="121"/>
      <c r="FP211" s="121"/>
      <c r="FQ211" s="121"/>
      <c r="FR211" s="121"/>
      <c r="FS211" s="121"/>
      <c r="FT211" s="121"/>
      <c r="FU211" s="121"/>
      <c r="FV211" s="121"/>
      <c r="FW211" s="121"/>
      <c r="FX211" s="121"/>
      <c r="FY211" s="121"/>
      <c r="FZ211" s="121"/>
      <c r="GA211" s="121"/>
      <c r="GB211" s="121"/>
      <c r="GC211" s="121"/>
      <c r="GD211" s="121"/>
      <c r="GE211" s="121"/>
      <c r="GF211" s="121"/>
      <c r="GG211" s="121"/>
      <c r="GH211" s="121"/>
    </row>
    <row r="212" spans="1:190">
      <c r="A212" s="121"/>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c r="AD212" s="121"/>
      <c r="AE212" s="121"/>
      <c r="AF212" s="121"/>
      <c r="AG212" s="121"/>
      <c r="AH212" s="121"/>
      <c r="AI212" s="121"/>
      <c r="AJ212" s="121"/>
      <c r="AK212" s="121"/>
      <c r="AL212" s="121"/>
      <c r="AM212" s="121"/>
      <c r="AN212" s="121"/>
      <c r="AO212" s="121"/>
      <c r="AP212" s="121"/>
      <c r="AQ212" s="121"/>
      <c r="AR212" s="121"/>
      <c r="AS212" s="121"/>
      <c r="AT212" s="121"/>
      <c r="AU212" s="121"/>
      <c r="AV212" s="121"/>
      <c r="AW212" s="121"/>
      <c r="AX212" s="121"/>
      <c r="AY212" s="121"/>
      <c r="AZ212" s="121"/>
      <c r="BA212" s="121"/>
      <c r="BB212" s="121"/>
      <c r="BC212" s="121"/>
      <c r="BD212" s="121"/>
      <c r="BE212" s="121"/>
      <c r="BF212" s="121"/>
      <c r="BG212" s="121"/>
      <c r="BH212" s="121"/>
      <c r="BI212" s="121"/>
      <c r="BJ212" s="121"/>
      <c r="BK212" s="121"/>
      <c r="BL212" s="121"/>
      <c r="BM212" s="121"/>
      <c r="BN212" s="121"/>
      <c r="BO212" s="121"/>
      <c r="BP212" s="121"/>
      <c r="BQ212" s="121"/>
      <c r="BR212" s="121"/>
      <c r="BS212" s="121"/>
      <c r="BT212" s="121"/>
      <c r="BU212" s="121"/>
      <c r="BV212" s="121"/>
      <c r="BW212" s="121"/>
      <c r="BX212" s="121"/>
      <c r="BY212" s="121"/>
      <c r="BZ212" s="121"/>
      <c r="CA212" s="121"/>
      <c r="CB212" s="121"/>
      <c r="CC212" s="121"/>
      <c r="CD212" s="121"/>
      <c r="CE212" s="121"/>
      <c r="CF212" s="121"/>
      <c r="CG212" s="121"/>
      <c r="CH212" s="121"/>
      <c r="CI212" s="121"/>
      <c r="CJ212" s="121"/>
      <c r="CK212" s="121"/>
      <c r="CL212" s="121"/>
      <c r="CM212" s="121"/>
      <c r="CN212" s="121"/>
      <c r="CO212" s="121"/>
      <c r="CP212" s="121"/>
      <c r="CQ212" s="121"/>
      <c r="CR212" s="121"/>
      <c r="CS212" s="121"/>
      <c r="CT212" s="121"/>
      <c r="CU212" s="121"/>
      <c r="CV212" s="121"/>
      <c r="CW212" s="121"/>
      <c r="CX212" s="121"/>
      <c r="CY212" s="121"/>
      <c r="CZ212" s="121"/>
      <c r="DA212" s="121"/>
      <c r="DB212" s="121"/>
      <c r="DC212" s="121"/>
      <c r="DD212" s="121"/>
      <c r="DE212" s="121"/>
      <c r="DF212" s="121"/>
      <c r="DG212" s="121"/>
      <c r="DH212" s="121"/>
      <c r="DI212" s="121"/>
      <c r="DJ212" s="121"/>
      <c r="DK212" s="121"/>
      <c r="DL212" s="121"/>
      <c r="DM212" s="121"/>
      <c r="DN212" s="121"/>
      <c r="DO212" s="121"/>
      <c r="DP212" s="121"/>
      <c r="DQ212" s="121"/>
      <c r="DR212" s="121"/>
      <c r="DS212" s="121"/>
      <c r="DT212" s="121"/>
      <c r="DU212" s="121"/>
      <c r="DV212" s="121"/>
      <c r="DW212" s="121"/>
      <c r="DX212" s="121"/>
      <c r="DY212" s="121"/>
      <c r="DZ212" s="121"/>
      <c r="EA212" s="121"/>
      <c r="EB212" s="121"/>
      <c r="EC212" s="121"/>
      <c r="ED212" s="121"/>
      <c r="EE212" s="121"/>
      <c r="EF212" s="121"/>
      <c r="EG212" s="121"/>
      <c r="EH212" s="121"/>
      <c r="EI212" s="121"/>
      <c r="EJ212" s="121"/>
      <c r="EK212" s="121"/>
      <c r="EL212" s="121"/>
      <c r="EM212" s="121"/>
      <c r="EN212" s="121"/>
      <c r="EO212" s="121"/>
      <c r="EP212" s="121"/>
      <c r="EQ212" s="121"/>
      <c r="ER212" s="121"/>
      <c r="ES212" s="121"/>
      <c r="ET212" s="121"/>
      <c r="EU212" s="121"/>
      <c r="EV212" s="121"/>
      <c r="EW212" s="121"/>
      <c r="EX212" s="121"/>
      <c r="EY212" s="121"/>
      <c r="EZ212" s="121"/>
      <c r="FA212" s="121"/>
      <c r="FB212" s="121"/>
      <c r="FC212" s="121"/>
      <c r="FD212" s="121"/>
      <c r="FE212" s="121"/>
      <c r="FF212" s="121"/>
      <c r="FG212" s="121"/>
      <c r="FH212" s="121"/>
      <c r="FI212" s="121"/>
      <c r="FJ212" s="121"/>
      <c r="FK212" s="121"/>
      <c r="FL212" s="121"/>
      <c r="FM212" s="121"/>
      <c r="FN212" s="121"/>
      <c r="FO212" s="121"/>
      <c r="FP212" s="121"/>
      <c r="FQ212" s="121"/>
      <c r="FR212" s="121"/>
      <c r="FS212" s="121"/>
      <c r="FT212" s="121"/>
      <c r="FU212" s="121"/>
      <c r="FV212" s="121"/>
      <c r="FW212" s="121"/>
      <c r="FX212" s="121"/>
      <c r="FY212" s="121"/>
      <c r="FZ212" s="121"/>
      <c r="GA212" s="121"/>
      <c r="GB212" s="121"/>
      <c r="GC212" s="121"/>
      <c r="GD212" s="121"/>
      <c r="GE212" s="121"/>
      <c r="GF212" s="121"/>
      <c r="GG212" s="121"/>
      <c r="GH212" s="121"/>
    </row>
    <row r="213" spans="1:190">
      <c r="A213" s="121"/>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c r="AD213" s="121"/>
      <c r="AE213" s="121"/>
      <c r="AF213" s="121"/>
      <c r="AG213" s="121"/>
      <c r="AH213" s="121"/>
      <c r="AI213" s="121"/>
      <c r="AJ213" s="121"/>
      <c r="AK213" s="121"/>
      <c r="AL213" s="121"/>
      <c r="AM213" s="121"/>
      <c r="AN213" s="121"/>
      <c r="AO213" s="121"/>
      <c r="AP213" s="121"/>
      <c r="AQ213" s="121"/>
      <c r="AR213" s="121"/>
      <c r="AS213" s="121"/>
      <c r="AT213" s="121"/>
      <c r="AU213" s="121"/>
      <c r="AV213" s="121"/>
      <c r="AW213" s="121"/>
      <c r="AX213" s="121"/>
      <c r="AY213" s="121"/>
      <c r="AZ213" s="121"/>
      <c r="BA213" s="121"/>
      <c r="BB213" s="121"/>
      <c r="BC213" s="121"/>
      <c r="BD213" s="121"/>
      <c r="BE213" s="121"/>
      <c r="BF213" s="121"/>
      <c r="BG213" s="121"/>
      <c r="BH213" s="121"/>
      <c r="BI213" s="121"/>
      <c r="BJ213" s="121"/>
      <c r="BK213" s="121"/>
      <c r="BL213" s="121"/>
      <c r="BM213" s="121"/>
      <c r="BN213" s="121"/>
      <c r="BO213" s="121"/>
      <c r="BP213" s="121"/>
      <c r="BQ213" s="121"/>
      <c r="BR213" s="121"/>
      <c r="BS213" s="121"/>
      <c r="BT213" s="121"/>
      <c r="BU213" s="121"/>
      <c r="BV213" s="121"/>
      <c r="BW213" s="121"/>
      <c r="BX213" s="121"/>
      <c r="BY213" s="121"/>
      <c r="BZ213" s="121"/>
      <c r="CA213" s="121"/>
      <c r="CB213" s="121"/>
      <c r="CC213" s="121"/>
      <c r="CD213" s="121"/>
      <c r="CE213" s="121"/>
      <c r="CF213" s="121"/>
      <c r="CG213" s="121"/>
      <c r="CH213" s="121"/>
      <c r="CI213" s="121"/>
      <c r="CJ213" s="121"/>
      <c r="CK213" s="121"/>
      <c r="CL213" s="121"/>
      <c r="CM213" s="121"/>
      <c r="CN213" s="121"/>
      <c r="CO213" s="121"/>
      <c r="CP213" s="121"/>
      <c r="CQ213" s="121"/>
      <c r="CR213" s="121"/>
      <c r="CS213" s="121"/>
      <c r="CT213" s="121"/>
      <c r="CU213" s="121"/>
      <c r="CV213" s="121"/>
      <c r="CW213" s="121"/>
      <c r="CX213" s="121"/>
      <c r="CY213" s="121"/>
      <c r="CZ213" s="121"/>
      <c r="DA213" s="121"/>
      <c r="DB213" s="121"/>
      <c r="DC213" s="121"/>
      <c r="DD213" s="121"/>
      <c r="DE213" s="121"/>
      <c r="DF213" s="121"/>
      <c r="DG213" s="121"/>
      <c r="DH213" s="121"/>
      <c r="DI213" s="121"/>
      <c r="DJ213" s="121"/>
      <c r="DK213" s="121"/>
      <c r="DL213" s="121"/>
      <c r="DM213" s="121"/>
      <c r="DN213" s="121"/>
      <c r="DO213" s="121"/>
      <c r="DP213" s="121"/>
      <c r="DQ213" s="121"/>
      <c r="DR213" s="121"/>
      <c r="DS213" s="121"/>
      <c r="DT213" s="121"/>
      <c r="DU213" s="121"/>
      <c r="DV213" s="121"/>
      <c r="DW213" s="121"/>
      <c r="DX213" s="121"/>
      <c r="DY213" s="121"/>
      <c r="DZ213" s="121"/>
      <c r="EA213" s="121"/>
      <c r="EB213" s="121"/>
      <c r="EC213" s="121"/>
      <c r="ED213" s="121"/>
      <c r="EE213" s="121"/>
      <c r="EF213" s="121"/>
      <c r="EG213" s="121"/>
      <c r="EH213" s="121"/>
      <c r="EI213" s="121"/>
      <c r="EJ213" s="121"/>
      <c r="EK213" s="121"/>
      <c r="EL213" s="121"/>
      <c r="EM213" s="121"/>
      <c r="EN213" s="121"/>
      <c r="EO213" s="121"/>
      <c r="EP213" s="121"/>
      <c r="EQ213" s="121"/>
      <c r="ER213" s="121"/>
      <c r="ES213" s="121"/>
      <c r="ET213" s="121"/>
      <c r="EU213" s="121"/>
      <c r="EV213" s="121"/>
      <c r="EW213" s="121"/>
      <c r="EX213" s="121"/>
      <c r="EY213" s="121"/>
      <c r="EZ213" s="121"/>
      <c r="FA213" s="121"/>
      <c r="FB213" s="121"/>
      <c r="FC213" s="121"/>
      <c r="FD213" s="121"/>
      <c r="FE213" s="121"/>
      <c r="FF213" s="121"/>
      <c r="FG213" s="121"/>
      <c r="FH213" s="121"/>
      <c r="FI213" s="121"/>
      <c r="FJ213" s="121"/>
      <c r="FK213" s="121"/>
      <c r="FL213" s="121"/>
      <c r="FM213" s="121"/>
      <c r="FN213" s="121"/>
      <c r="FO213" s="121"/>
      <c r="FP213" s="121"/>
      <c r="FQ213" s="121"/>
      <c r="FR213" s="121"/>
      <c r="FS213" s="121"/>
      <c r="FT213" s="121"/>
      <c r="FU213" s="121"/>
      <c r="FV213" s="121"/>
      <c r="FW213" s="121"/>
      <c r="FX213" s="121"/>
      <c r="FY213" s="121"/>
      <c r="FZ213" s="121"/>
      <c r="GA213" s="121"/>
      <c r="GB213" s="121"/>
      <c r="GC213" s="121"/>
      <c r="GD213" s="121"/>
      <c r="GE213" s="121"/>
      <c r="GF213" s="121"/>
      <c r="GG213" s="121"/>
      <c r="GH213" s="121"/>
    </row>
    <row r="214" spans="1:190">
      <c r="A214" s="121"/>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c r="AD214" s="121"/>
      <c r="AE214" s="121"/>
      <c r="AF214" s="121"/>
      <c r="AG214" s="121"/>
      <c r="AH214" s="121"/>
      <c r="AI214" s="121"/>
      <c r="AJ214" s="121"/>
      <c r="AK214" s="121"/>
      <c r="AL214" s="121"/>
      <c r="AM214" s="121"/>
      <c r="AN214" s="121"/>
      <c r="AO214" s="121"/>
      <c r="AP214" s="121"/>
      <c r="AQ214" s="121"/>
      <c r="AR214" s="121"/>
      <c r="AS214" s="121"/>
      <c r="AT214" s="121"/>
      <c r="AU214" s="121"/>
      <c r="AV214" s="121"/>
      <c r="AW214" s="121"/>
      <c r="AX214" s="121"/>
      <c r="AY214" s="121"/>
      <c r="AZ214" s="121"/>
      <c r="BA214" s="121"/>
      <c r="BB214" s="121"/>
      <c r="BC214" s="121"/>
      <c r="BD214" s="121"/>
      <c r="BE214" s="121"/>
      <c r="BF214" s="121"/>
      <c r="BG214" s="121"/>
      <c r="BH214" s="121"/>
      <c r="BI214" s="121"/>
      <c r="BJ214" s="121"/>
      <c r="BK214" s="121"/>
      <c r="BL214" s="121"/>
      <c r="BM214" s="121"/>
      <c r="BN214" s="121"/>
      <c r="BO214" s="121"/>
      <c r="BP214" s="121"/>
      <c r="BQ214" s="121"/>
      <c r="BR214" s="121"/>
      <c r="BS214" s="121"/>
      <c r="BT214" s="121"/>
      <c r="BU214" s="121"/>
      <c r="BV214" s="121"/>
      <c r="BW214" s="121"/>
      <c r="BX214" s="121"/>
      <c r="BY214" s="121"/>
      <c r="BZ214" s="121"/>
      <c r="CA214" s="121"/>
      <c r="CB214" s="121"/>
      <c r="CC214" s="121"/>
      <c r="CD214" s="121"/>
      <c r="CE214" s="121"/>
      <c r="CF214" s="121"/>
      <c r="CG214" s="121"/>
      <c r="CH214" s="121"/>
      <c r="CI214" s="121"/>
      <c r="CJ214" s="121"/>
      <c r="CK214" s="121"/>
      <c r="CL214" s="121"/>
      <c r="CM214" s="121"/>
      <c r="CN214" s="121"/>
      <c r="CO214" s="121"/>
      <c r="CP214" s="121"/>
      <c r="CQ214" s="121"/>
      <c r="CR214" s="121"/>
      <c r="CS214" s="121"/>
      <c r="CT214" s="121"/>
      <c r="CU214" s="121"/>
      <c r="CV214" s="121"/>
      <c r="CW214" s="121"/>
      <c r="CX214" s="121"/>
      <c r="CY214" s="121"/>
      <c r="CZ214" s="121"/>
      <c r="DA214" s="121"/>
      <c r="DB214" s="121"/>
      <c r="DC214" s="121"/>
      <c r="DD214" s="121"/>
      <c r="DE214" s="121"/>
      <c r="DF214" s="121"/>
      <c r="DG214" s="121"/>
      <c r="DH214" s="121"/>
      <c r="DI214" s="121"/>
      <c r="DJ214" s="121"/>
      <c r="DK214" s="121"/>
      <c r="DL214" s="121"/>
      <c r="DM214" s="121"/>
      <c r="DN214" s="121"/>
      <c r="DO214" s="121"/>
      <c r="DP214" s="121"/>
      <c r="DQ214" s="121"/>
      <c r="DR214" s="121"/>
      <c r="DS214" s="121"/>
      <c r="DT214" s="121"/>
      <c r="DU214" s="121"/>
      <c r="DV214" s="121"/>
      <c r="DW214" s="121"/>
      <c r="DX214" s="121"/>
      <c r="DY214" s="121"/>
      <c r="DZ214" s="121"/>
      <c r="EA214" s="121"/>
      <c r="EB214" s="121"/>
      <c r="EC214" s="121"/>
      <c r="ED214" s="121"/>
      <c r="EE214" s="121"/>
      <c r="EF214" s="121"/>
      <c r="EG214" s="121"/>
      <c r="EH214" s="121"/>
      <c r="EI214" s="121"/>
      <c r="EJ214" s="121"/>
      <c r="EK214" s="121"/>
      <c r="EL214" s="121"/>
      <c r="EM214" s="121"/>
      <c r="EN214" s="121"/>
      <c r="EO214" s="121"/>
      <c r="EP214" s="121"/>
      <c r="EQ214" s="121"/>
      <c r="ER214" s="121"/>
      <c r="ES214" s="121"/>
      <c r="ET214" s="121"/>
      <c r="EU214" s="121"/>
      <c r="EV214" s="121"/>
      <c r="EW214" s="121"/>
      <c r="EX214" s="121"/>
      <c r="EY214" s="121"/>
      <c r="EZ214" s="121"/>
      <c r="FA214" s="121"/>
      <c r="FB214" s="121"/>
      <c r="FC214" s="121"/>
      <c r="FD214" s="121"/>
      <c r="FE214" s="121"/>
      <c r="FF214" s="121"/>
      <c r="FG214" s="121"/>
      <c r="FH214" s="121"/>
      <c r="FI214" s="121"/>
      <c r="FJ214" s="121"/>
      <c r="FK214" s="121"/>
      <c r="FL214" s="121"/>
      <c r="FM214" s="121"/>
      <c r="FN214" s="121"/>
      <c r="FO214" s="121"/>
      <c r="FP214" s="121"/>
      <c r="FQ214" s="121"/>
      <c r="FR214" s="121"/>
      <c r="FS214" s="121"/>
      <c r="FT214" s="121"/>
      <c r="FU214" s="121"/>
      <c r="FV214" s="121"/>
      <c r="FW214" s="121"/>
      <c r="FX214" s="121"/>
      <c r="FY214" s="121"/>
      <c r="FZ214" s="121"/>
      <c r="GA214" s="121"/>
      <c r="GB214" s="121"/>
      <c r="GC214" s="121"/>
      <c r="GD214" s="121"/>
      <c r="GE214" s="121"/>
      <c r="GF214" s="121"/>
      <c r="GG214" s="121"/>
      <c r="GH214" s="121"/>
    </row>
    <row r="215" spans="1:190">
      <c r="A215" s="121"/>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c r="AD215" s="121"/>
      <c r="AE215" s="121"/>
      <c r="AF215" s="121"/>
      <c r="AG215" s="121"/>
      <c r="AH215" s="121"/>
      <c r="AI215" s="121"/>
      <c r="AJ215" s="121"/>
      <c r="AK215" s="121"/>
      <c r="AL215" s="121"/>
      <c r="AM215" s="121"/>
      <c r="AN215" s="121"/>
      <c r="AO215" s="121"/>
      <c r="AP215" s="121"/>
      <c r="AQ215" s="121"/>
      <c r="AR215" s="121"/>
      <c r="AS215" s="121"/>
      <c r="AT215" s="121"/>
      <c r="AU215" s="121"/>
      <c r="AV215" s="121"/>
      <c r="AW215" s="121"/>
      <c r="AX215" s="121"/>
      <c r="AY215" s="121"/>
      <c r="AZ215" s="121"/>
      <c r="BA215" s="121"/>
      <c r="BB215" s="121"/>
      <c r="BC215" s="121"/>
      <c r="BD215" s="121"/>
      <c r="BE215" s="121"/>
      <c r="BF215" s="121"/>
      <c r="BG215" s="121"/>
      <c r="BH215" s="121"/>
      <c r="BI215" s="121"/>
      <c r="BJ215" s="121"/>
      <c r="BK215" s="121"/>
      <c r="BL215" s="121"/>
      <c r="BM215" s="121"/>
      <c r="BN215" s="121"/>
      <c r="BO215" s="121"/>
      <c r="BP215" s="121"/>
      <c r="BQ215" s="121"/>
      <c r="BR215" s="121"/>
      <c r="BS215" s="121"/>
      <c r="BT215" s="121"/>
      <c r="BU215" s="121"/>
      <c r="BV215" s="121"/>
      <c r="BW215" s="121"/>
      <c r="BX215" s="121"/>
      <c r="BY215" s="121"/>
      <c r="BZ215" s="121"/>
      <c r="CA215" s="121"/>
      <c r="CB215" s="121"/>
      <c r="CC215" s="121"/>
      <c r="CD215" s="121"/>
      <c r="CE215" s="121"/>
      <c r="CF215" s="121"/>
      <c r="CG215" s="121"/>
      <c r="CH215" s="121"/>
      <c r="CI215" s="121"/>
      <c r="CJ215" s="121"/>
      <c r="CK215" s="121"/>
      <c r="CL215" s="121"/>
      <c r="CM215" s="121"/>
      <c r="CN215" s="121"/>
      <c r="CO215" s="121"/>
      <c r="CP215" s="121"/>
      <c r="CQ215" s="121"/>
      <c r="CR215" s="121"/>
      <c r="CS215" s="121"/>
      <c r="CT215" s="121"/>
      <c r="CU215" s="121"/>
      <c r="CV215" s="121"/>
      <c r="CW215" s="121"/>
      <c r="CX215" s="121"/>
      <c r="CY215" s="121"/>
      <c r="CZ215" s="121"/>
      <c r="DA215" s="121"/>
      <c r="DB215" s="121"/>
      <c r="DC215" s="121"/>
      <c r="DD215" s="121"/>
      <c r="DE215" s="121"/>
      <c r="DF215" s="121"/>
      <c r="DG215" s="121"/>
      <c r="DH215" s="121"/>
      <c r="DI215" s="121"/>
      <c r="DJ215" s="121"/>
      <c r="DK215" s="121"/>
      <c r="DL215" s="121"/>
      <c r="DM215" s="121"/>
      <c r="DN215" s="121"/>
      <c r="DO215" s="121"/>
      <c r="DP215" s="121"/>
      <c r="DQ215" s="121"/>
      <c r="DR215" s="121"/>
      <c r="DS215" s="121"/>
      <c r="DT215" s="121"/>
      <c r="DU215" s="121"/>
      <c r="DV215" s="121"/>
      <c r="DW215" s="121"/>
      <c r="DX215" s="121"/>
      <c r="DY215" s="121"/>
      <c r="DZ215" s="121"/>
      <c r="EA215" s="121"/>
      <c r="EB215" s="121"/>
      <c r="EC215" s="121"/>
      <c r="ED215" s="121"/>
      <c r="EE215" s="121"/>
      <c r="EF215" s="121"/>
      <c r="EG215" s="121"/>
      <c r="EH215" s="121"/>
      <c r="EI215" s="121"/>
      <c r="EJ215" s="121"/>
      <c r="EK215" s="121"/>
      <c r="EL215" s="121"/>
      <c r="EM215" s="121"/>
      <c r="EN215" s="121"/>
      <c r="EO215" s="121"/>
      <c r="EP215" s="121"/>
      <c r="EQ215" s="121"/>
      <c r="ER215" s="121"/>
      <c r="ES215" s="121"/>
      <c r="ET215" s="121"/>
      <c r="EU215" s="121"/>
      <c r="EV215" s="121"/>
      <c r="EW215" s="121"/>
      <c r="EX215" s="121"/>
      <c r="EY215" s="121"/>
      <c r="EZ215" s="121"/>
      <c r="FA215" s="121"/>
      <c r="FB215" s="121"/>
      <c r="FC215" s="121"/>
      <c r="FD215" s="121"/>
      <c r="FE215" s="121"/>
      <c r="FF215" s="121"/>
      <c r="FG215" s="121"/>
      <c r="FH215" s="121"/>
      <c r="FI215" s="121"/>
      <c r="FJ215" s="121"/>
      <c r="FK215" s="121"/>
      <c r="FL215" s="121"/>
      <c r="FM215" s="121"/>
      <c r="FN215" s="121"/>
      <c r="FO215" s="121"/>
      <c r="FP215" s="121"/>
      <c r="FQ215" s="121"/>
      <c r="FR215" s="121"/>
      <c r="FS215" s="121"/>
      <c r="FT215" s="121"/>
      <c r="FU215" s="121"/>
      <c r="FV215" s="121"/>
      <c r="FW215" s="121"/>
      <c r="FX215" s="121"/>
      <c r="FY215" s="121"/>
      <c r="FZ215" s="121"/>
      <c r="GA215" s="121"/>
      <c r="GB215" s="121"/>
      <c r="GC215" s="121"/>
      <c r="GD215" s="121"/>
      <c r="GE215" s="121"/>
      <c r="GF215" s="121"/>
      <c r="GG215" s="121"/>
      <c r="GH215" s="121"/>
    </row>
    <row r="216" spans="1:190">
      <c r="A216" s="121"/>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c r="AD216" s="121"/>
      <c r="AE216" s="121"/>
      <c r="AF216" s="121"/>
      <c r="AG216" s="121"/>
      <c r="AH216" s="121"/>
      <c r="AI216" s="121"/>
      <c r="AJ216" s="121"/>
      <c r="AK216" s="121"/>
      <c r="AL216" s="121"/>
      <c r="AM216" s="121"/>
      <c r="AN216" s="121"/>
      <c r="AO216" s="121"/>
      <c r="AP216" s="121"/>
      <c r="AQ216" s="121"/>
      <c r="AR216" s="121"/>
      <c r="AS216" s="121"/>
      <c r="AT216" s="121"/>
      <c r="AU216" s="121"/>
      <c r="AV216" s="121"/>
      <c r="AW216" s="121"/>
      <c r="AX216" s="121"/>
      <c r="AY216" s="121"/>
      <c r="AZ216" s="121"/>
      <c r="BA216" s="121"/>
      <c r="BB216" s="121"/>
      <c r="BC216" s="121"/>
      <c r="BD216" s="121"/>
      <c r="BE216" s="121"/>
      <c r="BF216" s="121"/>
      <c r="BG216" s="121"/>
      <c r="BH216" s="121"/>
      <c r="BI216" s="121"/>
      <c r="BJ216" s="121"/>
      <c r="BK216" s="121"/>
      <c r="BL216" s="121"/>
      <c r="BM216" s="121"/>
      <c r="BN216" s="121"/>
      <c r="BO216" s="121"/>
      <c r="BP216" s="121"/>
      <c r="BQ216" s="121"/>
      <c r="BR216" s="121"/>
      <c r="BS216" s="121"/>
      <c r="BT216" s="121"/>
      <c r="BU216" s="121"/>
      <c r="BV216" s="121"/>
      <c r="BW216" s="121"/>
      <c r="BX216" s="121"/>
      <c r="BY216" s="121"/>
      <c r="BZ216" s="121"/>
      <c r="CA216" s="121"/>
      <c r="CB216" s="121"/>
      <c r="CC216" s="121"/>
      <c r="CD216" s="121"/>
      <c r="CE216" s="121"/>
      <c r="CF216" s="121"/>
      <c r="CG216" s="121"/>
      <c r="CH216" s="121"/>
      <c r="CI216" s="121"/>
      <c r="CJ216" s="121"/>
      <c r="CK216" s="121"/>
      <c r="CL216" s="121"/>
      <c r="CM216" s="121"/>
      <c r="CN216" s="121"/>
      <c r="CO216" s="121"/>
      <c r="CP216" s="121"/>
      <c r="CQ216" s="121"/>
      <c r="CR216" s="121"/>
      <c r="CS216" s="121"/>
      <c r="CT216" s="121"/>
      <c r="CU216" s="121"/>
      <c r="CV216" s="121"/>
      <c r="CW216" s="121"/>
      <c r="CX216" s="121"/>
      <c r="CY216" s="121"/>
      <c r="CZ216" s="121"/>
      <c r="DA216" s="121"/>
      <c r="DB216" s="121"/>
      <c r="DC216" s="121"/>
      <c r="DD216" s="121"/>
      <c r="DE216" s="121"/>
      <c r="DF216" s="121"/>
      <c r="DG216" s="121"/>
      <c r="DH216" s="121"/>
      <c r="DI216" s="121"/>
      <c r="DJ216" s="121"/>
      <c r="DK216" s="121"/>
      <c r="DL216" s="121"/>
      <c r="DM216" s="121"/>
      <c r="DN216" s="121"/>
      <c r="DO216" s="121"/>
      <c r="DP216" s="121"/>
      <c r="DQ216" s="121"/>
      <c r="DR216" s="121"/>
      <c r="DS216" s="121"/>
      <c r="DT216" s="121"/>
      <c r="DU216" s="121"/>
      <c r="DV216" s="121"/>
      <c r="DW216" s="121"/>
      <c r="DX216" s="121"/>
      <c r="DY216" s="121"/>
      <c r="DZ216" s="121"/>
      <c r="EA216" s="121"/>
      <c r="EB216" s="121"/>
      <c r="EC216" s="121"/>
      <c r="ED216" s="121"/>
      <c r="EE216" s="121"/>
      <c r="EF216" s="121"/>
      <c r="EG216" s="121"/>
      <c r="EH216" s="121"/>
      <c r="EI216" s="121"/>
      <c r="EJ216" s="121"/>
      <c r="EK216" s="121"/>
      <c r="EL216" s="121"/>
      <c r="EM216" s="121"/>
      <c r="EN216" s="121"/>
      <c r="EO216" s="121"/>
      <c r="EP216" s="121"/>
      <c r="EQ216" s="121"/>
      <c r="ER216" s="121"/>
      <c r="ES216" s="121"/>
      <c r="ET216" s="121"/>
      <c r="EU216" s="121"/>
      <c r="EV216" s="121"/>
      <c r="EW216" s="121"/>
      <c r="EX216" s="121"/>
      <c r="EY216" s="121"/>
      <c r="EZ216" s="121"/>
      <c r="FA216" s="121"/>
      <c r="FB216" s="121"/>
      <c r="FC216" s="121"/>
      <c r="FD216" s="121"/>
      <c r="FE216" s="121"/>
      <c r="FF216" s="121"/>
      <c r="FG216" s="121"/>
      <c r="FH216" s="121"/>
      <c r="FI216" s="121"/>
      <c r="FJ216" s="121"/>
      <c r="FK216" s="121"/>
      <c r="FL216" s="121"/>
      <c r="FM216" s="121"/>
      <c r="FN216" s="121"/>
      <c r="FO216" s="121"/>
      <c r="FP216" s="121"/>
      <c r="FQ216" s="121"/>
      <c r="FR216" s="121"/>
      <c r="FS216" s="121"/>
      <c r="FT216" s="121"/>
      <c r="FU216" s="121"/>
      <c r="FV216" s="121"/>
      <c r="FW216" s="121"/>
      <c r="FX216" s="121"/>
      <c r="FY216" s="121"/>
      <c r="FZ216" s="121"/>
      <c r="GA216" s="121"/>
      <c r="GB216" s="121"/>
      <c r="GC216" s="121"/>
      <c r="GD216" s="121"/>
      <c r="GE216" s="121"/>
      <c r="GF216" s="121"/>
      <c r="GG216" s="121"/>
      <c r="GH216" s="121"/>
    </row>
    <row r="217" spans="1:190">
      <c r="A217" s="121"/>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c r="AD217" s="121"/>
      <c r="AE217" s="121"/>
      <c r="AF217" s="121"/>
      <c r="AG217" s="121"/>
      <c r="AH217" s="121"/>
      <c r="AI217" s="121"/>
      <c r="AJ217" s="121"/>
      <c r="AK217" s="121"/>
      <c r="AL217" s="121"/>
      <c r="AM217" s="121"/>
      <c r="AN217" s="121"/>
      <c r="AO217" s="121"/>
      <c r="AP217" s="121"/>
      <c r="AQ217" s="121"/>
      <c r="AR217" s="121"/>
      <c r="AS217" s="121"/>
      <c r="AT217" s="121"/>
      <c r="AU217" s="121"/>
      <c r="AV217" s="121"/>
      <c r="AW217" s="121"/>
      <c r="AX217" s="121"/>
      <c r="AY217" s="121"/>
      <c r="AZ217" s="121"/>
      <c r="BA217" s="121"/>
      <c r="BB217" s="121"/>
      <c r="BC217" s="121"/>
      <c r="BD217" s="121"/>
      <c r="BE217" s="121"/>
      <c r="BF217" s="121"/>
      <c r="BG217" s="121"/>
      <c r="BH217" s="121"/>
      <c r="BI217" s="121"/>
      <c r="BJ217" s="121"/>
      <c r="BK217" s="121"/>
      <c r="BL217" s="121"/>
      <c r="BM217" s="121"/>
      <c r="BN217" s="121"/>
      <c r="BO217" s="121"/>
      <c r="BP217" s="121"/>
      <c r="BQ217" s="121"/>
      <c r="BR217" s="121"/>
      <c r="BS217" s="121"/>
      <c r="BT217" s="121"/>
      <c r="BU217" s="121"/>
      <c r="BV217" s="121"/>
      <c r="BW217" s="121"/>
      <c r="BX217" s="121"/>
      <c r="BY217" s="121"/>
      <c r="BZ217" s="121"/>
      <c r="CA217" s="121"/>
      <c r="CB217" s="121"/>
      <c r="CC217" s="121"/>
      <c r="CD217" s="121"/>
      <c r="CE217" s="121"/>
      <c r="CF217" s="121"/>
      <c r="CG217" s="121"/>
      <c r="CH217" s="121"/>
      <c r="CI217" s="121"/>
      <c r="CJ217" s="121"/>
      <c r="CK217" s="121"/>
      <c r="CL217" s="121"/>
      <c r="CM217" s="121"/>
      <c r="CN217" s="121"/>
      <c r="CO217" s="121"/>
      <c r="CP217" s="121"/>
      <c r="CQ217" s="121"/>
      <c r="CR217" s="121"/>
      <c r="CS217" s="121"/>
      <c r="CT217" s="121"/>
      <c r="CU217" s="121"/>
      <c r="CV217" s="121"/>
      <c r="CW217" s="121"/>
      <c r="CX217" s="121"/>
      <c r="CY217" s="121"/>
      <c r="CZ217" s="121"/>
      <c r="DA217" s="121"/>
      <c r="DB217" s="121"/>
      <c r="DC217" s="121"/>
      <c r="DD217" s="121"/>
      <c r="DE217" s="121"/>
      <c r="DF217" s="121"/>
      <c r="DG217" s="121"/>
      <c r="DH217" s="121"/>
      <c r="DI217" s="121"/>
      <c r="DJ217" s="121"/>
      <c r="DK217" s="121"/>
      <c r="DL217" s="121"/>
      <c r="DM217" s="121"/>
      <c r="DN217" s="121"/>
      <c r="DO217" s="121"/>
      <c r="DP217" s="121"/>
      <c r="DQ217" s="121"/>
      <c r="DR217" s="121"/>
      <c r="DS217" s="121"/>
      <c r="DT217" s="121"/>
      <c r="DU217" s="121"/>
      <c r="DV217" s="121"/>
      <c r="DW217" s="121"/>
      <c r="DX217" s="121"/>
      <c r="DY217" s="121"/>
      <c r="DZ217" s="121"/>
      <c r="EA217" s="121"/>
      <c r="EB217" s="121"/>
      <c r="EC217" s="121"/>
      <c r="ED217" s="121"/>
      <c r="EE217" s="121"/>
      <c r="EF217" s="121"/>
      <c r="EG217" s="121"/>
      <c r="EH217" s="121"/>
      <c r="EI217" s="121"/>
      <c r="EJ217" s="121"/>
      <c r="EK217" s="121"/>
      <c r="EL217" s="121"/>
      <c r="EM217" s="121"/>
      <c r="EN217" s="121"/>
      <c r="EO217" s="121"/>
      <c r="EP217" s="121"/>
      <c r="EQ217" s="121"/>
      <c r="ER217" s="121"/>
      <c r="ES217" s="121"/>
      <c r="ET217" s="121"/>
      <c r="EU217" s="121"/>
      <c r="EV217" s="121"/>
      <c r="EW217" s="121"/>
      <c r="EX217" s="121"/>
      <c r="EY217" s="121"/>
      <c r="EZ217" s="121"/>
      <c r="FA217" s="121"/>
      <c r="FB217" s="121"/>
      <c r="FC217" s="121"/>
      <c r="FD217" s="121"/>
      <c r="FE217" s="121"/>
      <c r="FF217" s="121"/>
      <c r="FG217" s="121"/>
      <c r="FH217" s="121"/>
      <c r="FI217" s="121"/>
      <c r="FJ217" s="121"/>
      <c r="FK217" s="121"/>
      <c r="FL217" s="121"/>
      <c r="FM217" s="121"/>
      <c r="FN217" s="121"/>
      <c r="FO217" s="121"/>
      <c r="FP217" s="121"/>
      <c r="FQ217" s="121"/>
      <c r="FR217" s="121"/>
      <c r="FS217" s="121"/>
      <c r="FT217" s="121"/>
      <c r="FU217" s="121"/>
      <c r="FV217" s="121"/>
      <c r="FW217" s="121"/>
      <c r="FX217" s="121"/>
      <c r="FY217" s="121"/>
      <c r="FZ217" s="121"/>
      <c r="GA217" s="121"/>
      <c r="GB217" s="121"/>
      <c r="GC217" s="121"/>
      <c r="GD217" s="121"/>
      <c r="GE217" s="121"/>
      <c r="GF217" s="121"/>
      <c r="GG217" s="121"/>
      <c r="GH217" s="121"/>
    </row>
    <row r="218" spans="1:190">
      <c r="A218" s="121"/>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c r="AD218" s="121"/>
      <c r="AE218" s="121"/>
      <c r="AF218" s="121"/>
      <c r="AG218" s="121"/>
      <c r="AH218" s="121"/>
      <c r="AI218" s="121"/>
      <c r="AJ218" s="121"/>
      <c r="AK218" s="121"/>
      <c r="AL218" s="121"/>
      <c r="AM218" s="121"/>
      <c r="AN218" s="121"/>
      <c r="AO218" s="121"/>
      <c r="AP218" s="121"/>
      <c r="AQ218" s="121"/>
      <c r="AR218" s="121"/>
      <c r="AS218" s="121"/>
      <c r="AT218" s="121"/>
      <c r="AU218" s="121"/>
      <c r="AV218" s="121"/>
      <c r="AW218" s="121"/>
      <c r="AX218" s="121"/>
      <c r="AY218" s="121"/>
      <c r="AZ218" s="121"/>
      <c r="BA218" s="121"/>
      <c r="BB218" s="121"/>
      <c r="BC218" s="121"/>
      <c r="BD218" s="121"/>
      <c r="BE218" s="121"/>
      <c r="BF218" s="121"/>
      <c r="BG218" s="121"/>
      <c r="BH218" s="121"/>
      <c r="BI218" s="121"/>
      <c r="BJ218" s="121"/>
      <c r="BK218" s="121"/>
      <c r="BL218" s="121"/>
      <c r="BM218" s="121"/>
      <c r="BN218" s="121"/>
      <c r="BO218" s="121"/>
      <c r="BP218" s="121"/>
      <c r="BQ218" s="121"/>
      <c r="BR218" s="121"/>
      <c r="BS218" s="121"/>
      <c r="BT218" s="121"/>
      <c r="BU218" s="121"/>
      <c r="BV218" s="121"/>
      <c r="BW218" s="121"/>
      <c r="BX218" s="121"/>
      <c r="BY218" s="121"/>
      <c r="BZ218" s="121"/>
      <c r="CA218" s="121"/>
      <c r="CB218" s="121"/>
      <c r="CC218" s="121"/>
      <c r="CD218" s="121"/>
      <c r="CE218" s="121"/>
      <c r="CF218" s="121"/>
      <c r="CG218" s="121"/>
      <c r="CH218" s="121"/>
      <c r="CI218" s="121"/>
      <c r="CJ218" s="121"/>
      <c r="CK218" s="121"/>
      <c r="CL218" s="121"/>
      <c r="CM218" s="121"/>
      <c r="CN218" s="121"/>
      <c r="CO218" s="121"/>
      <c r="CP218" s="121"/>
      <c r="CQ218" s="121"/>
      <c r="CR218" s="121"/>
      <c r="CS218" s="121"/>
      <c r="CT218" s="121"/>
      <c r="CU218" s="121"/>
      <c r="CV218" s="121"/>
      <c r="CW218" s="121"/>
      <c r="CX218" s="121"/>
      <c r="CY218" s="121"/>
      <c r="CZ218" s="121"/>
      <c r="DA218" s="121"/>
      <c r="DB218" s="121"/>
      <c r="DC218" s="121"/>
      <c r="DD218" s="121"/>
      <c r="DE218" s="121"/>
      <c r="DF218" s="121"/>
      <c r="DG218" s="121"/>
      <c r="DH218" s="121"/>
      <c r="DI218" s="121"/>
      <c r="DJ218" s="121"/>
      <c r="DK218" s="121"/>
      <c r="DL218" s="121"/>
      <c r="DM218" s="121"/>
      <c r="DN218" s="121"/>
      <c r="DO218" s="121"/>
      <c r="DP218" s="121"/>
      <c r="DQ218" s="121"/>
      <c r="DR218" s="121"/>
      <c r="DS218" s="121"/>
      <c r="DT218" s="121"/>
      <c r="DU218" s="121"/>
      <c r="DV218" s="121"/>
      <c r="DW218" s="121"/>
      <c r="DX218" s="121"/>
      <c r="DY218" s="121"/>
      <c r="DZ218" s="121"/>
      <c r="EA218" s="121"/>
      <c r="EB218" s="121"/>
      <c r="EC218" s="121"/>
      <c r="ED218" s="121"/>
      <c r="EE218" s="121"/>
      <c r="EF218" s="121"/>
      <c r="EG218" s="121"/>
      <c r="EH218" s="121"/>
      <c r="EI218" s="121"/>
      <c r="EJ218" s="121"/>
      <c r="EK218" s="121"/>
      <c r="EL218" s="121"/>
      <c r="EM218" s="121"/>
      <c r="EN218" s="121"/>
      <c r="EO218" s="121"/>
      <c r="EP218" s="121"/>
      <c r="EQ218" s="121"/>
      <c r="ER218" s="121"/>
      <c r="ES218" s="121"/>
      <c r="ET218" s="121"/>
      <c r="EU218" s="121"/>
      <c r="EV218" s="121"/>
      <c r="EW218" s="121"/>
      <c r="EX218" s="121"/>
      <c r="EY218" s="121"/>
      <c r="EZ218" s="121"/>
      <c r="FA218" s="121"/>
      <c r="FB218" s="121"/>
      <c r="FC218" s="121"/>
      <c r="FD218" s="121"/>
      <c r="FE218" s="121"/>
      <c r="FF218" s="121"/>
      <c r="FG218" s="121"/>
      <c r="FH218" s="121"/>
      <c r="FI218" s="121"/>
      <c r="FJ218" s="121"/>
      <c r="FK218" s="121"/>
      <c r="FL218" s="121"/>
      <c r="FM218" s="121"/>
      <c r="FN218" s="121"/>
      <c r="FO218" s="121"/>
      <c r="FP218" s="121"/>
      <c r="FQ218" s="121"/>
      <c r="FR218" s="121"/>
      <c r="FS218" s="121"/>
      <c r="FT218" s="121"/>
      <c r="FU218" s="121"/>
      <c r="FV218" s="121"/>
      <c r="FW218" s="121"/>
      <c r="FX218" s="121"/>
      <c r="FY218" s="121"/>
      <c r="FZ218" s="121"/>
      <c r="GA218" s="121"/>
      <c r="GB218" s="121"/>
      <c r="GC218" s="121"/>
      <c r="GD218" s="121"/>
      <c r="GE218" s="121"/>
      <c r="GF218" s="121"/>
      <c r="GG218" s="121"/>
      <c r="GH218" s="121"/>
    </row>
    <row r="219" spans="1:190">
      <c r="A219" s="121"/>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c r="AD219" s="121"/>
      <c r="AE219" s="121"/>
      <c r="AF219" s="121"/>
      <c r="AG219" s="121"/>
      <c r="AH219" s="121"/>
      <c r="AI219" s="121"/>
      <c r="AJ219" s="121"/>
      <c r="AK219" s="121"/>
      <c r="AL219" s="121"/>
      <c r="AM219" s="121"/>
      <c r="AN219" s="121"/>
      <c r="AO219" s="121"/>
      <c r="AP219" s="121"/>
      <c r="AQ219" s="121"/>
      <c r="AR219" s="121"/>
      <c r="AS219" s="121"/>
      <c r="AT219" s="121"/>
      <c r="AU219" s="121"/>
      <c r="AV219" s="121"/>
      <c r="AW219" s="121"/>
      <c r="AX219" s="121"/>
      <c r="AY219" s="121"/>
      <c r="AZ219" s="121"/>
      <c r="BA219" s="121"/>
      <c r="BB219" s="121"/>
      <c r="BC219" s="121"/>
      <c r="BD219" s="121"/>
      <c r="BE219" s="121"/>
      <c r="BF219" s="121"/>
      <c r="BG219" s="121"/>
      <c r="BH219" s="121"/>
      <c r="BI219" s="121"/>
      <c r="BJ219" s="121"/>
      <c r="BK219" s="121"/>
      <c r="BL219" s="121"/>
      <c r="BM219" s="121"/>
      <c r="BN219" s="121"/>
      <c r="BO219" s="121"/>
      <c r="BP219" s="121"/>
      <c r="BQ219" s="121"/>
      <c r="BR219" s="121"/>
      <c r="BS219" s="121"/>
      <c r="BT219" s="121"/>
      <c r="BU219" s="121"/>
      <c r="BV219" s="121"/>
      <c r="BW219" s="121"/>
      <c r="BX219" s="121"/>
      <c r="BY219" s="121"/>
      <c r="BZ219" s="121"/>
      <c r="CA219" s="121"/>
      <c r="CB219" s="121"/>
      <c r="CC219" s="121"/>
      <c r="CD219" s="121"/>
      <c r="CE219" s="121"/>
      <c r="CF219" s="121"/>
      <c r="CG219" s="121"/>
      <c r="CH219" s="121"/>
      <c r="CI219" s="121"/>
      <c r="CJ219" s="121"/>
      <c r="CK219" s="121"/>
      <c r="CL219" s="121"/>
      <c r="CM219" s="121"/>
      <c r="CN219" s="121"/>
      <c r="CO219" s="121"/>
      <c r="CP219" s="121"/>
      <c r="CQ219" s="121"/>
      <c r="CR219" s="121"/>
      <c r="CS219" s="121"/>
      <c r="CT219" s="121"/>
      <c r="CU219" s="121"/>
      <c r="CV219" s="121"/>
      <c r="CW219" s="121"/>
      <c r="CX219" s="121"/>
      <c r="CY219" s="121"/>
      <c r="CZ219" s="121"/>
      <c r="DA219" s="121"/>
      <c r="DB219" s="121"/>
      <c r="DC219" s="121"/>
      <c r="DD219" s="121"/>
      <c r="DE219" s="121"/>
      <c r="DF219" s="121"/>
      <c r="DG219" s="121"/>
      <c r="DH219" s="121"/>
      <c r="DI219" s="121"/>
      <c r="DJ219" s="121"/>
      <c r="DK219" s="121"/>
      <c r="DL219" s="121"/>
      <c r="DM219" s="121"/>
      <c r="DN219" s="121"/>
      <c r="DO219" s="121"/>
      <c r="DP219" s="121"/>
      <c r="DQ219" s="121"/>
      <c r="DR219" s="121"/>
      <c r="DS219" s="121"/>
      <c r="DT219" s="121"/>
      <c r="DU219" s="121"/>
      <c r="DV219" s="121"/>
      <c r="DW219" s="121"/>
      <c r="DX219" s="121"/>
      <c r="DY219" s="121"/>
      <c r="DZ219" s="121"/>
      <c r="EA219" s="121"/>
      <c r="EB219" s="121"/>
      <c r="EC219" s="121"/>
      <c r="ED219" s="121"/>
      <c r="EE219" s="121"/>
      <c r="EF219" s="121"/>
      <c r="EG219" s="121"/>
      <c r="EH219" s="121"/>
      <c r="EI219" s="121"/>
      <c r="EJ219" s="121"/>
      <c r="EK219" s="121"/>
      <c r="EL219" s="121"/>
      <c r="EM219" s="121"/>
      <c r="EN219" s="121"/>
      <c r="EO219" s="121"/>
      <c r="EP219" s="121"/>
      <c r="EQ219" s="121"/>
      <c r="ER219" s="121"/>
      <c r="ES219" s="121"/>
      <c r="ET219" s="121"/>
      <c r="EU219" s="121"/>
      <c r="EV219" s="121"/>
      <c r="EW219" s="121"/>
      <c r="EX219" s="121"/>
      <c r="EY219" s="121"/>
      <c r="EZ219" s="121"/>
      <c r="FA219" s="121"/>
      <c r="FB219" s="121"/>
      <c r="FC219" s="121"/>
      <c r="FD219" s="121"/>
      <c r="FE219" s="121"/>
      <c r="FF219" s="121"/>
      <c r="FG219" s="121"/>
      <c r="FH219" s="121"/>
      <c r="FI219" s="121"/>
      <c r="FJ219" s="121"/>
      <c r="FK219" s="121"/>
      <c r="FL219" s="121"/>
      <c r="FM219" s="121"/>
      <c r="FN219" s="121"/>
      <c r="FO219" s="121"/>
      <c r="FP219" s="121"/>
      <c r="FQ219" s="121"/>
      <c r="FR219" s="121"/>
      <c r="FS219" s="121"/>
      <c r="FT219" s="121"/>
      <c r="FU219" s="121"/>
      <c r="FV219" s="121"/>
      <c r="FW219" s="121"/>
      <c r="FX219" s="121"/>
      <c r="FY219" s="121"/>
      <c r="FZ219" s="121"/>
      <c r="GA219" s="121"/>
      <c r="GB219" s="121"/>
      <c r="GC219" s="121"/>
      <c r="GD219" s="121"/>
      <c r="GE219" s="121"/>
      <c r="GF219" s="121"/>
      <c r="GG219" s="121"/>
      <c r="GH219" s="121"/>
    </row>
    <row r="220" spans="1:190">
      <c r="A220" s="121"/>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c r="AD220" s="121"/>
      <c r="AE220" s="121"/>
      <c r="AF220" s="121"/>
      <c r="AG220" s="121"/>
      <c r="AH220" s="121"/>
      <c r="AI220" s="121"/>
      <c r="AJ220" s="121"/>
      <c r="AK220" s="121"/>
      <c r="AL220" s="121"/>
      <c r="AM220" s="121"/>
      <c r="AN220" s="121"/>
      <c r="AO220" s="121"/>
      <c r="AP220" s="121"/>
      <c r="AQ220" s="121"/>
      <c r="AR220" s="121"/>
      <c r="AS220" s="121"/>
      <c r="AT220" s="121"/>
      <c r="AU220" s="121"/>
      <c r="AV220" s="121"/>
      <c r="AW220" s="121"/>
      <c r="AX220" s="121"/>
      <c r="AY220" s="121"/>
      <c r="AZ220" s="121"/>
      <c r="BA220" s="121"/>
      <c r="BB220" s="121"/>
      <c r="BC220" s="121"/>
      <c r="BD220" s="121"/>
      <c r="BE220" s="121"/>
      <c r="BF220" s="121"/>
      <c r="BG220" s="121"/>
      <c r="BH220" s="121"/>
      <c r="BI220" s="121"/>
      <c r="BJ220" s="121"/>
      <c r="BK220" s="121"/>
      <c r="BL220" s="121"/>
      <c r="BM220" s="121"/>
      <c r="BN220" s="121"/>
      <c r="BO220" s="121"/>
      <c r="BP220" s="121"/>
      <c r="BQ220" s="121"/>
      <c r="BR220" s="121"/>
      <c r="BS220" s="121"/>
      <c r="BT220" s="121"/>
      <c r="BU220" s="121"/>
      <c r="BV220" s="121"/>
      <c r="BW220" s="121"/>
      <c r="BX220" s="121"/>
      <c r="BY220" s="121"/>
      <c r="BZ220" s="121"/>
      <c r="CA220" s="121"/>
      <c r="CB220" s="121"/>
      <c r="CC220" s="121"/>
      <c r="CD220" s="121"/>
      <c r="CE220" s="121"/>
      <c r="CF220" s="121"/>
      <c r="CG220" s="121"/>
      <c r="CH220" s="121"/>
      <c r="CI220" s="121"/>
      <c r="CJ220" s="121"/>
      <c r="CK220" s="121"/>
      <c r="CL220" s="121"/>
      <c r="CM220" s="121"/>
      <c r="CN220" s="121"/>
      <c r="CO220" s="121"/>
      <c r="CP220" s="121"/>
      <c r="CQ220" s="121"/>
      <c r="CR220" s="121"/>
      <c r="CS220" s="121"/>
      <c r="CT220" s="121"/>
      <c r="CU220" s="121"/>
      <c r="CV220" s="121"/>
      <c r="CW220" s="121"/>
      <c r="CX220" s="121"/>
      <c r="CY220" s="121"/>
      <c r="CZ220" s="121"/>
      <c r="DA220" s="121"/>
      <c r="DB220" s="121"/>
      <c r="DC220" s="121"/>
      <c r="DD220" s="121"/>
      <c r="DE220" s="121"/>
      <c r="DF220" s="121"/>
      <c r="DG220" s="121"/>
      <c r="DH220" s="121"/>
      <c r="DI220" s="121"/>
      <c r="DJ220" s="121"/>
      <c r="DK220" s="121"/>
      <c r="DL220" s="121"/>
      <c r="DM220" s="121"/>
      <c r="DN220" s="121"/>
      <c r="DO220" s="121"/>
      <c r="DP220" s="121"/>
      <c r="DQ220" s="121"/>
      <c r="DR220" s="121"/>
      <c r="DS220" s="121"/>
      <c r="DT220" s="121"/>
      <c r="DU220" s="121"/>
      <c r="DV220" s="121"/>
      <c r="DW220" s="121"/>
      <c r="DX220" s="121"/>
      <c r="DY220" s="121"/>
      <c r="DZ220" s="121"/>
      <c r="EA220" s="121"/>
      <c r="EB220" s="121"/>
      <c r="EC220" s="121"/>
      <c r="ED220" s="121"/>
      <c r="EE220" s="121"/>
      <c r="EF220" s="121"/>
      <c r="EG220" s="121"/>
      <c r="EH220" s="121"/>
      <c r="EI220" s="121"/>
      <c r="EJ220" s="121"/>
      <c r="EK220" s="121"/>
      <c r="EL220" s="121"/>
      <c r="EM220" s="121"/>
      <c r="EN220" s="121"/>
      <c r="EO220" s="121"/>
      <c r="EP220" s="121"/>
      <c r="EQ220" s="121"/>
      <c r="ER220" s="121"/>
      <c r="ES220" s="121"/>
      <c r="ET220" s="121"/>
      <c r="EU220" s="121"/>
      <c r="EV220" s="121"/>
      <c r="EW220" s="121"/>
      <c r="EX220" s="121"/>
      <c r="EY220" s="121"/>
      <c r="EZ220" s="121"/>
      <c r="FA220" s="121"/>
      <c r="FB220" s="121"/>
      <c r="FC220" s="121"/>
      <c r="FD220" s="121"/>
      <c r="FE220" s="121"/>
      <c r="FF220" s="121"/>
      <c r="FG220" s="121"/>
      <c r="FH220" s="121"/>
      <c r="FI220" s="121"/>
      <c r="FJ220" s="121"/>
      <c r="FK220" s="121"/>
      <c r="FL220" s="121"/>
      <c r="FM220" s="121"/>
      <c r="FN220" s="121"/>
      <c r="FO220" s="121"/>
      <c r="FP220" s="121"/>
      <c r="FQ220" s="121"/>
      <c r="FR220" s="121"/>
      <c r="FS220" s="121"/>
      <c r="FT220" s="121"/>
      <c r="FU220" s="121"/>
      <c r="FV220" s="121"/>
      <c r="FW220" s="121"/>
      <c r="FX220" s="121"/>
      <c r="FY220" s="121"/>
      <c r="FZ220" s="121"/>
      <c r="GA220" s="121"/>
      <c r="GB220" s="121"/>
      <c r="GC220" s="121"/>
      <c r="GD220" s="121"/>
      <c r="GE220" s="121"/>
      <c r="GF220" s="121"/>
      <c r="GG220" s="121"/>
      <c r="GH220" s="121"/>
    </row>
    <row r="221" spans="1:190">
      <c r="A221" s="121"/>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c r="AD221" s="121"/>
      <c r="AE221" s="121"/>
      <c r="AF221" s="121"/>
      <c r="AG221" s="121"/>
      <c r="AH221" s="121"/>
      <c r="AI221" s="121"/>
      <c r="AJ221" s="121"/>
      <c r="AK221" s="121"/>
      <c r="AL221" s="121"/>
      <c r="AM221" s="121"/>
      <c r="AN221" s="121"/>
      <c r="AO221" s="121"/>
      <c r="AP221" s="121"/>
      <c r="AQ221" s="121"/>
      <c r="AR221" s="121"/>
      <c r="AS221" s="121"/>
      <c r="AT221" s="121"/>
      <c r="AU221" s="121"/>
      <c r="AV221" s="121"/>
      <c r="AW221" s="121"/>
      <c r="AX221" s="121"/>
      <c r="AY221" s="121"/>
      <c r="AZ221" s="121"/>
      <c r="BA221" s="121"/>
      <c r="BB221" s="121"/>
      <c r="BC221" s="121"/>
      <c r="BD221" s="121"/>
      <c r="BE221" s="121"/>
      <c r="BF221" s="121"/>
      <c r="BG221" s="121"/>
      <c r="BH221" s="121"/>
      <c r="BI221" s="121"/>
      <c r="BJ221" s="121"/>
      <c r="BK221" s="121"/>
      <c r="BL221" s="121"/>
      <c r="BM221" s="121"/>
      <c r="BN221" s="121"/>
      <c r="BO221" s="121"/>
      <c r="BP221" s="121"/>
      <c r="BQ221" s="121"/>
      <c r="BR221" s="121"/>
      <c r="BS221" s="121"/>
      <c r="BT221" s="121"/>
      <c r="BU221" s="121"/>
      <c r="BV221" s="121"/>
      <c r="BW221" s="121"/>
      <c r="BX221" s="121"/>
      <c r="BY221" s="121"/>
      <c r="BZ221" s="121"/>
      <c r="CA221" s="121"/>
      <c r="CB221" s="121"/>
      <c r="CC221" s="121"/>
      <c r="CD221" s="121"/>
      <c r="CE221" s="121"/>
      <c r="CF221" s="121"/>
      <c r="CG221" s="121"/>
      <c r="CH221" s="121"/>
      <c r="CI221" s="121"/>
      <c r="CJ221" s="121"/>
      <c r="CK221" s="121"/>
      <c r="CL221" s="121"/>
      <c r="CM221" s="121"/>
      <c r="CN221" s="121"/>
      <c r="CO221" s="121"/>
      <c r="CP221" s="121"/>
      <c r="CQ221" s="121"/>
      <c r="CR221" s="121"/>
      <c r="CS221" s="121"/>
      <c r="CT221" s="121"/>
      <c r="CU221" s="121"/>
      <c r="CV221" s="121"/>
      <c r="CW221" s="121"/>
      <c r="CX221" s="121"/>
      <c r="CY221" s="121"/>
      <c r="CZ221" s="121"/>
      <c r="DA221" s="121"/>
      <c r="DB221" s="121"/>
      <c r="DC221" s="121"/>
      <c r="DD221" s="121"/>
      <c r="DE221" s="121"/>
      <c r="DF221" s="121"/>
      <c r="DG221" s="121"/>
      <c r="DH221" s="121"/>
      <c r="DI221" s="121"/>
      <c r="DJ221" s="121"/>
      <c r="DK221" s="121"/>
      <c r="DL221" s="121"/>
      <c r="DM221" s="121"/>
      <c r="DN221" s="121"/>
      <c r="DO221" s="121"/>
      <c r="DP221" s="121"/>
      <c r="DQ221" s="121"/>
      <c r="DR221" s="121"/>
      <c r="DS221" s="121"/>
      <c r="DT221" s="121"/>
      <c r="DU221" s="121"/>
      <c r="DV221" s="121"/>
      <c r="DW221" s="121"/>
      <c r="DX221" s="121"/>
      <c r="DY221" s="121"/>
      <c r="DZ221" s="121"/>
      <c r="EA221" s="121"/>
      <c r="EB221" s="121"/>
      <c r="EC221" s="121"/>
      <c r="ED221" s="121"/>
      <c r="EE221" s="121"/>
      <c r="EF221" s="121"/>
      <c r="EG221" s="121"/>
      <c r="EH221" s="121"/>
      <c r="EI221" s="121"/>
      <c r="EJ221" s="121"/>
      <c r="EK221" s="121"/>
      <c r="EL221" s="121"/>
      <c r="EM221" s="121"/>
      <c r="EN221" s="121"/>
      <c r="EO221" s="121"/>
      <c r="EP221" s="121"/>
      <c r="EQ221" s="121"/>
      <c r="ER221" s="121"/>
      <c r="ES221" s="121"/>
      <c r="ET221" s="121"/>
      <c r="EU221" s="121"/>
      <c r="EV221" s="121"/>
      <c r="EW221" s="121"/>
      <c r="EX221" s="121"/>
      <c r="EY221" s="121"/>
      <c r="EZ221" s="121"/>
      <c r="FA221" s="121"/>
      <c r="FB221" s="121"/>
      <c r="FC221" s="121"/>
      <c r="FD221" s="121"/>
      <c r="FE221" s="121"/>
      <c r="FF221" s="121"/>
      <c r="FG221" s="121"/>
      <c r="FH221" s="121"/>
      <c r="FI221" s="121"/>
      <c r="FJ221" s="121"/>
      <c r="FK221" s="121"/>
      <c r="FL221" s="121"/>
      <c r="FM221" s="121"/>
      <c r="FN221" s="121"/>
      <c r="FO221" s="121"/>
      <c r="FP221" s="121"/>
      <c r="FQ221" s="121"/>
      <c r="FR221" s="121"/>
      <c r="FS221" s="121"/>
      <c r="FT221" s="121"/>
      <c r="FU221" s="121"/>
      <c r="FV221" s="121"/>
      <c r="FW221" s="121"/>
      <c r="FX221" s="121"/>
      <c r="FY221" s="121"/>
      <c r="FZ221" s="121"/>
      <c r="GA221" s="121"/>
      <c r="GB221" s="121"/>
      <c r="GC221" s="121"/>
      <c r="GD221" s="121"/>
      <c r="GE221" s="121"/>
      <c r="GF221" s="121"/>
      <c r="GG221" s="121"/>
      <c r="GH221" s="121"/>
    </row>
    <row r="222" spans="1:190">
      <c r="A222" s="121"/>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c r="AD222" s="121"/>
      <c r="AE222" s="121"/>
      <c r="AF222" s="121"/>
      <c r="AG222" s="121"/>
      <c r="AH222" s="121"/>
      <c r="AI222" s="121"/>
      <c r="AJ222" s="121"/>
      <c r="AK222" s="121"/>
      <c r="AL222" s="121"/>
      <c r="AM222" s="121"/>
      <c r="AN222" s="121"/>
      <c r="AO222" s="121"/>
      <c r="AP222" s="121"/>
      <c r="AQ222" s="121"/>
      <c r="AR222" s="121"/>
      <c r="AS222" s="121"/>
      <c r="AT222" s="121"/>
      <c r="AU222" s="121"/>
      <c r="AV222" s="121"/>
      <c r="AW222" s="121"/>
      <c r="AX222" s="121"/>
      <c r="AY222" s="121"/>
      <c r="AZ222" s="121"/>
      <c r="BA222" s="121"/>
      <c r="BB222" s="121"/>
      <c r="BC222" s="121"/>
      <c r="BD222" s="121"/>
      <c r="BE222" s="121"/>
      <c r="BF222" s="121"/>
      <c r="BG222" s="121"/>
      <c r="BH222" s="121"/>
      <c r="BI222" s="121"/>
      <c r="BJ222" s="121"/>
      <c r="BK222" s="121"/>
      <c r="BL222" s="121"/>
      <c r="BM222" s="121"/>
      <c r="BN222" s="121"/>
      <c r="BO222" s="121"/>
      <c r="BP222" s="121"/>
      <c r="BQ222" s="121"/>
      <c r="BR222" s="121"/>
      <c r="BS222" s="121"/>
      <c r="BT222" s="121"/>
      <c r="BU222" s="121"/>
      <c r="BV222" s="121"/>
      <c r="BW222" s="121"/>
      <c r="BX222" s="121"/>
      <c r="BY222" s="121"/>
      <c r="BZ222" s="121"/>
      <c r="CA222" s="121"/>
      <c r="CB222" s="121"/>
      <c r="CC222" s="121"/>
      <c r="CD222" s="121"/>
      <c r="CE222" s="121"/>
      <c r="CF222" s="121"/>
      <c r="CG222" s="121"/>
      <c r="CH222" s="121"/>
      <c r="CI222" s="121"/>
      <c r="CJ222" s="121"/>
      <c r="CK222" s="121"/>
      <c r="CL222" s="121"/>
      <c r="CM222" s="121"/>
      <c r="CN222" s="121"/>
      <c r="CO222" s="121"/>
      <c r="CP222" s="121"/>
      <c r="CQ222" s="121"/>
      <c r="CR222" s="121"/>
      <c r="CS222" s="121"/>
      <c r="CT222" s="121"/>
      <c r="CU222" s="121"/>
      <c r="CV222" s="121"/>
      <c r="CW222" s="121"/>
      <c r="CX222" s="121"/>
      <c r="CY222" s="121"/>
      <c r="CZ222" s="121"/>
      <c r="DA222" s="121"/>
      <c r="DB222" s="121"/>
      <c r="DC222" s="121"/>
      <c r="DD222" s="121"/>
      <c r="DE222" s="121"/>
      <c r="DF222" s="121"/>
      <c r="DG222" s="121"/>
      <c r="DH222" s="121"/>
      <c r="DI222" s="121"/>
      <c r="DJ222" s="121"/>
      <c r="DK222" s="121"/>
      <c r="DL222" s="121"/>
      <c r="DM222" s="121"/>
      <c r="DN222" s="121"/>
      <c r="DO222" s="121"/>
      <c r="DP222" s="121"/>
      <c r="DQ222" s="121"/>
      <c r="DR222" s="121"/>
      <c r="DS222" s="121"/>
      <c r="DT222" s="121"/>
      <c r="DU222" s="121"/>
      <c r="DV222" s="121"/>
      <c r="DW222" s="121"/>
      <c r="DX222" s="121"/>
      <c r="DY222" s="121"/>
      <c r="DZ222" s="121"/>
      <c r="EA222" s="121"/>
      <c r="EB222" s="121"/>
      <c r="EC222" s="121"/>
      <c r="ED222" s="121"/>
      <c r="EE222" s="121"/>
      <c r="EF222" s="121"/>
      <c r="EG222" s="121"/>
      <c r="EH222" s="121"/>
      <c r="EI222" s="121"/>
      <c r="EJ222" s="121"/>
      <c r="EK222" s="121"/>
      <c r="EL222" s="121"/>
      <c r="EM222" s="121"/>
      <c r="EN222" s="121"/>
      <c r="EO222" s="121"/>
      <c r="EP222" s="121"/>
      <c r="EQ222" s="121"/>
      <c r="ER222" s="121"/>
      <c r="ES222" s="121"/>
      <c r="ET222" s="121"/>
      <c r="EU222" s="121"/>
      <c r="EV222" s="121"/>
      <c r="EW222" s="121"/>
      <c r="EX222" s="121"/>
      <c r="EY222" s="121"/>
      <c r="EZ222" s="121"/>
      <c r="FA222" s="121"/>
      <c r="FB222" s="121"/>
      <c r="FC222" s="121"/>
      <c r="FD222" s="121"/>
      <c r="FE222" s="121"/>
      <c r="FF222" s="121"/>
      <c r="FG222" s="121"/>
      <c r="FH222" s="121"/>
      <c r="FI222" s="121"/>
      <c r="FJ222" s="121"/>
      <c r="FK222" s="121"/>
      <c r="FL222" s="121"/>
      <c r="FM222" s="121"/>
      <c r="FN222" s="121"/>
      <c r="FO222" s="121"/>
      <c r="FP222" s="121"/>
      <c r="FQ222" s="121"/>
      <c r="FR222" s="121"/>
      <c r="FS222" s="121"/>
      <c r="FT222" s="121"/>
      <c r="FU222" s="121"/>
      <c r="FV222" s="121"/>
      <c r="FW222" s="121"/>
      <c r="FX222" s="121"/>
      <c r="FY222" s="121"/>
      <c r="FZ222" s="121"/>
      <c r="GA222" s="121"/>
      <c r="GB222" s="121"/>
      <c r="GC222" s="121"/>
      <c r="GD222" s="121"/>
      <c r="GE222" s="121"/>
      <c r="GF222" s="121"/>
      <c r="GG222" s="121"/>
      <c r="GH222" s="121"/>
    </row>
    <row r="223" spans="1:190">
      <c r="A223" s="121"/>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c r="AD223" s="121"/>
      <c r="AE223" s="121"/>
      <c r="AF223" s="121"/>
      <c r="AG223" s="121"/>
      <c r="AH223" s="121"/>
      <c r="AI223" s="121"/>
      <c r="AJ223" s="121"/>
      <c r="AK223" s="121"/>
      <c r="AL223" s="121"/>
      <c r="AM223" s="121"/>
      <c r="AN223" s="121"/>
      <c r="AO223" s="121"/>
      <c r="AP223" s="121"/>
      <c r="AQ223" s="121"/>
      <c r="AR223" s="121"/>
      <c r="AS223" s="121"/>
      <c r="AT223" s="121"/>
      <c r="AU223" s="121"/>
      <c r="AV223" s="121"/>
      <c r="AW223" s="121"/>
      <c r="AX223" s="121"/>
      <c r="AY223" s="121"/>
      <c r="AZ223" s="121"/>
      <c r="BA223" s="121"/>
      <c r="BB223" s="121"/>
      <c r="BC223" s="121"/>
      <c r="BD223" s="121"/>
      <c r="BE223" s="121"/>
      <c r="BF223" s="121"/>
      <c r="BG223" s="121"/>
      <c r="BH223" s="121"/>
      <c r="BI223" s="121"/>
      <c r="BJ223" s="121"/>
      <c r="BK223" s="121"/>
      <c r="BL223" s="121"/>
      <c r="BM223" s="121"/>
      <c r="BN223" s="121"/>
      <c r="BO223" s="121"/>
      <c r="BP223" s="121"/>
      <c r="BQ223" s="121"/>
      <c r="BR223" s="121"/>
      <c r="BS223" s="121"/>
      <c r="BT223" s="121"/>
      <c r="BU223" s="121"/>
      <c r="BV223" s="121"/>
      <c r="BW223" s="121"/>
      <c r="BX223" s="121"/>
      <c r="BY223" s="121"/>
      <c r="BZ223" s="121"/>
      <c r="CA223" s="121"/>
      <c r="CB223" s="121"/>
      <c r="CC223" s="121"/>
      <c r="CD223" s="121"/>
      <c r="CE223" s="121"/>
      <c r="CF223" s="121"/>
      <c r="CG223" s="121"/>
      <c r="CH223" s="121"/>
      <c r="CI223" s="121"/>
      <c r="CJ223" s="121"/>
      <c r="CK223" s="121"/>
      <c r="CL223" s="121"/>
      <c r="CM223" s="121"/>
      <c r="CN223" s="121"/>
      <c r="CO223" s="121"/>
      <c r="CP223" s="121"/>
      <c r="CQ223" s="121"/>
      <c r="CR223" s="121"/>
      <c r="CS223" s="121"/>
      <c r="CT223" s="121"/>
      <c r="CU223" s="121"/>
      <c r="CV223" s="121"/>
      <c r="CW223" s="121"/>
      <c r="CX223" s="121"/>
      <c r="CY223" s="121"/>
      <c r="CZ223" s="121"/>
      <c r="DA223" s="121"/>
      <c r="DB223" s="121"/>
      <c r="DC223" s="121"/>
      <c r="DD223" s="121"/>
      <c r="DE223" s="121"/>
      <c r="DF223" s="121"/>
      <c r="DG223" s="121"/>
      <c r="DH223" s="121"/>
      <c r="DI223" s="121"/>
      <c r="DJ223" s="121"/>
      <c r="DK223" s="121"/>
      <c r="DL223" s="121"/>
      <c r="DM223" s="121"/>
      <c r="DN223" s="121"/>
      <c r="DO223" s="121"/>
      <c r="DP223" s="121"/>
      <c r="DQ223" s="121"/>
      <c r="DR223" s="121"/>
      <c r="DS223" s="121"/>
      <c r="DT223" s="121"/>
      <c r="DU223" s="121"/>
      <c r="DV223" s="121"/>
      <c r="DW223" s="121"/>
      <c r="DX223" s="121"/>
      <c r="DY223" s="121"/>
      <c r="DZ223" s="121"/>
      <c r="EA223" s="121"/>
      <c r="EB223" s="121"/>
      <c r="EC223" s="121"/>
      <c r="ED223" s="121"/>
      <c r="EE223" s="121"/>
      <c r="EF223" s="121"/>
      <c r="EG223" s="121"/>
      <c r="EH223" s="121"/>
      <c r="EI223" s="121"/>
      <c r="EJ223" s="121"/>
      <c r="EK223" s="121"/>
      <c r="EL223" s="121"/>
      <c r="EM223" s="121"/>
      <c r="EN223" s="121"/>
      <c r="EO223" s="121"/>
      <c r="EP223" s="121"/>
      <c r="EQ223" s="121"/>
      <c r="ER223" s="121"/>
      <c r="ES223" s="121"/>
      <c r="ET223" s="121"/>
      <c r="EU223" s="121"/>
      <c r="EV223" s="121"/>
      <c r="EW223" s="121"/>
      <c r="EX223" s="121"/>
      <c r="EY223" s="121"/>
      <c r="EZ223" s="121"/>
      <c r="FA223" s="121"/>
      <c r="FB223" s="121"/>
      <c r="FC223" s="121"/>
      <c r="FD223" s="121"/>
      <c r="FE223" s="121"/>
      <c r="FF223" s="121"/>
      <c r="FG223" s="121"/>
      <c r="FH223" s="121"/>
      <c r="FI223" s="121"/>
      <c r="FJ223" s="121"/>
      <c r="FK223" s="121"/>
      <c r="FL223" s="121"/>
      <c r="FM223" s="121"/>
      <c r="FN223" s="121"/>
      <c r="FO223" s="121"/>
      <c r="FP223" s="121"/>
      <c r="FQ223" s="121"/>
      <c r="FR223" s="121"/>
      <c r="FS223" s="121"/>
      <c r="FT223" s="121"/>
      <c r="FU223" s="121"/>
      <c r="FV223" s="121"/>
      <c r="FW223" s="121"/>
      <c r="FX223" s="121"/>
      <c r="FY223" s="121"/>
      <c r="FZ223" s="121"/>
      <c r="GA223" s="121"/>
      <c r="GB223" s="121"/>
      <c r="GC223" s="121"/>
      <c r="GD223" s="121"/>
      <c r="GE223" s="121"/>
      <c r="GF223" s="121"/>
      <c r="GG223" s="121"/>
      <c r="GH223" s="121"/>
    </row>
    <row r="224" spans="1:190">
      <c r="A224" s="121"/>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c r="AD224" s="121"/>
      <c r="AE224" s="121"/>
      <c r="AF224" s="121"/>
      <c r="AG224" s="121"/>
      <c r="AH224" s="121"/>
      <c r="AI224" s="121"/>
      <c r="AJ224" s="121"/>
      <c r="AK224" s="121"/>
      <c r="AL224" s="121"/>
      <c r="AM224" s="121"/>
      <c r="AN224" s="121"/>
      <c r="AO224" s="121"/>
      <c r="AP224" s="121"/>
      <c r="AQ224" s="121"/>
      <c r="AR224" s="121"/>
      <c r="AS224" s="121"/>
      <c r="AT224" s="121"/>
      <c r="AU224" s="121"/>
      <c r="AV224" s="121"/>
      <c r="AW224" s="121"/>
      <c r="AX224" s="121"/>
      <c r="AY224" s="121"/>
      <c r="AZ224" s="121"/>
      <c r="BA224" s="121"/>
      <c r="BB224" s="121"/>
      <c r="BC224" s="121"/>
      <c r="BD224" s="121"/>
      <c r="BE224" s="121"/>
      <c r="BF224" s="121"/>
      <c r="BG224" s="121"/>
      <c r="BH224" s="121"/>
      <c r="BI224" s="121"/>
      <c r="BJ224" s="121"/>
      <c r="BK224" s="121"/>
      <c r="BL224" s="121"/>
      <c r="BM224" s="121"/>
      <c r="BN224" s="121"/>
      <c r="BO224" s="121"/>
      <c r="BP224" s="121"/>
      <c r="BQ224" s="121"/>
      <c r="BR224" s="121"/>
      <c r="BS224" s="121"/>
      <c r="BT224" s="121"/>
      <c r="BU224" s="121"/>
      <c r="BV224" s="121"/>
      <c r="BW224" s="121"/>
      <c r="BX224" s="121"/>
      <c r="BY224" s="121"/>
      <c r="BZ224" s="121"/>
      <c r="CA224" s="121"/>
      <c r="CB224" s="121"/>
      <c r="CC224" s="121"/>
      <c r="CD224" s="121"/>
      <c r="CE224" s="121"/>
      <c r="CF224" s="121"/>
      <c r="CG224" s="121"/>
      <c r="CH224" s="121"/>
      <c r="CI224" s="121"/>
      <c r="CJ224" s="121"/>
      <c r="CK224" s="121"/>
      <c r="CL224" s="121"/>
      <c r="CM224" s="121"/>
      <c r="CN224" s="121"/>
      <c r="CO224" s="121"/>
      <c r="CP224" s="121"/>
      <c r="CQ224" s="121"/>
      <c r="CR224" s="121"/>
      <c r="CS224" s="121"/>
      <c r="CT224" s="121"/>
      <c r="CU224" s="121"/>
      <c r="CV224" s="121"/>
      <c r="CW224" s="121"/>
      <c r="CX224" s="121"/>
      <c r="CY224" s="121"/>
      <c r="CZ224" s="121"/>
      <c r="DA224" s="121"/>
      <c r="DB224" s="121"/>
      <c r="DC224" s="121"/>
      <c r="DD224" s="121"/>
      <c r="DE224" s="121"/>
      <c r="DF224" s="121"/>
      <c r="DG224" s="121"/>
      <c r="DH224" s="121"/>
      <c r="DI224" s="121"/>
      <c r="DJ224" s="121"/>
      <c r="DK224" s="121"/>
      <c r="DL224" s="121"/>
      <c r="DM224" s="121"/>
      <c r="DN224" s="121"/>
      <c r="DO224" s="121"/>
      <c r="DP224" s="121"/>
      <c r="DQ224" s="121"/>
      <c r="DR224" s="121"/>
      <c r="DS224" s="121"/>
      <c r="DT224" s="121"/>
      <c r="DU224" s="121"/>
      <c r="DV224" s="121"/>
      <c r="DW224" s="121"/>
      <c r="DX224" s="121"/>
      <c r="DY224" s="121"/>
      <c r="DZ224" s="121"/>
      <c r="EA224" s="121"/>
      <c r="EB224" s="121"/>
      <c r="EC224" s="121"/>
      <c r="ED224" s="121"/>
      <c r="EE224" s="121"/>
      <c r="EF224" s="121"/>
      <c r="EG224" s="121"/>
      <c r="EH224" s="121"/>
      <c r="EI224" s="121"/>
      <c r="EJ224" s="121"/>
      <c r="EK224" s="121"/>
      <c r="EL224" s="121"/>
      <c r="EM224" s="121"/>
      <c r="EN224" s="121"/>
      <c r="EO224" s="121"/>
      <c r="EP224" s="121"/>
      <c r="EQ224" s="121"/>
      <c r="ER224" s="121"/>
      <c r="ES224" s="121"/>
      <c r="ET224" s="121"/>
      <c r="EU224" s="121"/>
      <c r="EV224" s="121"/>
      <c r="EW224" s="121"/>
      <c r="EX224" s="121"/>
      <c r="EY224" s="121"/>
      <c r="EZ224" s="121"/>
      <c r="FA224" s="121"/>
      <c r="FB224" s="121"/>
      <c r="FC224" s="121"/>
      <c r="FD224" s="121"/>
      <c r="FE224" s="121"/>
      <c r="FF224" s="121"/>
      <c r="FG224" s="121"/>
      <c r="FH224" s="121"/>
      <c r="FI224" s="121"/>
      <c r="FJ224" s="121"/>
      <c r="FK224" s="121"/>
      <c r="FL224" s="121"/>
      <c r="FM224" s="121"/>
      <c r="FN224" s="121"/>
      <c r="FO224" s="121"/>
      <c r="FP224" s="121"/>
      <c r="FQ224" s="121"/>
      <c r="FR224" s="121"/>
      <c r="FS224" s="121"/>
      <c r="FT224" s="121"/>
      <c r="FU224" s="121"/>
      <c r="FV224" s="121"/>
      <c r="FW224" s="121"/>
      <c r="FX224" s="121"/>
      <c r="FY224" s="121"/>
      <c r="FZ224" s="121"/>
      <c r="GA224" s="121"/>
      <c r="GB224" s="121"/>
      <c r="GC224" s="121"/>
      <c r="GD224" s="121"/>
      <c r="GE224" s="121"/>
      <c r="GF224" s="121"/>
      <c r="GG224" s="121"/>
      <c r="GH224" s="121"/>
    </row>
    <row r="225" spans="1:190">
      <c r="A225" s="121"/>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c r="AD225" s="121"/>
      <c r="AE225" s="121"/>
      <c r="AF225" s="121"/>
      <c r="AG225" s="121"/>
      <c r="AH225" s="121"/>
      <c r="AI225" s="121"/>
      <c r="AJ225" s="121"/>
      <c r="AK225" s="121"/>
      <c r="AL225" s="121"/>
      <c r="AM225" s="121"/>
      <c r="AN225" s="121"/>
      <c r="AO225" s="121"/>
      <c r="AP225" s="121"/>
      <c r="AQ225" s="121"/>
      <c r="AR225" s="121"/>
      <c r="AS225" s="121"/>
      <c r="AT225" s="121"/>
      <c r="AU225" s="121"/>
      <c r="AV225" s="121"/>
      <c r="AW225" s="121"/>
      <c r="AX225" s="121"/>
      <c r="AY225" s="121"/>
      <c r="AZ225" s="121"/>
      <c r="BA225" s="121"/>
      <c r="BB225" s="121"/>
      <c r="BC225" s="121"/>
      <c r="BD225" s="121"/>
      <c r="BE225" s="121"/>
      <c r="BF225" s="121"/>
      <c r="BG225" s="121"/>
      <c r="BH225" s="121"/>
      <c r="BI225" s="121"/>
      <c r="BJ225" s="121"/>
      <c r="BK225" s="121"/>
      <c r="BL225" s="121"/>
      <c r="BM225" s="121"/>
      <c r="BN225" s="121"/>
      <c r="BO225" s="121"/>
      <c r="BP225" s="121"/>
      <c r="BQ225" s="121"/>
      <c r="BR225" s="121"/>
      <c r="BS225" s="121"/>
      <c r="BT225" s="121"/>
      <c r="BU225" s="121"/>
      <c r="BV225" s="121"/>
      <c r="BW225" s="121"/>
      <c r="BX225" s="121"/>
      <c r="BY225" s="121"/>
      <c r="BZ225" s="121"/>
      <c r="CA225" s="121"/>
      <c r="CB225" s="121"/>
      <c r="CC225" s="121"/>
      <c r="CD225" s="121"/>
      <c r="CE225" s="121"/>
      <c r="CF225" s="121"/>
      <c r="CG225" s="121"/>
      <c r="CH225" s="121"/>
      <c r="CI225" s="121"/>
      <c r="CJ225" s="121"/>
      <c r="CK225" s="121"/>
      <c r="CL225" s="121"/>
      <c r="CM225" s="121"/>
      <c r="CN225" s="121"/>
      <c r="CO225" s="121"/>
      <c r="CP225" s="121"/>
      <c r="CQ225" s="121"/>
      <c r="CR225" s="121"/>
      <c r="CS225" s="121"/>
      <c r="CT225" s="121"/>
      <c r="CU225" s="121"/>
      <c r="CV225" s="121"/>
      <c r="CW225" s="121"/>
      <c r="CX225" s="121"/>
      <c r="CY225" s="121"/>
      <c r="CZ225" s="121"/>
      <c r="DA225" s="121"/>
      <c r="DB225" s="121"/>
      <c r="DC225" s="121"/>
      <c r="DD225" s="121"/>
      <c r="DE225" s="121"/>
      <c r="DF225" s="121"/>
      <c r="DG225" s="121"/>
      <c r="DH225" s="121"/>
      <c r="DI225" s="121"/>
      <c r="DJ225" s="121"/>
      <c r="DK225" s="121"/>
      <c r="DL225" s="121"/>
      <c r="DM225" s="121"/>
      <c r="DN225" s="121"/>
      <c r="DO225" s="121"/>
      <c r="DP225" s="121"/>
      <c r="DQ225" s="121"/>
      <c r="DR225" s="121"/>
      <c r="DS225" s="121"/>
      <c r="DT225" s="121"/>
      <c r="DU225" s="121"/>
      <c r="DV225" s="121"/>
      <c r="DW225" s="121"/>
      <c r="DX225" s="121"/>
      <c r="DY225" s="121"/>
      <c r="DZ225" s="121"/>
      <c r="EA225" s="121"/>
      <c r="EB225" s="121"/>
      <c r="EC225" s="121"/>
      <c r="ED225" s="121"/>
      <c r="EE225" s="121"/>
      <c r="EF225" s="121"/>
      <c r="EG225" s="121"/>
      <c r="EH225" s="121"/>
      <c r="EI225" s="121"/>
      <c r="EJ225" s="121"/>
      <c r="EK225" s="121"/>
      <c r="EL225" s="121"/>
      <c r="EM225" s="121"/>
      <c r="EN225" s="121"/>
      <c r="EO225" s="121"/>
      <c r="EP225" s="121"/>
      <c r="EQ225" s="121"/>
      <c r="ER225" s="121"/>
      <c r="ES225" s="121"/>
      <c r="ET225" s="121"/>
      <c r="EU225" s="121"/>
      <c r="EV225" s="121"/>
      <c r="EW225" s="121"/>
      <c r="EX225" s="121"/>
      <c r="EY225" s="121"/>
      <c r="EZ225" s="121"/>
      <c r="FA225" s="121"/>
      <c r="FB225" s="121"/>
      <c r="FC225" s="121"/>
      <c r="FD225" s="121"/>
      <c r="FE225" s="121"/>
      <c r="FF225" s="121"/>
      <c r="FG225" s="121"/>
      <c r="FH225" s="121"/>
      <c r="FI225" s="121"/>
      <c r="FJ225" s="121"/>
      <c r="FK225" s="121"/>
      <c r="FL225" s="121"/>
      <c r="FM225" s="121"/>
      <c r="FN225" s="121"/>
      <c r="FO225" s="121"/>
      <c r="FP225" s="121"/>
      <c r="FQ225" s="121"/>
      <c r="FR225" s="121"/>
      <c r="FS225" s="121"/>
      <c r="FT225" s="121"/>
      <c r="FU225" s="121"/>
      <c r="FV225" s="121"/>
      <c r="FW225" s="121"/>
      <c r="FX225" s="121"/>
      <c r="FY225" s="121"/>
      <c r="FZ225" s="121"/>
      <c r="GA225" s="121"/>
      <c r="GB225" s="121"/>
      <c r="GC225" s="121"/>
      <c r="GD225" s="121"/>
      <c r="GE225" s="121"/>
      <c r="GF225" s="121"/>
      <c r="GG225" s="121"/>
      <c r="GH225" s="121"/>
    </row>
    <row r="226" spans="1:190">
      <c r="A226" s="121"/>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c r="AD226" s="121"/>
      <c r="AE226" s="121"/>
      <c r="AF226" s="121"/>
      <c r="AG226" s="121"/>
      <c r="AH226" s="121"/>
      <c r="AI226" s="121"/>
      <c r="AJ226" s="121"/>
      <c r="AK226" s="121"/>
      <c r="AL226" s="121"/>
      <c r="AM226" s="121"/>
      <c r="AN226" s="121"/>
      <c r="AO226" s="121"/>
      <c r="AP226" s="121"/>
      <c r="AQ226" s="121"/>
      <c r="AR226" s="121"/>
      <c r="AS226" s="121"/>
      <c r="AT226" s="121"/>
      <c r="AU226" s="121"/>
      <c r="AV226" s="121"/>
      <c r="AW226" s="121"/>
      <c r="AX226" s="121"/>
      <c r="AY226" s="121"/>
      <c r="AZ226" s="121"/>
      <c r="BA226" s="121"/>
      <c r="BB226" s="121"/>
      <c r="BC226" s="121"/>
      <c r="BD226" s="121"/>
      <c r="BE226" s="121"/>
      <c r="BF226" s="121"/>
      <c r="BG226" s="121"/>
      <c r="BH226" s="121"/>
      <c r="BI226" s="121"/>
      <c r="BJ226" s="121"/>
      <c r="BK226" s="121"/>
      <c r="BL226" s="121"/>
      <c r="BM226" s="121"/>
      <c r="BN226" s="121"/>
      <c r="BO226" s="121"/>
      <c r="BP226" s="121"/>
      <c r="BQ226" s="121"/>
      <c r="BR226" s="121"/>
      <c r="BS226" s="121"/>
      <c r="BT226" s="121"/>
      <c r="BU226" s="121"/>
      <c r="BV226" s="121"/>
      <c r="BW226" s="121"/>
      <c r="BX226" s="121"/>
      <c r="BY226" s="121"/>
      <c r="BZ226" s="121"/>
      <c r="CA226" s="121"/>
      <c r="CB226" s="121"/>
      <c r="CC226" s="121"/>
      <c r="CD226" s="121"/>
      <c r="CE226" s="121"/>
      <c r="CF226" s="121"/>
      <c r="CG226" s="121"/>
      <c r="CH226" s="121"/>
      <c r="CI226" s="121"/>
      <c r="CJ226" s="121"/>
      <c r="CK226" s="121"/>
      <c r="CL226" s="121"/>
      <c r="CM226" s="121"/>
      <c r="CN226" s="121"/>
      <c r="CO226" s="121"/>
      <c r="CP226" s="121"/>
      <c r="CQ226" s="121"/>
      <c r="CR226" s="121"/>
      <c r="CS226" s="121"/>
      <c r="CT226" s="121"/>
      <c r="CU226" s="121"/>
      <c r="CV226" s="121"/>
      <c r="CW226" s="121"/>
      <c r="CX226" s="121"/>
      <c r="CY226" s="121"/>
      <c r="CZ226" s="121"/>
      <c r="DA226" s="121"/>
      <c r="DB226" s="121"/>
      <c r="DC226" s="121"/>
      <c r="DD226" s="121"/>
      <c r="DE226" s="121"/>
      <c r="DF226" s="121"/>
      <c r="DG226" s="121"/>
      <c r="DH226" s="121"/>
      <c r="DI226" s="121"/>
      <c r="DJ226" s="121"/>
      <c r="DK226" s="121"/>
      <c r="DL226" s="121"/>
      <c r="DM226" s="121"/>
      <c r="DN226" s="121"/>
      <c r="DO226" s="121"/>
      <c r="DP226" s="121"/>
      <c r="DQ226" s="121"/>
      <c r="DR226" s="121"/>
      <c r="DS226" s="121"/>
      <c r="DT226" s="121"/>
      <c r="DU226" s="121"/>
      <c r="DV226" s="121"/>
      <c r="DW226" s="121"/>
      <c r="DX226" s="121"/>
      <c r="DY226" s="121"/>
      <c r="DZ226" s="121"/>
      <c r="EA226" s="121"/>
      <c r="EB226" s="121"/>
      <c r="EC226" s="121"/>
      <c r="ED226" s="121"/>
      <c r="EE226" s="121"/>
      <c r="EF226" s="121"/>
      <c r="EG226" s="121"/>
      <c r="EH226" s="121"/>
      <c r="EI226" s="121"/>
      <c r="EJ226" s="121"/>
      <c r="EK226" s="121"/>
      <c r="EL226" s="121"/>
      <c r="EM226" s="121"/>
      <c r="EN226" s="121"/>
      <c r="EO226" s="121"/>
      <c r="EP226" s="121"/>
      <c r="EQ226" s="121"/>
      <c r="ER226" s="121"/>
      <c r="ES226" s="121"/>
      <c r="ET226" s="121"/>
      <c r="EU226" s="121"/>
      <c r="EV226" s="121"/>
      <c r="EW226" s="121"/>
      <c r="EX226" s="121"/>
      <c r="EY226" s="121"/>
      <c r="EZ226" s="121"/>
      <c r="FA226" s="121"/>
      <c r="FB226" s="121"/>
      <c r="FC226" s="121"/>
      <c r="FD226" s="121"/>
      <c r="FE226" s="121"/>
      <c r="FF226" s="121"/>
      <c r="FG226" s="121"/>
      <c r="FH226" s="121"/>
      <c r="FI226" s="121"/>
      <c r="FJ226" s="121"/>
      <c r="FK226" s="121"/>
      <c r="FL226" s="121"/>
      <c r="FM226" s="121"/>
      <c r="FN226" s="121"/>
      <c r="FO226" s="121"/>
      <c r="FP226" s="121"/>
      <c r="FQ226" s="121"/>
      <c r="FR226" s="121"/>
      <c r="FS226" s="121"/>
      <c r="FT226" s="121"/>
      <c r="FU226" s="121"/>
      <c r="FV226" s="121"/>
      <c r="FW226" s="121"/>
      <c r="FX226" s="121"/>
      <c r="FY226" s="121"/>
      <c r="FZ226" s="121"/>
      <c r="GA226" s="121"/>
      <c r="GB226" s="121"/>
      <c r="GC226" s="121"/>
      <c r="GD226" s="121"/>
      <c r="GE226" s="121"/>
      <c r="GF226" s="121"/>
      <c r="GG226" s="121"/>
      <c r="GH226" s="121"/>
    </row>
    <row r="227" spans="1:190">
      <c r="A227" s="121"/>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c r="AD227" s="121"/>
      <c r="AE227" s="121"/>
      <c r="AF227" s="121"/>
      <c r="AG227" s="121"/>
      <c r="AH227" s="121"/>
      <c r="AI227" s="121"/>
      <c r="AJ227" s="121"/>
      <c r="AK227" s="121"/>
      <c r="AL227" s="121"/>
      <c r="AM227" s="121"/>
      <c r="AN227" s="121"/>
      <c r="AO227" s="121"/>
      <c r="AP227" s="121"/>
      <c r="AQ227" s="121"/>
      <c r="AR227" s="121"/>
      <c r="AS227" s="121"/>
      <c r="AT227" s="121"/>
      <c r="AU227" s="121"/>
      <c r="AV227" s="121"/>
      <c r="AW227" s="121"/>
      <c r="AX227" s="121"/>
      <c r="AY227" s="121"/>
      <c r="AZ227" s="121"/>
      <c r="BA227" s="121"/>
      <c r="BB227" s="121"/>
      <c r="BC227" s="121"/>
      <c r="BD227" s="121"/>
      <c r="BE227" s="121"/>
      <c r="BF227" s="121"/>
      <c r="BG227" s="121"/>
      <c r="BH227" s="121"/>
      <c r="BI227" s="121"/>
      <c r="BJ227" s="121"/>
      <c r="BK227" s="121"/>
      <c r="BL227" s="121"/>
      <c r="BM227" s="121"/>
      <c r="BN227" s="121"/>
      <c r="BO227" s="121"/>
      <c r="BP227" s="121"/>
      <c r="BQ227" s="121"/>
      <c r="BR227" s="121"/>
      <c r="BS227" s="121"/>
      <c r="BT227" s="121"/>
      <c r="BU227" s="121"/>
      <c r="BV227" s="121"/>
      <c r="BW227" s="121"/>
      <c r="BX227" s="121"/>
      <c r="BY227" s="121"/>
      <c r="BZ227" s="121"/>
      <c r="CA227" s="121"/>
      <c r="CB227" s="121"/>
      <c r="CC227" s="121"/>
      <c r="CD227" s="121"/>
      <c r="CE227" s="121"/>
      <c r="CF227" s="121"/>
      <c r="CG227" s="121"/>
      <c r="CH227" s="121"/>
      <c r="CI227" s="121"/>
      <c r="CJ227" s="121"/>
      <c r="CK227" s="121"/>
      <c r="CL227" s="121"/>
      <c r="CM227" s="121"/>
      <c r="CN227" s="121"/>
      <c r="CO227" s="121"/>
      <c r="CP227" s="121"/>
      <c r="CQ227" s="121"/>
      <c r="CR227" s="121"/>
      <c r="CS227" s="121"/>
      <c r="CT227" s="121"/>
      <c r="CU227" s="121"/>
      <c r="CV227" s="121"/>
      <c r="CW227" s="121"/>
      <c r="CX227" s="121"/>
      <c r="CY227" s="121"/>
      <c r="CZ227" s="121"/>
      <c r="DA227" s="121"/>
      <c r="DB227" s="121"/>
      <c r="DC227" s="121"/>
      <c r="DD227" s="121"/>
      <c r="DE227" s="121"/>
      <c r="DF227" s="121"/>
      <c r="DG227" s="121"/>
      <c r="DH227" s="121"/>
      <c r="DI227" s="121"/>
      <c r="DJ227" s="121"/>
      <c r="DK227" s="121"/>
      <c r="DL227" s="121"/>
      <c r="DM227" s="121"/>
      <c r="DN227" s="121"/>
      <c r="DO227" s="121"/>
      <c r="DP227" s="121"/>
      <c r="DQ227" s="121"/>
      <c r="DR227" s="121"/>
      <c r="DS227" s="121"/>
      <c r="DT227" s="121"/>
      <c r="DU227" s="121"/>
      <c r="DV227" s="121"/>
      <c r="DW227" s="121"/>
      <c r="DX227" s="121"/>
      <c r="DY227" s="121"/>
      <c r="DZ227" s="121"/>
      <c r="EA227" s="121"/>
      <c r="EB227" s="121"/>
      <c r="EC227" s="121"/>
      <c r="ED227" s="121"/>
      <c r="EE227" s="121"/>
      <c r="EF227" s="121"/>
      <c r="EG227" s="121"/>
      <c r="EH227" s="121"/>
      <c r="EI227" s="121"/>
      <c r="EJ227" s="121"/>
      <c r="EK227" s="121"/>
      <c r="EL227" s="121"/>
      <c r="EM227" s="121"/>
      <c r="EN227" s="121"/>
      <c r="EO227" s="121"/>
      <c r="EP227" s="121"/>
      <c r="EQ227" s="121"/>
      <c r="ER227" s="121"/>
      <c r="ES227" s="121"/>
      <c r="ET227" s="121"/>
      <c r="EU227" s="121"/>
      <c r="EV227" s="121"/>
      <c r="EW227" s="121"/>
      <c r="EX227" s="121"/>
      <c r="EY227" s="121"/>
      <c r="EZ227" s="121"/>
      <c r="FA227" s="121"/>
      <c r="FB227" s="121"/>
      <c r="FC227" s="121"/>
      <c r="FD227" s="121"/>
      <c r="FE227" s="121"/>
      <c r="FF227" s="121"/>
      <c r="FG227" s="121"/>
      <c r="FH227" s="121"/>
      <c r="FI227" s="121"/>
      <c r="FJ227" s="121"/>
      <c r="FK227" s="121"/>
      <c r="FL227" s="121"/>
      <c r="FM227" s="121"/>
      <c r="FN227" s="121"/>
      <c r="FO227" s="121"/>
      <c r="FP227" s="121"/>
      <c r="FQ227" s="121"/>
      <c r="FR227" s="121"/>
      <c r="FS227" s="121"/>
      <c r="FT227" s="121"/>
      <c r="FU227" s="121"/>
      <c r="FV227" s="121"/>
      <c r="FW227" s="121"/>
      <c r="FX227" s="121"/>
      <c r="FY227" s="121"/>
      <c r="FZ227" s="121"/>
      <c r="GA227" s="121"/>
      <c r="GB227" s="121"/>
      <c r="GC227" s="121"/>
      <c r="GD227" s="121"/>
      <c r="GE227" s="121"/>
      <c r="GF227" s="121"/>
      <c r="GG227" s="121"/>
      <c r="GH227" s="121"/>
    </row>
    <row r="228" spans="1:190">
      <c r="A228" s="121"/>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c r="AD228" s="121"/>
      <c r="AE228" s="121"/>
      <c r="AF228" s="121"/>
      <c r="AG228" s="121"/>
      <c r="AH228" s="121"/>
      <c r="AI228" s="121"/>
      <c r="AJ228" s="121"/>
      <c r="AK228" s="121"/>
      <c r="AL228" s="121"/>
      <c r="AM228" s="121"/>
      <c r="AN228" s="121"/>
      <c r="AO228" s="121"/>
      <c r="AP228" s="121"/>
      <c r="AQ228" s="121"/>
      <c r="AR228" s="121"/>
      <c r="AS228" s="121"/>
      <c r="AT228" s="121"/>
      <c r="AU228" s="121"/>
      <c r="AV228" s="121"/>
      <c r="AW228" s="121"/>
      <c r="AX228" s="121"/>
      <c r="AY228" s="121"/>
      <c r="AZ228" s="121"/>
      <c r="BA228" s="121"/>
      <c r="BB228" s="121"/>
      <c r="BC228" s="121"/>
      <c r="BD228" s="121"/>
      <c r="BE228" s="121"/>
      <c r="BF228" s="121"/>
      <c r="BG228" s="121"/>
      <c r="BH228" s="121"/>
      <c r="BI228" s="121"/>
      <c r="BJ228" s="121"/>
      <c r="BK228" s="121"/>
      <c r="BL228" s="121"/>
      <c r="BM228" s="121"/>
      <c r="BN228" s="121"/>
      <c r="BO228" s="121"/>
      <c r="BP228" s="121"/>
      <c r="BQ228" s="121"/>
      <c r="BR228" s="121"/>
      <c r="BS228" s="121"/>
      <c r="BT228" s="121"/>
      <c r="BU228" s="121"/>
      <c r="BV228" s="121"/>
      <c r="BW228" s="121"/>
      <c r="BX228" s="121"/>
      <c r="BY228" s="121"/>
      <c r="BZ228" s="121"/>
      <c r="CA228" s="121"/>
      <c r="CB228" s="121"/>
      <c r="CC228" s="121"/>
      <c r="CD228" s="121"/>
      <c r="CE228" s="121"/>
      <c r="CF228" s="121"/>
      <c r="CG228" s="121"/>
      <c r="CH228" s="121"/>
      <c r="CI228" s="121"/>
      <c r="CJ228" s="121"/>
      <c r="CK228" s="121"/>
      <c r="CL228" s="121"/>
      <c r="CM228" s="121"/>
      <c r="CN228" s="121"/>
      <c r="CO228" s="121"/>
      <c r="CP228" s="121"/>
      <c r="CQ228" s="121"/>
      <c r="CR228" s="121"/>
      <c r="CS228" s="121"/>
      <c r="CT228" s="121"/>
      <c r="CU228" s="121"/>
      <c r="CV228" s="121"/>
      <c r="CW228" s="121"/>
      <c r="CX228" s="121"/>
      <c r="CY228" s="121"/>
      <c r="CZ228" s="121"/>
      <c r="DA228" s="121"/>
      <c r="DB228" s="121"/>
      <c r="DC228" s="121"/>
      <c r="DD228" s="121"/>
      <c r="DE228" s="121"/>
      <c r="DF228" s="121"/>
      <c r="DG228" s="121"/>
      <c r="DH228" s="121"/>
      <c r="DI228" s="121"/>
      <c r="DJ228" s="121"/>
      <c r="DK228" s="121"/>
      <c r="DL228" s="121"/>
      <c r="DM228" s="121"/>
      <c r="DN228" s="121"/>
      <c r="DO228" s="121"/>
      <c r="DP228" s="121"/>
      <c r="DQ228" s="121"/>
      <c r="DR228" s="121"/>
      <c r="DS228" s="121"/>
      <c r="DT228" s="121"/>
      <c r="DU228" s="121"/>
      <c r="DV228" s="121"/>
      <c r="DW228" s="121"/>
      <c r="DX228" s="121"/>
      <c r="DY228" s="121"/>
      <c r="DZ228" s="121"/>
      <c r="EA228" s="121"/>
      <c r="EB228" s="121"/>
      <c r="EC228" s="121"/>
      <c r="ED228" s="121"/>
      <c r="EE228" s="121"/>
      <c r="EF228" s="121"/>
      <c r="EG228" s="121"/>
      <c r="EH228" s="121"/>
      <c r="EI228" s="121"/>
      <c r="EJ228" s="121"/>
      <c r="EK228" s="121"/>
      <c r="EL228" s="121"/>
      <c r="EM228" s="121"/>
      <c r="EN228" s="121"/>
      <c r="EO228" s="121"/>
      <c r="EP228" s="121"/>
      <c r="EQ228" s="121"/>
      <c r="ER228" s="121"/>
      <c r="ES228" s="121"/>
      <c r="ET228" s="121"/>
      <c r="EU228" s="121"/>
      <c r="EV228" s="121"/>
      <c r="EW228" s="121"/>
      <c r="EX228" s="121"/>
      <c r="EY228" s="121"/>
      <c r="EZ228" s="121"/>
      <c r="FA228" s="121"/>
      <c r="FB228" s="121"/>
      <c r="FC228" s="121"/>
      <c r="FD228" s="121"/>
      <c r="FE228" s="121"/>
      <c r="FF228" s="121"/>
      <c r="FG228" s="121"/>
      <c r="FH228" s="121"/>
      <c r="FI228" s="121"/>
      <c r="FJ228" s="121"/>
      <c r="FK228" s="121"/>
      <c r="FL228" s="121"/>
      <c r="FM228" s="121"/>
      <c r="FN228" s="121"/>
      <c r="FO228" s="121"/>
      <c r="FP228" s="121"/>
      <c r="FQ228" s="121"/>
      <c r="FR228" s="121"/>
      <c r="FS228" s="121"/>
      <c r="FT228" s="121"/>
      <c r="FU228" s="121"/>
      <c r="FV228" s="121"/>
      <c r="FW228" s="121"/>
      <c r="FX228" s="121"/>
      <c r="FY228" s="121"/>
      <c r="FZ228" s="121"/>
      <c r="GA228" s="121"/>
      <c r="GB228" s="121"/>
      <c r="GC228" s="121"/>
      <c r="GD228" s="121"/>
      <c r="GE228" s="121"/>
      <c r="GF228" s="121"/>
      <c r="GG228" s="121"/>
      <c r="GH228" s="121"/>
    </row>
    <row r="229" spans="1:190">
      <c r="A229" s="121"/>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c r="AB229" s="121"/>
      <c r="AC229" s="121"/>
      <c r="AD229" s="121"/>
      <c r="AE229" s="121"/>
      <c r="AF229" s="121"/>
      <c r="AG229" s="121"/>
      <c r="AH229" s="121"/>
      <c r="AI229" s="121"/>
      <c r="AJ229" s="121"/>
      <c r="AK229" s="121"/>
      <c r="AL229" s="121"/>
      <c r="AM229" s="121"/>
      <c r="AN229" s="121"/>
      <c r="AO229" s="121"/>
      <c r="AP229" s="121"/>
      <c r="AQ229" s="121"/>
      <c r="AR229" s="121"/>
      <c r="AS229" s="121"/>
      <c r="AT229" s="121"/>
      <c r="AU229" s="121"/>
      <c r="AV229" s="121"/>
      <c r="AW229" s="121"/>
      <c r="AX229" s="121"/>
      <c r="AY229" s="121"/>
      <c r="AZ229" s="121"/>
      <c r="BA229" s="121"/>
      <c r="BB229" s="121"/>
      <c r="BC229" s="121"/>
      <c r="BD229" s="121"/>
      <c r="BE229" s="121"/>
      <c r="BF229" s="121"/>
      <c r="BG229" s="121"/>
      <c r="BH229" s="121"/>
      <c r="BI229" s="121"/>
      <c r="BJ229" s="121"/>
      <c r="BK229" s="121"/>
      <c r="BL229" s="121"/>
      <c r="BM229" s="121"/>
      <c r="BN229" s="121"/>
      <c r="BO229" s="121"/>
      <c r="BP229" s="121"/>
      <c r="BQ229" s="121"/>
      <c r="BR229" s="121"/>
      <c r="BS229" s="121"/>
      <c r="BT229" s="121"/>
      <c r="BU229" s="121"/>
      <c r="BV229" s="121"/>
      <c r="BW229" s="121"/>
      <c r="BX229" s="121"/>
      <c r="BY229" s="121"/>
      <c r="BZ229" s="121"/>
      <c r="CA229" s="121"/>
      <c r="CB229" s="121"/>
      <c r="CC229" s="121"/>
      <c r="CD229" s="121"/>
      <c r="CE229" s="121"/>
      <c r="CF229" s="121"/>
      <c r="CG229" s="121"/>
      <c r="CH229" s="121"/>
      <c r="CI229" s="121"/>
      <c r="CJ229" s="121"/>
      <c r="CK229" s="121"/>
      <c r="CL229" s="121"/>
      <c r="CM229" s="121"/>
      <c r="CN229" s="121"/>
      <c r="CO229" s="121"/>
      <c r="CP229" s="121"/>
      <c r="CQ229" s="121"/>
      <c r="CR229" s="121"/>
      <c r="CS229" s="121"/>
      <c r="CT229" s="121"/>
      <c r="CU229" s="121"/>
      <c r="CV229" s="121"/>
      <c r="CW229" s="121"/>
      <c r="CX229" s="121"/>
      <c r="CY229" s="121"/>
      <c r="CZ229" s="121"/>
      <c r="DA229" s="121"/>
      <c r="DB229" s="121"/>
      <c r="DC229" s="121"/>
      <c r="DD229" s="121"/>
      <c r="DE229" s="121"/>
      <c r="DF229" s="121"/>
      <c r="DG229" s="121"/>
      <c r="DH229" s="121"/>
      <c r="DI229" s="121"/>
      <c r="DJ229" s="121"/>
      <c r="DK229" s="121"/>
      <c r="DL229" s="121"/>
      <c r="DM229" s="121"/>
      <c r="DN229" s="121"/>
      <c r="DO229" s="121"/>
      <c r="DP229" s="121"/>
      <c r="DQ229" s="121"/>
      <c r="DR229" s="121"/>
      <c r="DS229" s="121"/>
      <c r="DT229" s="121"/>
      <c r="DU229" s="121"/>
      <c r="DV229" s="121"/>
      <c r="DW229" s="121"/>
      <c r="DX229" s="121"/>
      <c r="DY229" s="121"/>
      <c r="DZ229" s="121"/>
      <c r="EA229" s="121"/>
      <c r="EB229" s="121"/>
      <c r="EC229" s="121"/>
      <c r="ED229" s="121"/>
      <c r="EE229" s="121"/>
      <c r="EF229" s="121"/>
      <c r="EG229" s="121"/>
      <c r="EH229" s="121"/>
      <c r="EI229" s="121"/>
      <c r="EJ229" s="121"/>
      <c r="EK229" s="121"/>
      <c r="EL229" s="121"/>
      <c r="EM229" s="121"/>
      <c r="EN229" s="121"/>
      <c r="EO229" s="121"/>
      <c r="EP229" s="121"/>
      <c r="EQ229" s="121"/>
      <c r="ER229" s="121"/>
      <c r="ES229" s="121"/>
      <c r="ET229" s="121"/>
      <c r="EU229" s="121"/>
      <c r="EV229" s="121"/>
      <c r="EW229" s="121"/>
      <c r="EX229" s="121"/>
      <c r="EY229" s="121"/>
      <c r="EZ229" s="121"/>
      <c r="FA229" s="121"/>
      <c r="FB229" s="121"/>
      <c r="FC229" s="121"/>
      <c r="FD229" s="121"/>
      <c r="FE229" s="121"/>
      <c r="FF229" s="121"/>
      <c r="FG229" s="121"/>
      <c r="FH229" s="121"/>
      <c r="FI229" s="121"/>
      <c r="FJ229" s="121"/>
      <c r="FK229" s="121"/>
      <c r="FL229" s="121"/>
      <c r="FM229" s="121"/>
      <c r="FN229" s="121"/>
      <c r="FO229" s="121"/>
      <c r="FP229" s="121"/>
      <c r="FQ229" s="121"/>
      <c r="FR229" s="121"/>
      <c r="FS229" s="121"/>
      <c r="FT229" s="121"/>
      <c r="FU229" s="121"/>
      <c r="FV229" s="121"/>
      <c r="FW229" s="121"/>
      <c r="FX229" s="121"/>
      <c r="FY229" s="121"/>
      <c r="FZ229" s="121"/>
      <c r="GA229" s="121"/>
      <c r="GB229" s="121"/>
      <c r="GC229" s="121"/>
      <c r="GD229" s="121"/>
      <c r="GE229" s="121"/>
      <c r="GF229" s="121"/>
      <c r="GG229" s="121"/>
      <c r="GH229" s="121"/>
    </row>
    <row r="230" spans="1:190">
      <c r="A230" s="121"/>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c r="AD230" s="121"/>
      <c r="AE230" s="121"/>
      <c r="AF230" s="121"/>
      <c r="AG230" s="121"/>
      <c r="AH230" s="121"/>
      <c r="AI230" s="121"/>
      <c r="AJ230" s="121"/>
      <c r="AK230" s="121"/>
      <c r="AL230" s="121"/>
      <c r="AM230" s="121"/>
      <c r="AN230" s="121"/>
      <c r="AO230" s="121"/>
      <c r="AP230" s="121"/>
      <c r="AQ230" s="121"/>
      <c r="AR230" s="121"/>
      <c r="AS230" s="121"/>
      <c r="AT230" s="121"/>
      <c r="AU230" s="121"/>
      <c r="AV230" s="121"/>
      <c r="AW230" s="121"/>
      <c r="AX230" s="121"/>
      <c r="AY230" s="121"/>
      <c r="AZ230" s="121"/>
      <c r="BA230" s="121"/>
      <c r="BB230" s="121"/>
      <c r="BC230" s="121"/>
      <c r="BD230" s="121"/>
      <c r="BE230" s="121"/>
      <c r="BF230" s="121"/>
      <c r="BG230" s="121"/>
      <c r="BH230" s="121"/>
      <c r="BI230" s="121"/>
      <c r="BJ230" s="121"/>
      <c r="BK230" s="121"/>
      <c r="BL230" s="121"/>
      <c r="BM230" s="121"/>
      <c r="BN230" s="121"/>
      <c r="BO230" s="121"/>
      <c r="BP230" s="121"/>
      <c r="BQ230" s="121"/>
      <c r="BR230" s="121"/>
      <c r="BS230" s="121"/>
      <c r="BT230" s="121"/>
      <c r="BU230" s="121"/>
      <c r="BV230" s="121"/>
      <c r="BW230" s="121"/>
      <c r="BX230" s="121"/>
      <c r="BY230" s="121"/>
      <c r="BZ230" s="121"/>
      <c r="CA230" s="121"/>
      <c r="CB230" s="121"/>
      <c r="CC230" s="121"/>
      <c r="CD230" s="121"/>
      <c r="CE230" s="121"/>
      <c r="CF230" s="121"/>
      <c r="CG230" s="121"/>
      <c r="CH230" s="121"/>
      <c r="CI230" s="121"/>
      <c r="CJ230" s="121"/>
      <c r="CK230" s="121"/>
      <c r="CL230" s="121"/>
      <c r="CM230" s="121"/>
      <c r="CN230" s="121"/>
      <c r="CO230" s="121"/>
      <c r="CP230" s="121"/>
      <c r="CQ230" s="121"/>
      <c r="CR230" s="121"/>
      <c r="CS230" s="121"/>
      <c r="CT230" s="121"/>
      <c r="CU230" s="121"/>
      <c r="CV230" s="121"/>
      <c r="CW230" s="121"/>
      <c r="CX230" s="121"/>
      <c r="CY230" s="121"/>
      <c r="CZ230" s="121"/>
      <c r="DA230" s="121"/>
      <c r="DB230" s="121"/>
      <c r="DC230" s="121"/>
      <c r="DD230" s="121"/>
      <c r="DE230" s="121"/>
      <c r="DF230" s="121"/>
      <c r="DG230" s="121"/>
      <c r="DH230" s="121"/>
      <c r="DI230" s="121"/>
      <c r="DJ230" s="121"/>
      <c r="DK230" s="121"/>
      <c r="DL230" s="121"/>
      <c r="DM230" s="121"/>
      <c r="DN230" s="121"/>
      <c r="DO230" s="121"/>
      <c r="DP230" s="121"/>
      <c r="DQ230" s="121"/>
      <c r="DR230" s="121"/>
      <c r="DS230" s="121"/>
      <c r="DT230" s="121"/>
      <c r="DU230" s="121"/>
      <c r="DV230" s="121"/>
      <c r="DW230" s="121"/>
      <c r="DX230" s="121"/>
      <c r="DY230" s="121"/>
      <c r="DZ230" s="121"/>
      <c r="EA230" s="121"/>
      <c r="EB230" s="121"/>
      <c r="EC230" s="121"/>
      <c r="ED230" s="121"/>
      <c r="EE230" s="121"/>
      <c r="EF230" s="121"/>
      <c r="EG230" s="121"/>
      <c r="EH230" s="121"/>
      <c r="EI230" s="121"/>
      <c r="EJ230" s="121"/>
      <c r="EK230" s="121"/>
      <c r="EL230" s="121"/>
      <c r="EM230" s="121"/>
      <c r="EN230" s="121"/>
      <c r="EO230" s="121"/>
      <c r="EP230" s="121"/>
      <c r="EQ230" s="121"/>
      <c r="ER230" s="121"/>
      <c r="ES230" s="121"/>
      <c r="ET230" s="121"/>
      <c r="EU230" s="121"/>
      <c r="EV230" s="121"/>
      <c r="EW230" s="121"/>
      <c r="EX230" s="121"/>
      <c r="EY230" s="121"/>
      <c r="EZ230" s="121"/>
      <c r="FA230" s="121"/>
      <c r="FB230" s="121"/>
      <c r="FC230" s="121"/>
      <c r="FD230" s="121"/>
      <c r="FE230" s="121"/>
      <c r="FF230" s="121"/>
      <c r="FG230" s="121"/>
      <c r="FH230" s="121"/>
      <c r="FI230" s="121"/>
      <c r="FJ230" s="121"/>
      <c r="FK230" s="121"/>
      <c r="FL230" s="121"/>
      <c r="FM230" s="121"/>
      <c r="FN230" s="121"/>
      <c r="FO230" s="121"/>
      <c r="FP230" s="121"/>
      <c r="FQ230" s="121"/>
      <c r="FR230" s="121"/>
      <c r="FS230" s="121"/>
      <c r="FT230" s="121"/>
      <c r="FU230" s="121"/>
      <c r="FV230" s="121"/>
      <c r="FW230" s="121"/>
      <c r="FX230" s="121"/>
      <c r="FY230" s="121"/>
      <c r="FZ230" s="121"/>
      <c r="GA230" s="121"/>
      <c r="GB230" s="121"/>
      <c r="GC230" s="121"/>
      <c r="GD230" s="121"/>
      <c r="GE230" s="121"/>
      <c r="GF230" s="121"/>
      <c r="GG230" s="121"/>
      <c r="GH230" s="121"/>
    </row>
    <row r="231" spans="1:190">
      <c r="A231" s="121"/>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c r="AD231" s="121"/>
      <c r="AE231" s="121"/>
      <c r="AF231" s="121"/>
      <c r="AG231" s="121"/>
      <c r="AH231" s="121"/>
      <c r="AI231" s="121"/>
      <c r="AJ231" s="121"/>
      <c r="AK231" s="121"/>
      <c r="AL231" s="121"/>
      <c r="AM231" s="121"/>
      <c r="AN231" s="121"/>
      <c r="AO231" s="121"/>
      <c r="AP231" s="121"/>
      <c r="AQ231" s="121"/>
      <c r="AR231" s="121"/>
      <c r="AS231" s="121"/>
      <c r="AT231" s="121"/>
      <c r="AU231" s="121"/>
      <c r="AV231" s="121"/>
      <c r="AW231" s="121"/>
      <c r="AX231" s="121"/>
      <c r="AY231" s="121"/>
      <c r="AZ231" s="121"/>
      <c r="BA231" s="121"/>
      <c r="BB231" s="121"/>
      <c r="BC231" s="121"/>
      <c r="BD231" s="121"/>
      <c r="BE231" s="121"/>
      <c r="BF231" s="121"/>
      <c r="BG231" s="121"/>
      <c r="BH231" s="121"/>
      <c r="BI231" s="121"/>
      <c r="BJ231" s="121"/>
      <c r="BK231" s="121"/>
      <c r="BL231" s="121"/>
      <c r="BM231" s="121"/>
      <c r="BN231" s="121"/>
      <c r="BO231" s="121"/>
      <c r="BP231" s="121"/>
      <c r="BQ231" s="121"/>
      <c r="BR231" s="121"/>
      <c r="BS231" s="121"/>
      <c r="BT231" s="121"/>
      <c r="BU231" s="121"/>
      <c r="BV231" s="121"/>
      <c r="BW231" s="121"/>
      <c r="BX231" s="121"/>
      <c r="BY231" s="121"/>
      <c r="BZ231" s="121"/>
      <c r="CA231" s="121"/>
      <c r="CB231" s="121"/>
      <c r="CC231" s="121"/>
      <c r="CD231" s="121"/>
      <c r="CE231" s="121"/>
      <c r="CF231" s="121"/>
      <c r="CG231" s="121"/>
      <c r="CH231" s="121"/>
      <c r="CI231" s="121"/>
      <c r="CJ231" s="121"/>
      <c r="CK231" s="121"/>
      <c r="CL231" s="121"/>
      <c r="CM231" s="121"/>
      <c r="CN231" s="121"/>
      <c r="CO231" s="121"/>
      <c r="CP231" s="121"/>
      <c r="CQ231" s="121"/>
      <c r="CR231" s="121"/>
      <c r="CS231" s="121"/>
      <c r="CT231" s="121"/>
      <c r="CU231" s="121"/>
      <c r="CV231" s="121"/>
      <c r="CW231" s="121"/>
      <c r="CX231" s="121"/>
      <c r="CY231" s="121"/>
      <c r="CZ231" s="121"/>
      <c r="DA231" s="121"/>
      <c r="DB231" s="121"/>
      <c r="DC231" s="121"/>
      <c r="DD231" s="121"/>
      <c r="DE231" s="121"/>
      <c r="DF231" s="121"/>
      <c r="DG231" s="121"/>
      <c r="DH231" s="121"/>
      <c r="DI231" s="121"/>
      <c r="DJ231" s="121"/>
      <c r="DK231" s="121"/>
      <c r="DL231" s="121"/>
      <c r="DM231" s="121"/>
      <c r="DN231" s="121"/>
      <c r="DO231" s="121"/>
      <c r="DP231" s="121"/>
      <c r="DQ231" s="121"/>
      <c r="DR231" s="121"/>
      <c r="DS231" s="121"/>
      <c r="DT231" s="121"/>
      <c r="DU231" s="121"/>
      <c r="DV231" s="121"/>
      <c r="DW231" s="121"/>
      <c r="DX231" s="121"/>
      <c r="DY231" s="121"/>
      <c r="DZ231" s="121"/>
      <c r="EA231" s="121"/>
      <c r="EB231" s="121"/>
      <c r="EC231" s="121"/>
      <c r="ED231" s="121"/>
      <c r="EE231" s="121"/>
      <c r="EF231" s="121"/>
      <c r="EG231" s="121"/>
      <c r="EH231" s="121"/>
      <c r="EI231" s="121"/>
      <c r="EJ231" s="121"/>
      <c r="EK231" s="121"/>
      <c r="EL231" s="121"/>
      <c r="EM231" s="121"/>
      <c r="EN231" s="121"/>
      <c r="EO231" s="121"/>
      <c r="EP231" s="121"/>
      <c r="EQ231" s="121"/>
      <c r="ER231" s="121"/>
      <c r="ES231" s="121"/>
      <c r="ET231" s="121"/>
      <c r="EU231" s="121"/>
      <c r="EV231" s="121"/>
      <c r="EW231" s="121"/>
      <c r="EX231" s="121"/>
      <c r="EY231" s="121"/>
      <c r="EZ231" s="121"/>
      <c r="FA231" s="121"/>
      <c r="FB231" s="121"/>
      <c r="FC231" s="121"/>
      <c r="FD231" s="121"/>
      <c r="FE231" s="121"/>
      <c r="FF231" s="121"/>
      <c r="FG231" s="121"/>
      <c r="FH231" s="121"/>
      <c r="FI231" s="121"/>
      <c r="FJ231" s="121"/>
      <c r="FK231" s="121"/>
      <c r="FL231" s="121"/>
      <c r="FM231" s="121"/>
      <c r="FN231" s="121"/>
      <c r="FO231" s="121"/>
      <c r="FP231" s="121"/>
      <c r="FQ231" s="121"/>
      <c r="FR231" s="121"/>
      <c r="FS231" s="121"/>
      <c r="FT231" s="121"/>
      <c r="FU231" s="121"/>
      <c r="FV231" s="121"/>
      <c r="FW231" s="121"/>
      <c r="FX231" s="121"/>
      <c r="FY231" s="121"/>
      <c r="FZ231" s="121"/>
      <c r="GA231" s="121"/>
      <c r="GB231" s="121"/>
      <c r="GC231" s="121"/>
      <c r="GD231" s="121"/>
      <c r="GE231" s="121"/>
      <c r="GF231" s="121"/>
      <c r="GG231" s="121"/>
      <c r="GH231" s="121"/>
    </row>
    <row r="232" spans="1:190">
      <c r="A232" s="121"/>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c r="AD232" s="121"/>
      <c r="AE232" s="121"/>
      <c r="AF232" s="121"/>
      <c r="AG232" s="121"/>
      <c r="AH232" s="121"/>
      <c r="AI232" s="121"/>
      <c r="AJ232" s="121"/>
      <c r="AK232" s="121"/>
      <c r="AL232" s="121"/>
      <c r="AM232" s="121"/>
      <c r="AN232" s="121"/>
      <c r="AO232" s="121"/>
      <c r="AP232" s="121"/>
      <c r="AQ232" s="121"/>
      <c r="AR232" s="121"/>
      <c r="AS232" s="121"/>
      <c r="AT232" s="121"/>
      <c r="AU232" s="121"/>
      <c r="AV232" s="121"/>
      <c r="AW232" s="121"/>
      <c r="AX232" s="121"/>
      <c r="AY232" s="121"/>
      <c r="AZ232" s="121"/>
      <c r="BA232" s="121"/>
      <c r="BB232" s="121"/>
      <c r="BC232" s="121"/>
      <c r="BD232" s="121"/>
      <c r="BE232" s="121"/>
      <c r="BF232" s="121"/>
      <c r="BG232" s="121"/>
      <c r="BH232" s="121"/>
      <c r="BI232" s="121"/>
      <c r="BJ232" s="121"/>
      <c r="BK232" s="121"/>
      <c r="BL232" s="121"/>
      <c r="BM232" s="121"/>
      <c r="BN232" s="121"/>
      <c r="BO232" s="121"/>
      <c r="BP232" s="121"/>
      <c r="BQ232" s="121"/>
      <c r="BR232" s="121"/>
      <c r="BS232" s="121"/>
      <c r="BT232" s="121"/>
      <c r="BU232" s="121"/>
      <c r="BV232" s="121"/>
      <c r="BW232" s="121"/>
      <c r="BX232" s="121"/>
      <c r="BY232" s="121"/>
      <c r="BZ232" s="121"/>
      <c r="CA232" s="121"/>
      <c r="CB232" s="121"/>
      <c r="CC232" s="121"/>
      <c r="CD232" s="121"/>
      <c r="CE232" s="121"/>
      <c r="CF232" s="121"/>
      <c r="CG232" s="121"/>
      <c r="CH232" s="121"/>
      <c r="CI232" s="121"/>
      <c r="CJ232" s="121"/>
      <c r="CK232" s="121"/>
      <c r="CL232" s="121"/>
      <c r="CM232" s="121"/>
      <c r="CN232" s="121"/>
      <c r="CO232" s="121"/>
      <c r="CP232" s="121"/>
      <c r="CQ232" s="121"/>
      <c r="CR232" s="121"/>
      <c r="CS232" s="121"/>
      <c r="CT232" s="121"/>
      <c r="CU232" s="121"/>
      <c r="CV232" s="121"/>
      <c r="CW232" s="121"/>
      <c r="CX232" s="121"/>
      <c r="CY232" s="121"/>
      <c r="CZ232" s="121"/>
      <c r="DA232" s="121"/>
      <c r="DB232" s="121"/>
      <c r="DC232" s="121"/>
      <c r="DD232" s="121"/>
      <c r="DE232" s="121"/>
      <c r="DF232" s="121"/>
      <c r="DG232" s="121"/>
      <c r="DH232" s="121"/>
      <c r="DI232" s="121"/>
      <c r="DJ232" s="121"/>
      <c r="DK232" s="121"/>
      <c r="DL232" s="121"/>
      <c r="DM232" s="121"/>
      <c r="DN232" s="121"/>
      <c r="DO232" s="121"/>
      <c r="DP232" s="121"/>
      <c r="DQ232" s="121"/>
      <c r="DR232" s="121"/>
      <c r="DS232" s="121"/>
      <c r="DT232" s="121"/>
      <c r="DU232" s="121"/>
      <c r="DV232" s="121"/>
      <c r="DW232" s="121"/>
      <c r="DX232" s="121"/>
      <c r="DY232" s="121"/>
      <c r="DZ232" s="121"/>
      <c r="EA232" s="121"/>
      <c r="EB232" s="121"/>
      <c r="EC232" s="121"/>
      <c r="ED232" s="121"/>
      <c r="EE232" s="121"/>
      <c r="EF232" s="121"/>
      <c r="EG232" s="121"/>
      <c r="EH232" s="121"/>
      <c r="EI232" s="121"/>
      <c r="EJ232" s="121"/>
      <c r="EK232" s="121"/>
      <c r="EL232" s="121"/>
      <c r="EM232" s="121"/>
      <c r="EN232" s="121"/>
      <c r="EO232" s="121"/>
      <c r="EP232" s="121"/>
      <c r="EQ232" s="121"/>
      <c r="ER232" s="121"/>
      <c r="ES232" s="121"/>
      <c r="ET232" s="121"/>
      <c r="EU232" s="121"/>
      <c r="EV232" s="121"/>
      <c r="EW232" s="121"/>
      <c r="EX232" s="121"/>
      <c r="EY232" s="121"/>
      <c r="EZ232" s="121"/>
      <c r="FA232" s="121"/>
      <c r="FB232" s="121"/>
      <c r="FC232" s="121"/>
      <c r="FD232" s="121"/>
      <c r="FE232" s="121"/>
      <c r="FF232" s="121"/>
      <c r="FG232" s="121"/>
      <c r="FH232" s="121"/>
      <c r="FI232" s="121"/>
      <c r="FJ232" s="121"/>
      <c r="FK232" s="121"/>
      <c r="FL232" s="121"/>
      <c r="FM232" s="121"/>
      <c r="FN232" s="121"/>
      <c r="FO232" s="121"/>
      <c r="FP232" s="121"/>
      <c r="FQ232" s="121"/>
      <c r="FR232" s="121"/>
      <c r="FS232" s="121"/>
      <c r="FT232" s="121"/>
      <c r="FU232" s="121"/>
      <c r="FV232" s="121"/>
      <c r="FW232" s="121"/>
      <c r="FX232" s="121"/>
      <c r="FY232" s="121"/>
      <c r="FZ232" s="121"/>
      <c r="GA232" s="121"/>
      <c r="GB232" s="121"/>
      <c r="GC232" s="121"/>
      <c r="GD232" s="121"/>
      <c r="GE232" s="121"/>
      <c r="GF232" s="121"/>
      <c r="GG232" s="121"/>
      <c r="GH232" s="121"/>
    </row>
    <row r="233" spans="1:190">
      <c r="A233" s="121"/>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c r="AD233" s="121"/>
      <c r="AE233" s="121"/>
      <c r="AF233" s="121"/>
      <c r="AG233" s="121"/>
      <c r="AH233" s="121"/>
      <c r="AI233" s="121"/>
      <c r="AJ233" s="121"/>
      <c r="AK233" s="121"/>
      <c r="AL233" s="121"/>
      <c r="AM233" s="121"/>
      <c r="AN233" s="121"/>
      <c r="AO233" s="121"/>
      <c r="AP233" s="121"/>
      <c r="AQ233" s="121"/>
      <c r="AR233" s="121"/>
      <c r="AS233" s="121"/>
      <c r="AT233" s="121"/>
      <c r="AU233" s="121"/>
      <c r="AV233" s="121"/>
      <c r="AW233" s="121"/>
      <c r="AX233" s="121"/>
      <c r="AY233" s="121"/>
      <c r="AZ233" s="121"/>
      <c r="BA233" s="121"/>
      <c r="BB233" s="121"/>
      <c r="BC233" s="121"/>
      <c r="BD233" s="121"/>
      <c r="BE233" s="121"/>
      <c r="BF233" s="121"/>
      <c r="BG233" s="121"/>
      <c r="BH233" s="121"/>
      <c r="BI233" s="121"/>
      <c r="BJ233" s="121"/>
      <c r="BK233" s="121"/>
      <c r="BL233" s="121"/>
      <c r="BM233" s="121"/>
      <c r="BN233" s="121"/>
      <c r="BO233" s="121"/>
      <c r="BP233" s="121"/>
      <c r="BQ233" s="121"/>
      <c r="BR233" s="121"/>
      <c r="BS233" s="121"/>
      <c r="BT233" s="121"/>
      <c r="BU233" s="121"/>
      <c r="BV233" s="121"/>
      <c r="BW233" s="121"/>
      <c r="BX233" s="121"/>
      <c r="BY233" s="121"/>
      <c r="BZ233" s="121"/>
      <c r="CA233" s="121"/>
      <c r="CB233" s="121"/>
      <c r="CC233" s="121"/>
      <c r="CD233" s="121"/>
      <c r="CE233" s="121"/>
      <c r="CF233" s="121"/>
      <c r="CG233" s="121"/>
      <c r="CH233" s="121"/>
      <c r="CI233" s="121"/>
      <c r="CJ233" s="121"/>
      <c r="CK233" s="121"/>
      <c r="CL233" s="121"/>
      <c r="CM233" s="121"/>
      <c r="CN233" s="121"/>
      <c r="CO233" s="121"/>
      <c r="CP233" s="121"/>
      <c r="CQ233" s="121"/>
      <c r="CR233" s="121"/>
      <c r="CS233" s="121"/>
      <c r="CT233" s="121"/>
      <c r="CU233" s="121"/>
      <c r="CV233" s="121"/>
      <c r="CW233" s="121"/>
      <c r="CX233" s="121"/>
      <c r="CY233" s="121"/>
      <c r="CZ233" s="121"/>
      <c r="DA233" s="121"/>
      <c r="DB233" s="121"/>
      <c r="DC233" s="121"/>
      <c r="DD233" s="121"/>
      <c r="DE233" s="121"/>
      <c r="DF233" s="121"/>
      <c r="DG233" s="121"/>
      <c r="DH233" s="121"/>
      <c r="DI233" s="121"/>
      <c r="DJ233" s="121"/>
      <c r="DK233" s="121"/>
      <c r="DL233" s="121"/>
      <c r="DM233" s="121"/>
      <c r="DN233" s="121"/>
      <c r="DO233" s="121"/>
      <c r="DP233" s="121"/>
      <c r="DQ233" s="121"/>
      <c r="DR233" s="121"/>
      <c r="DS233" s="121"/>
      <c r="DT233" s="121"/>
      <c r="DU233" s="121"/>
      <c r="DV233" s="121"/>
      <c r="DW233" s="121"/>
      <c r="DX233" s="121"/>
      <c r="DY233" s="121"/>
      <c r="DZ233" s="121"/>
      <c r="EA233" s="121"/>
      <c r="EB233" s="121"/>
      <c r="EC233" s="121"/>
      <c r="ED233" s="121"/>
      <c r="EE233" s="121"/>
      <c r="EF233" s="121"/>
      <c r="EG233" s="121"/>
      <c r="EH233" s="121"/>
      <c r="EI233" s="121"/>
      <c r="EJ233" s="121"/>
      <c r="EK233" s="121"/>
      <c r="EL233" s="121"/>
      <c r="EM233" s="121"/>
      <c r="EN233" s="121"/>
      <c r="EO233" s="121"/>
      <c r="EP233" s="121"/>
      <c r="EQ233" s="121"/>
      <c r="ER233" s="121"/>
      <c r="ES233" s="121"/>
      <c r="ET233" s="121"/>
      <c r="EU233" s="121"/>
      <c r="EV233" s="121"/>
      <c r="EW233" s="121"/>
      <c r="EX233" s="121"/>
      <c r="EY233" s="121"/>
      <c r="EZ233" s="121"/>
      <c r="FA233" s="121"/>
      <c r="FB233" s="121"/>
      <c r="FC233" s="121"/>
      <c r="FD233" s="121"/>
      <c r="FE233" s="121"/>
      <c r="FF233" s="121"/>
      <c r="FG233" s="121"/>
      <c r="FH233" s="121"/>
      <c r="FI233" s="121"/>
      <c r="FJ233" s="121"/>
      <c r="FK233" s="121"/>
      <c r="FL233" s="121"/>
      <c r="FM233" s="121"/>
      <c r="FN233" s="121"/>
      <c r="FO233" s="121"/>
      <c r="FP233" s="121"/>
      <c r="FQ233" s="121"/>
      <c r="FR233" s="121"/>
      <c r="FS233" s="121"/>
      <c r="FT233" s="121"/>
      <c r="FU233" s="121"/>
      <c r="FV233" s="121"/>
      <c r="FW233" s="121"/>
      <c r="FX233" s="121"/>
      <c r="FY233" s="121"/>
      <c r="FZ233" s="121"/>
      <c r="GA233" s="121"/>
      <c r="GB233" s="121"/>
      <c r="GC233" s="121"/>
      <c r="GD233" s="121"/>
      <c r="GE233" s="121"/>
      <c r="GF233" s="121"/>
      <c r="GG233" s="121"/>
      <c r="GH233" s="121"/>
    </row>
    <row r="234" spans="1:190">
      <c r="A234" s="121"/>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c r="AD234" s="121"/>
      <c r="AE234" s="121"/>
      <c r="AF234" s="121"/>
      <c r="AG234" s="121"/>
      <c r="AH234" s="121"/>
      <c r="AI234" s="121"/>
      <c r="AJ234" s="121"/>
      <c r="AK234" s="121"/>
      <c r="AL234" s="121"/>
      <c r="AM234" s="121"/>
      <c r="AN234" s="121"/>
      <c r="AO234" s="121"/>
      <c r="AP234" s="121"/>
      <c r="AQ234" s="121"/>
      <c r="AR234" s="121"/>
      <c r="AS234" s="121"/>
      <c r="AT234" s="121"/>
      <c r="AU234" s="121"/>
      <c r="AV234" s="121"/>
      <c r="AW234" s="121"/>
      <c r="AX234" s="121"/>
      <c r="AY234" s="121"/>
      <c r="AZ234" s="121"/>
      <c r="BA234" s="121"/>
      <c r="BB234" s="121"/>
      <c r="BC234" s="121"/>
      <c r="BD234" s="121"/>
      <c r="BE234" s="121"/>
      <c r="BF234" s="121"/>
      <c r="BG234" s="121"/>
      <c r="BH234" s="121"/>
      <c r="BI234" s="121"/>
      <c r="BJ234" s="121"/>
      <c r="BK234" s="121"/>
      <c r="BL234" s="121"/>
      <c r="BM234" s="121"/>
      <c r="BN234" s="121"/>
      <c r="BO234" s="121"/>
      <c r="BP234" s="121"/>
      <c r="BQ234" s="121"/>
      <c r="BR234" s="121"/>
      <c r="BS234" s="121"/>
      <c r="BT234" s="121"/>
      <c r="BU234" s="121"/>
      <c r="BV234" s="121"/>
      <c r="BW234" s="121"/>
      <c r="BX234" s="121"/>
      <c r="BY234" s="121"/>
      <c r="BZ234" s="121"/>
      <c r="CA234" s="121"/>
      <c r="CB234" s="121"/>
      <c r="CC234" s="121"/>
      <c r="CD234" s="121"/>
      <c r="CE234" s="121"/>
      <c r="CF234" s="121"/>
      <c r="CG234" s="121"/>
      <c r="CH234" s="121"/>
      <c r="CI234" s="121"/>
      <c r="CJ234" s="121"/>
      <c r="CK234" s="121"/>
      <c r="CL234" s="121"/>
      <c r="CM234" s="121"/>
      <c r="CN234" s="121"/>
      <c r="CO234" s="121"/>
      <c r="CP234" s="121"/>
      <c r="CQ234" s="121"/>
      <c r="CR234" s="121"/>
      <c r="CS234" s="121"/>
      <c r="CT234" s="121"/>
      <c r="CU234" s="121"/>
      <c r="CV234" s="121"/>
      <c r="CW234" s="121"/>
      <c r="CX234" s="121"/>
      <c r="CY234" s="121"/>
      <c r="CZ234" s="121"/>
      <c r="DA234" s="121"/>
      <c r="DB234" s="121"/>
      <c r="DC234" s="121"/>
      <c r="DD234" s="121"/>
      <c r="DE234" s="121"/>
      <c r="DF234" s="121"/>
      <c r="DG234" s="121"/>
      <c r="DH234" s="121"/>
      <c r="DI234" s="121"/>
      <c r="DJ234" s="121"/>
      <c r="DK234" s="121"/>
      <c r="DL234" s="121"/>
      <c r="DM234" s="121"/>
      <c r="DN234" s="121"/>
      <c r="DO234" s="121"/>
      <c r="DP234" s="121"/>
      <c r="DQ234" s="121"/>
      <c r="DR234" s="121"/>
      <c r="DS234" s="121"/>
      <c r="DT234" s="121"/>
      <c r="DU234" s="121"/>
      <c r="DV234" s="121"/>
      <c r="DW234" s="121"/>
      <c r="DX234" s="121"/>
      <c r="DY234" s="121"/>
      <c r="DZ234" s="121"/>
      <c r="EA234" s="121"/>
      <c r="EB234" s="121"/>
      <c r="EC234" s="121"/>
      <c r="ED234" s="121"/>
      <c r="EE234" s="121"/>
      <c r="EF234" s="121"/>
      <c r="EG234" s="121"/>
      <c r="EH234" s="121"/>
      <c r="EI234" s="121"/>
      <c r="EJ234" s="121"/>
      <c r="EK234" s="121"/>
      <c r="EL234" s="121"/>
      <c r="EM234" s="121"/>
      <c r="EN234" s="121"/>
      <c r="EO234" s="121"/>
      <c r="EP234" s="121"/>
      <c r="EQ234" s="121"/>
      <c r="ER234" s="121"/>
      <c r="ES234" s="121"/>
      <c r="ET234" s="121"/>
      <c r="EU234" s="121"/>
      <c r="EV234" s="121"/>
      <c r="EW234" s="121"/>
      <c r="EX234" s="121"/>
      <c r="EY234" s="121"/>
      <c r="EZ234" s="121"/>
      <c r="FA234" s="121"/>
      <c r="FB234" s="121"/>
      <c r="FC234" s="121"/>
      <c r="FD234" s="121"/>
      <c r="FE234" s="121"/>
      <c r="FF234" s="121"/>
      <c r="FG234" s="121"/>
      <c r="FH234" s="121"/>
      <c r="FI234" s="121"/>
      <c r="FJ234" s="121"/>
      <c r="FK234" s="121"/>
      <c r="FL234" s="121"/>
      <c r="FM234" s="121"/>
      <c r="FN234" s="121"/>
      <c r="FO234" s="121"/>
      <c r="FP234" s="121"/>
      <c r="FQ234" s="121"/>
      <c r="FR234" s="121"/>
      <c r="FS234" s="121"/>
      <c r="FT234" s="121"/>
      <c r="FU234" s="121"/>
      <c r="FV234" s="121"/>
      <c r="FW234" s="121"/>
      <c r="FX234" s="121"/>
      <c r="FY234" s="121"/>
      <c r="FZ234" s="121"/>
      <c r="GA234" s="121"/>
      <c r="GB234" s="121"/>
      <c r="GC234" s="121"/>
      <c r="GD234" s="121"/>
      <c r="GE234" s="121"/>
      <c r="GF234" s="121"/>
      <c r="GG234" s="121"/>
      <c r="GH234" s="121"/>
    </row>
    <row r="235" spans="1:190">
      <c r="A235" s="121"/>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121"/>
      <c r="AE235" s="121"/>
      <c r="AF235" s="121"/>
      <c r="AG235" s="121"/>
      <c r="AH235" s="121"/>
      <c r="AI235" s="121"/>
      <c r="AJ235" s="121"/>
      <c r="AK235" s="121"/>
      <c r="AL235" s="121"/>
      <c r="AM235" s="121"/>
      <c r="AN235" s="121"/>
      <c r="AO235" s="121"/>
      <c r="AP235" s="121"/>
      <c r="AQ235" s="121"/>
      <c r="AR235" s="121"/>
      <c r="AS235" s="121"/>
      <c r="AT235" s="121"/>
      <c r="AU235" s="121"/>
      <c r="AV235" s="121"/>
      <c r="AW235" s="121"/>
      <c r="AX235" s="121"/>
      <c r="AY235" s="121"/>
      <c r="AZ235" s="121"/>
      <c r="BA235" s="121"/>
      <c r="BB235" s="121"/>
      <c r="BC235" s="121"/>
      <c r="BD235" s="121"/>
      <c r="BE235" s="121"/>
      <c r="BF235" s="121"/>
      <c r="BG235" s="121"/>
      <c r="BH235" s="121"/>
      <c r="BI235" s="121"/>
      <c r="BJ235" s="121"/>
      <c r="BK235" s="121"/>
      <c r="BL235" s="121"/>
      <c r="BM235" s="121"/>
      <c r="BN235" s="121"/>
      <c r="BO235" s="121"/>
      <c r="BP235" s="121"/>
      <c r="BQ235" s="121"/>
      <c r="BR235" s="121"/>
      <c r="BS235" s="121"/>
      <c r="BT235" s="121"/>
      <c r="BU235" s="121"/>
      <c r="BV235" s="121"/>
      <c r="BW235" s="121"/>
      <c r="BX235" s="121"/>
      <c r="BY235" s="121"/>
      <c r="BZ235" s="121"/>
      <c r="CA235" s="121"/>
      <c r="CB235" s="121"/>
      <c r="CC235" s="121"/>
      <c r="CD235" s="121"/>
      <c r="CE235" s="121"/>
      <c r="CF235" s="121"/>
      <c r="CG235" s="121"/>
      <c r="CH235" s="121"/>
      <c r="CI235" s="121"/>
      <c r="CJ235" s="121"/>
      <c r="CK235" s="121"/>
      <c r="CL235" s="121"/>
      <c r="CM235" s="121"/>
      <c r="CN235" s="121"/>
      <c r="CO235" s="121"/>
      <c r="CP235" s="121"/>
      <c r="CQ235" s="121"/>
      <c r="CR235" s="121"/>
      <c r="CS235" s="121"/>
      <c r="CT235" s="121"/>
      <c r="CU235" s="121"/>
      <c r="CV235" s="121"/>
      <c r="CW235" s="121"/>
      <c r="CX235" s="121"/>
      <c r="CY235" s="121"/>
      <c r="CZ235" s="121"/>
      <c r="DA235" s="121"/>
      <c r="DB235" s="121"/>
      <c r="DC235" s="121"/>
      <c r="DD235" s="121"/>
      <c r="DE235" s="121"/>
      <c r="DF235" s="121"/>
      <c r="DG235" s="121"/>
      <c r="DH235" s="121"/>
      <c r="DI235" s="121"/>
      <c r="DJ235" s="121"/>
      <c r="DK235" s="121"/>
      <c r="DL235" s="121"/>
      <c r="DM235" s="121"/>
      <c r="DN235" s="121"/>
      <c r="DO235" s="121"/>
      <c r="DP235" s="121"/>
      <c r="DQ235" s="121"/>
      <c r="DR235" s="121"/>
      <c r="DS235" s="121"/>
      <c r="DT235" s="121"/>
      <c r="DU235" s="121"/>
      <c r="DV235" s="121"/>
      <c r="DW235" s="121"/>
      <c r="DX235" s="121"/>
      <c r="DY235" s="121"/>
      <c r="DZ235" s="121"/>
      <c r="EA235" s="121"/>
      <c r="EB235" s="121"/>
      <c r="EC235" s="121"/>
      <c r="ED235" s="121"/>
      <c r="EE235" s="121"/>
      <c r="EF235" s="121"/>
      <c r="EG235" s="121"/>
      <c r="EH235" s="121"/>
      <c r="EI235" s="121"/>
      <c r="EJ235" s="121"/>
      <c r="EK235" s="121"/>
      <c r="EL235" s="121"/>
      <c r="EM235" s="121"/>
      <c r="EN235" s="121"/>
      <c r="EO235" s="121"/>
      <c r="EP235" s="121"/>
      <c r="EQ235" s="121"/>
      <c r="ER235" s="121"/>
      <c r="ES235" s="121"/>
      <c r="ET235" s="121"/>
      <c r="EU235" s="121"/>
      <c r="EV235" s="121"/>
      <c r="EW235" s="121"/>
      <c r="EX235" s="121"/>
      <c r="EY235" s="121"/>
      <c r="EZ235" s="121"/>
      <c r="FA235" s="121"/>
      <c r="FB235" s="121"/>
      <c r="FC235" s="121"/>
      <c r="FD235" s="121"/>
      <c r="FE235" s="121"/>
      <c r="FF235" s="121"/>
      <c r="FG235" s="121"/>
      <c r="FH235" s="121"/>
      <c r="FI235" s="121"/>
      <c r="FJ235" s="121"/>
      <c r="FK235" s="121"/>
      <c r="FL235" s="121"/>
      <c r="FM235" s="121"/>
      <c r="FN235" s="121"/>
      <c r="FO235" s="121"/>
      <c r="FP235" s="121"/>
      <c r="FQ235" s="121"/>
      <c r="FR235" s="121"/>
      <c r="FS235" s="121"/>
      <c r="FT235" s="121"/>
      <c r="FU235" s="121"/>
      <c r="FV235" s="121"/>
      <c r="FW235" s="121"/>
      <c r="FX235" s="121"/>
      <c r="FY235" s="121"/>
      <c r="FZ235" s="121"/>
      <c r="GA235" s="121"/>
      <c r="GB235" s="121"/>
      <c r="GC235" s="121"/>
      <c r="GD235" s="121"/>
      <c r="GE235" s="121"/>
      <c r="GF235" s="121"/>
      <c r="GG235" s="121"/>
      <c r="GH235" s="121"/>
    </row>
    <row r="236" spans="1:190">
      <c r="A236" s="121"/>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c r="AD236" s="121"/>
      <c r="AE236" s="121"/>
      <c r="AF236" s="121"/>
      <c r="AG236" s="121"/>
      <c r="AH236" s="121"/>
      <c r="AI236" s="121"/>
      <c r="AJ236" s="121"/>
      <c r="AK236" s="121"/>
      <c r="AL236" s="121"/>
      <c r="AM236" s="121"/>
      <c r="AN236" s="121"/>
      <c r="AO236" s="121"/>
      <c r="AP236" s="121"/>
      <c r="AQ236" s="121"/>
      <c r="AR236" s="121"/>
      <c r="AS236" s="121"/>
      <c r="AT236" s="121"/>
      <c r="AU236" s="121"/>
      <c r="AV236" s="121"/>
      <c r="AW236" s="121"/>
      <c r="AX236" s="121"/>
      <c r="AY236" s="121"/>
      <c r="AZ236" s="121"/>
      <c r="BA236" s="121"/>
      <c r="BB236" s="121"/>
      <c r="BC236" s="121"/>
      <c r="BD236" s="121"/>
      <c r="BE236" s="121"/>
      <c r="BF236" s="121"/>
      <c r="BG236" s="121"/>
      <c r="BH236" s="121"/>
      <c r="BI236" s="121"/>
      <c r="BJ236" s="121"/>
      <c r="BK236" s="121"/>
      <c r="BL236" s="121"/>
      <c r="BM236" s="121"/>
      <c r="BN236" s="121"/>
      <c r="BO236" s="121"/>
      <c r="BP236" s="121"/>
      <c r="BQ236" s="121"/>
      <c r="BR236" s="121"/>
      <c r="BS236" s="121"/>
      <c r="BT236" s="121"/>
      <c r="BU236" s="121"/>
      <c r="BV236" s="121"/>
      <c r="BW236" s="121"/>
      <c r="BX236" s="121"/>
      <c r="BY236" s="121"/>
      <c r="BZ236" s="121"/>
      <c r="CA236" s="121"/>
      <c r="CB236" s="121"/>
      <c r="CC236" s="121"/>
      <c r="CD236" s="121"/>
      <c r="CE236" s="121"/>
      <c r="CF236" s="121"/>
      <c r="CG236" s="121"/>
      <c r="CH236" s="121"/>
      <c r="CI236" s="121"/>
      <c r="CJ236" s="121"/>
      <c r="CK236" s="121"/>
      <c r="CL236" s="121"/>
      <c r="CM236" s="121"/>
      <c r="CN236" s="121"/>
      <c r="CO236" s="121"/>
      <c r="CP236" s="121"/>
      <c r="CQ236" s="121"/>
      <c r="CR236" s="121"/>
      <c r="CS236" s="121"/>
      <c r="CT236" s="121"/>
      <c r="CU236" s="121"/>
      <c r="CV236" s="121"/>
      <c r="CW236" s="121"/>
      <c r="CX236" s="121"/>
      <c r="CY236" s="121"/>
      <c r="CZ236" s="121"/>
      <c r="DA236" s="121"/>
      <c r="DB236" s="121"/>
      <c r="DC236" s="121"/>
      <c r="DD236" s="121"/>
      <c r="DE236" s="121"/>
      <c r="DF236" s="121"/>
      <c r="DG236" s="121"/>
      <c r="DH236" s="121"/>
      <c r="DI236" s="121"/>
      <c r="DJ236" s="121"/>
      <c r="DK236" s="121"/>
      <c r="DL236" s="121"/>
      <c r="DM236" s="121"/>
      <c r="DN236" s="121"/>
      <c r="DO236" s="121"/>
      <c r="DP236" s="121"/>
      <c r="DQ236" s="121"/>
      <c r="DR236" s="121"/>
      <c r="DS236" s="121"/>
      <c r="DT236" s="121"/>
      <c r="DU236" s="121"/>
      <c r="DV236" s="121"/>
      <c r="DW236" s="121"/>
      <c r="DX236" s="121"/>
      <c r="DY236" s="121"/>
      <c r="DZ236" s="121"/>
      <c r="EA236" s="121"/>
      <c r="EB236" s="121"/>
      <c r="EC236" s="121"/>
      <c r="ED236" s="121"/>
      <c r="EE236" s="121"/>
      <c r="EF236" s="121"/>
      <c r="EG236" s="121"/>
      <c r="EH236" s="121"/>
      <c r="EI236" s="121"/>
      <c r="EJ236" s="121"/>
      <c r="EK236" s="121"/>
      <c r="EL236" s="121"/>
      <c r="EM236" s="121"/>
      <c r="EN236" s="121"/>
      <c r="EO236" s="121"/>
      <c r="EP236" s="121"/>
      <c r="EQ236" s="121"/>
      <c r="ER236" s="121"/>
      <c r="ES236" s="121"/>
      <c r="ET236" s="121"/>
      <c r="EU236" s="121"/>
      <c r="EV236" s="121"/>
      <c r="EW236" s="121"/>
      <c r="EX236" s="121"/>
      <c r="EY236" s="121"/>
      <c r="EZ236" s="121"/>
      <c r="FA236" s="121"/>
      <c r="FB236" s="121"/>
      <c r="FC236" s="121"/>
      <c r="FD236" s="121"/>
      <c r="FE236" s="121"/>
      <c r="FF236" s="121"/>
      <c r="FG236" s="121"/>
      <c r="FH236" s="121"/>
      <c r="FI236" s="121"/>
      <c r="FJ236" s="121"/>
      <c r="FK236" s="121"/>
      <c r="FL236" s="121"/>
      <c r="FM236" s="121"/>
      <c r="FN236" s="121"/>
      <c r="FO236" s="121"/>
      <c r="FP236" s="121"/>
      <c r="FQ236" s="121"/>
      <c r="FR236" s="121"/>
      <c r="FS236" s="121"/>
      <c r="FT236" s="121"/>
      <c r="FU236" s="121"/>
      <c r="FV236" s="121"/>
      <c r="FW236" s="121"/>
      <c r="FX236" s="121"/>
      <c r="FY236" s="121"/>
      <c r="FZ236" s="121"/>
      <c r="GA236" s="121"/>
      <c r="GB236" s="121"/>
      <c r="GC236" s="121"/>
      <c r="GD236" s="121"/>
      <c r="GE236" s="121"/>
      <c r="GF236" s="121"/>
      <c r="GG236" s="121"/>
      <c r="GH236" s="121"/>
    </row>
    <row r="237" spans="1:190">
      <c r="A237" s="121"/>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c r="AD237" s="121"/>
      <c r="AE237" s="121"/>
      <c r="AF237" s="121"/>
      <c r="AG237" s="121"/>
      <c r="AH237" s="121"/>
      <c r="AI237" s="121"/>
      <c r="AJ237" s="121"/>
      <c r="AK237" s="121"/>
      <c r="AL237" s="121"/>
      <c r="AM237" s="121"/>
      <c r="AN237" s="121"/>
      <c r="AO237" s="121"/>
      <c r="AP237" s="121"/>
      <c r="AQ237" s="121"/>
      <c r="AR237" s="121"/>
      <c r="AS237" s="121"/>
      <c r="AT237" s="121"/>
      <c r="AU237" s="121"/>
      <c r="AV237" s="121"/>
      <c r="AW237" s="121"/>
      <c r="AX237" s="121"/>
      <c r="AY237" s="121"/>
      <c r="AZ237" s="121"/>
      <c r="BA237" s="121"/>
      <c r="BB237" s="121"/>
      <c r="BC237" s="121"/>
      <c r="BD237" s="121"/>
      <c r="BE237" s="121"/>
      <c r="BF237" s="121"/>
      <c r="BG237" s="121"/>
      <c r="BH237" s="121"/>
      <c r="BI237" s="121"/>
      <c r="BJ237" s="121"/>
      <c r="BK237" s="121"/>
      <c r="BL237" s="121"/>
      <c r="BM237" s="121"/>
      <c r="BN237" s="121"/>
      <c r="BO237" s="121"/>
      <c r="BP237" s="121"/>
      <c r="BQ237" s="121"/>
      <c r="BR237" s="121"/>
      <c r="BS237" s="121"/>
      <c r="BT237" s="121"/>
      <c r="BU237" s="121"/>
      <c r="BV237" s="121"/>
      <c r="BW237" s="121"/>
      <c r="BX237" s="121"/>
      <c r="BY237" s="121"/>
      <c r="BZ237" s="121"/>
      <c r="CA237" s="121"/>
      <c r="CB237" s="121"/>
      <c r="CC237" s="121"/>
      <c r="CD237" s="121"/>
      <c r="CE237" s="121"/>
      <c r="CF237" s="121"/>
      <c r="CG237" s="121"/>
      <c r="CH237" s="121"/>
      <c r="CI237" s="121"/>
      <c r="CJ237" s="121"/>
      <c r="CK237" s="121"/>
      <c r="CL237" s="121"/>
      <c r="CM237" s="121"/>
      <c r="CN237" s="121"/>
      <c r="CO237" s="121"/>
      <c r="CP237" s="121"/>
      <c r="CQ237" s="121"/>
      <c r="CR237" s="121"/>
      <c r="CS237" s="121"/>
      <c r="CT237" s="121"/>
      <c r="CU237" s="121"/>
      <c r="CV237" s="121"/>
      <c r="CW237" s="121"/>
      <c r="CX237" s="121"/>
      <c r="CY237" s="121"/>
      <c r="CZ237" s="121"/>
      <c r="DA237" s="121"/>
      <c r="DB237" s="121"/>
      <c r="DC237" s="121"/>
      <c r="DD237" s="121"/>
      <c r="DE237" s="121"/>
      <c r="DF237" s="121"/>
      <c r="DG237" s="121"/>
      <c r="DH237" s="121"/>
      <c r="DI237" s="121"/>
      <c r="DJ237" s="121"/>
      <c r="DK237" s="121"/>
      <c r="DL237" s="121"/>
      <c r="DM237" s="121"/>
      <c r="DN237" s="121"/>
      <c r="DO237" s="121"/>
      <c r="DP237" s="121"/>
      <c r="DQ237" s="121"/>
      <c r="DR237" s="121"/>
      <c r="DS237" s="121"/>
      <c r="DT237" s="121"/>
      <c r="DU237" s="121"/>
      <c r="DV237" s="121"/>
      <c r="DW237" s="121"/>
      <c r="DX237" s="121"/>
      <c r="DY237" s="121"/>
      <c r="DZ237" s="121"/>
      <c r="EA237" s="121"/>
      <c r="EB237" s="121"/>
      <c r="EC237" s="121"/>
      <c r="ED237" s="121"/>
      <c r="EE237" s="121"/>
      <c r="EF237" s="121"/>
      <c r="EG237" s="121"/>
      <c r="EH237" s="121"/>
      <c r="EI237" s="121"/>
      <c r="EJ237" s="121"/>
      <c r="EK237" s="121"/>
      <c r="EL237" s="121"/>
      <c r="EM237" s="121"/>
      <c r="EN237" s="121"/>
      <c r="EO237" s="121"/>
      <c r="EP237" s="121"/>
      <c r="EQ237" s="121"/>
      <c r="ER237" s="121"/>
      <c r="ES237" s="121"/>
      <c r="ET237" s="121"/>
      <c r="EU237" s="121"/>
      <c r="EV237" s="121"/>
      <c r="EW237" s="121"/>
      <c r="EX237" s="121"/>
      <c r="EY237" s="121"/>
      <c r="EZ237" s="121"/>
      <c r="FA237" s="121"/>
      <c r="FB237" s="121"/>
      <c r="FC237" s="121"/>
      <c r="FD237" s="121"/>
      <c r="FE237" s="121"/>
      <c r="FF237" s="121"/>
      <c r="FG237" s="121"/>
      <c r="FH237" s="121"/>
      <c r="FI237" s="121"/>
      <c r="FJ237" s="121"/>
      <c r="FK237" s="121"/>
      <c r="FL237" s="121"/>
      <c r="FM237" s="121"/>
      <c r="FN237" s="121"/>
      <c r="FO237" s="121"/>
      <c r="FP237" s="121"/>
      <c r="FQ237" s="121"/>
      <c r="FR237" s="121"/>
      <c r="FS237" s="121"/>
      <c r="FT237" s="121"/>
      <c r="FU237" s="121"/>
      <c r="FV237" s="121"/>
      <c r="FW237" s="121"/>
      <c r="FX237" s="121"/>
      <c r="FY237" s="121"/>
      <c r="FZ237" s="121"/>
      <c r="GA237" s="121"/>
      <c r="GB237" s="121"/>
      <c r="GC237" s="121"/>
      <c r="GD237" s="121"/>
      <c r="GE237" s="121"/>
      <c r="GF237" s="121"/>
      <c r="GG237" s="121"/>
      <c r="GH237" s="121"/>
    </row>
    <row r="238" spans="1:190">
      <c r="A238" s="121"/>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c r="AE238" s="121"/>
      <c r="AF238" s="121"/>
      <c r="AG238" s="121"/>
      <c r="AH238" s="121"/>
      <c r="AI238" s="121"/>
      <c r="AJ238" s="121"/>
      <c r="AK238" s="121"/>
      <c r="AL238" s="121"/>
      <c r="AM238" s="121"/>
      <c r="AN238" s="121"/>
      <c r="AO238" s="121"/>
      <c r="AP238" s="121"/>
      <c r="AQ238" s="121"/>
      <c r="AR238" s="121"/>
      <c r="AS238" s="121"/>
      <c r="AT238" s="121"/>
      <c r="AU238" s="121"/>
      <c r="AV238" s="121"/>
      <c r="AW238" s="121"/>
      <c r="AX238" s="121"/>
      <c r="AY238" s="121"/>
      <c r="AZ238" s="121"/>
      <c r="BA238" s="121"/>
      <c r="BB238" s="121"/>
      <c r="BC238" s="121"/>
      <c r="BD238" s="121"/>
      <c r="BE238" s="121"/>
      <c r="BF238" s="121"/>
      <c r="BG238" s="121"/>
      <c r="BH238" s="121"/>
      <c r="BI238" s="121"/>
      <c r="BJ238" s="121"/>
      <c r="BK238" s="121"/>
      <c r="BL238" s="121"/>
      <c r="BM238" s="121"/>
      <c r="BN238" s="121"/>
      <c r="BO238" s="121"/>
      <c r="BP238" s="121"/>
      <c r="BQ238" s="121"/>
      <c r="BR238" s="121"/>
      <c r="BS238" s="121"/>
      <c r="BT238" s="121"/>
      <c r="BU238" s="121"/>
      <c r="BV238" s="121"/>
      <c r="BW238" s="121"/>
      <c r="BX238" s="121"/>
      <c r="BY238" s="121"/>
      <c r="BZ238" s="121"/>
      <c r="CA238" s="121"/>
      <c r="CB238" s="121"/>
      <c r="CC238" s="121"/>
      <c r="CD238" s="121"/>
      <c r="CE238" s="121"/>
      <c r="CF238" s="121"/>
      <c r="CG238" s="121"/>
      <c r="CH238" s="121"/>
      <c r="CI238" s="121"/>
      <c r="CJ238" s="121"/>
      <c r="CK238" s="121"/>
      <c r="CL238" s="121"/>
      <c r="CM238" s="121"/>
      <c r="CN238" s="121"/>
      <c r="CO238" s="121"/>
      <c r="CP238" s="121"/>
      <c r="CQ238" s="121"/>
      <c r="CR238" s="121"/>
      <c r="CS238" s="121"/>
      <c r="CT238" s="121"/>
      <c r="CU238" s="121"/>
      <c r="CV238" s="121"/>
      <c r="CW238" s="121"/>
      <c r="CX238" s="121"/>
      <c r="CY238" s="121"/>
      <c r="CZ238" s="121"/>
      <c r="DA238" s="121"/>
      <c r="DB238" s="121"/>
      <c r="DC238" s="121"/>
      <c r="DD238" s="121"/>
      <c r="DE238" s="121"/>
      <c r="DF238" s="121"/>
      <c r="DG238" s="121"/>
      <c r="DH238" s="121"/>
      <c r="DI238" s="121"/>
      <c r="DJ238" s="121"/>
      <c r="DK238" s="121"/>
      <c r="DL238" s="121"/>
      <c r="DM238" s="121"/>
      <c r="DN238" s="121"/>
      <c r="DO238" s="121"/>
      <c r="DP238" s="121"/>
      <c r="DQ238" s="121"/>
      <c r="DR238" s="121"/>
      <c r="DS238" s="121"/>
      <c r="DT238" s="121"/>
      <c r="DU238" s="121"/>
      <c r="DV238" s="121"/>
      <c r="DW238" s="121"/>
      <c r="DX238" s="121"/>
      <c r="DY238" s="121"/>
      <c r="DZ238" s="121"/>
      <c r="EA238" s="121"/>
      <c r="EB238" s="121"/>
      <c r="EC238" s="121"/>
      <c r="ED238" s="121"/>
      <c r="EE238" s="121"/>
      <c r="EF238" s="121"/>
      <c r="EG238" s="121"/>
      <c r="EH238" s="121"/>
      <c r="EI238" s="121"/>
      <c r="EJ238" s="121"/>
      <c r="EK238" s="121"/>
      <c r="EL238" s="121"/>
      <c r="EM238" s="121"/>
      <c r="EN238" s="121"/>
      <c r="EO238" s="121"/>
      <c r="EP238" s="121"/>
      <c r="EQ238" s="121"/>
      <c r="ER238" s="121"/>
      <c r="ES238" s="121"/>
      <c r="ET238" s="121"/>
      <c r="EU238" s="121"/>
      <c r="EV238" s="121"/>
      <c r="EW238" s="121"/>
      <c r="EX238" s="121"/>
      <c r="EY238" s="121"/>
      <c r="EZ238" s="121"/>
      <c r="FA238" s="121"/>
      <c r="FB238" s="121"/>
      <c r="FC238" s="121"/>
      <c r="FD238" s="121"/>
      <c r="FE238" s="121"/>
      <c r="FF238" s="121"/>
      <c r="FG238" s="121"/>
      <c r="FH238" s="121"/>
      <c r="FI238" s="121"/>
      <c r="FJ238" s="121"/>
      <c r="FK238" s="121"/>
      <c r="FL238" s="121"/>
      <c r="FM238" s="121"/>
      <c r="FN238" s="121"/>
      <c r="FO238" s="121"/>
      <c r="FP238" s="121"/>
      <c r="FQ238" s="121"/>
      <c r="FR238" s="121"/>
      <c r="FS238" s="121"/>
      <c r="FT238" s="121"/>
      <c r="FU238" s="121"/>
      <c r="FV238" s="121"/>
      <c r="FW238" s="121"/>
      <c r="FX238" s="121"/>
      <c r="FY238" s="121"/>
      <c r="FZ238" s="121"/>
      <c r="GA238" s="121"/>
      <c r="GB238" s="121"/>
      <c r="GC238" s="121"/>
      <c r="GD238" s="121"/>
      <c r="GE238" s="121"/>
      <c r="GF238" s="121"/>
      <c r="GG238" s="121"/>
      <c r="GH238" s="121"/>
    </row>
    <row r="239" spans="1:190">
      <c r="A239" s="121"/>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c r="AD239" s="121"/>
      <c r="AE239" s="121"/>
      <c r="AF239" s="121"/>
      <c r="AG239" s="121"/>
      <c r="AH239" s="121"/>
      <c r="AI239" s="121"/>
      <c r="AJ239" s="121"/>
      <c r="AK239" s="121"/>
      <c r="AL239" s="121"/>
      <c r="AM239" s="121"/>
      <c r="AN239" s="121"/>
      <c r="AO239" s="121"/>
      <c r="AP239" s="121"/>
      <c r="AQ239" s="121"/>
      <c r="AR239" s="121"/>
      <c r="AS239" s="121"/>
      <c r="AT239" s="121"/>
      <c r="AU239" s="121"/>
      <c r="AV239" s="121"/>
      <c r="AW239" s="121"/>
      <c r="AX239" s="121"/>
      <c r="AY239" s="121"/>
      <c r="AZ239" s="121"/>
      <c r="BA239" s="121"/>
      <c r="BB239" s="121"/>
      <c r="BC239" s="121"/>
      <c r="BD239" s="121"/>
      <c r="BE239" s="121"/>
      <c r="BF239" s="121"/>
      <c r="BG239" s="121"/>
      <c r="BH239" s="121"/>
      <c r="BI239" s="121"/>
      <c r="BJ239" s="121"/>
      <c r="BK239" s="121"/>
      <c r="BL239" s="121"/>
      <c r="BM239" s="121"/>
      <c r="BN239" s="121"/>
      <c r="BO239" s="121"/>
      <c r="BP239" s="121"/>
      <c r="BQ239" s="121"/>
      <c r="BR239" s="121"/>
      <c r="BS239" s="121"/>
      <c r="BT239" s="121"/>
      <c r="BU239" s="121"/>
      <c r="BV239" s="121"/>
      <c r="BW239" s="121"/>
      <c r="BX239" s="121"/>
      <c r="BY239" s="121"/>
      <c r="BZ239" s="121"/>
      <c r="CA239" s="121"/>
      <c r="CB239" s="121"/>
      <c r="CC239" s="121"/>
      <c r="CD239" s="121"/>
      <c r="CE239" s="121"/>
      <c r="CF239" s="121"/>
      <c r="CG239" s="121"/>
      <c r="CH239" s="121"/>
      <c r="CI239" s="121"/>
      <c r="CJ239" s="121"/>
      <c r="CK239" s="121"/>
      <c r="CL239" s="121"/>
      <c r="CM239" s="121"/>
      <c r="CN239" s="121"/>
      <c r="CO239" s="121"/>
      <c r="CP239" s="121"/>
      <c r="CQ239" s="121"/>
      <c r="CR239" s="121"/>
      <c r="CS239" s="121"/>
      <c r="CT239" s="121"/>
      <c r="CU239" s="121"/>
      <c r="CV239" s="121"/>
      <c r="CW239" s="121"/>
      <c r="CX239" s="121"/>
      <c r="CY239" s="121"/>
      <c r="CZ239" s="121"/>
      <c r="DA239" s="121"/>
      <c r="DB239" s="121"/>
      <c r="DC239" s="121"/>
      <c r="DD239" s="121"/>
      <c r="DE239" s="121"/>
      <c r="DF239" s="121"/>
      <c r="DG239" s="121"/>
      <c r="DH239" s="121"/>
      <c r="DI239" s="121"/>
      <c r="DJ239" s="121"/>
      <c r="DK239" s="121"/>
      <c r="DL239" s="121"/>
      <c r="DM239" s="121"/>
      <c r="DN239" s="121"/>
      <c r="DO239" s="121"/>
      <c r="DP239" s="121"/>
      <c r="DQ239" s="121"/>
      <c r="DR239" s="121"/>
      <c r="DS239" s="121"/>
      <c r="DT239" s="121"/>
      <c r="DU239" s="121"/>
      <c r="DV239" s="121"/>
      <c r="DW239" s="121"/>
      <c r="DX239" s="121"/>
      <c r="DY239" s="121"/>
      <c r="DZ239" s="121"/>
      <c r="EA239" s="121"/>
      <c r="EB239" s="121"/>
      <c r="EC239" s="121"/>
      <c r="ED239" s="121"/>
      <c r="EE239" s="121"/>
      <c r="EF239" s="121"/>
      <c r="EG239" s="121"/>
      <c r="EH239" s="121"/>
      <c r="EI239" s="121"/>
      <c r="EJ239" s="121"/>
      <c r="EK239" s="121"/>
      <c r="EL239" s="121"/>
      <c r="EM239" s="121"/>
      <c r="EN239" s="121"/>
      <c r="EO239" s="121"/>
      <c r="EP239" s="121"/>
      <c r="EQ239" s="121"/>
      <c r="ER239" s="121"/>
      <c r="ES239" s="121"/>
      <c r="ET239" s="121"/>
      <c r="EU239" s="121"/>
      <c r="EV239" s="121"/>
      <c r="EW239" s="121"/>
      <c r="EX239" s="121"/>
      <c r="EY239" s="121"/>
      <c r="EZ239" s="121"/>
      <c r="FA239" s="121"/>
      <c r="FB239" s="121"/>
      <c r="FC239" s="121"/>
      <c r="FD239" s="121"/>
      <c r="FE239" s="121"/>
      <c r="FF239" s="121"/>
      <c r="FG239" s="121"/>
      <c r="FH239" s="121"/>
      <c r="FI239" s="121"/>
      <c r="FJ239" s="121"/>
      <c r="FK239" s="121"/>
      <c r="FL239" s="121"/>
      <c r="FM239" s="121"/>
      <c r="FN239" s="121"/>
      <c r="FO239" s="121"/>
      <c r="FP239" s="121"/>
      <c r="FQ239" s="121"/>
      <c r="FR239" s="121"/>
      <c r="FS239" s="121"/>
      <c r="FT239" s="121"/>
      <c r="FU239" s="121"/>
      <c r="FV239" s="121"/>
      <c r="FW239" s="121"/>
      <c r="FX239" s="121"/>
      <c r="FY239" s="121"/>
      <c r="FZ239" s="121"/>
      <c r="GA239" s="121"/>
      <c r="GB239" s="121"/>
      <c r="GC239" s="121"/>
      <c r="GD239" s="121"/>
      <c r="GE239" s="121"/>
      <c r="GF239" s="121"/>
      <c r="GG239" s="121"/>
      <c r="GH239" s="121"/>
    </row>
    <row r="240" spans="1:190">
      <c r="A240" s="121"/>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c r="AD240" s="121"/>
      <c r="AE240" s="121"/>
      <c r="AF240" s="121"/>
      <c r="AG240" s="121"/>
      <c r="AH240" s="121"/>
      <c r="AI240" s="121"/>
      <c r="AJ240" s="121"/>
      <c r="AK240" s="121"/>
      <c r="AL240" s="121"/>
      <c r="AM240" s="121"/>
      <c r="AN240" s="121"/>
      <c r="AO240" s="121"/>
      <c r="AP240" s="121"/>
      <c r="AQ240" s="121"/>
      <c r="AR240" s="121"/>
      <c r="AS240" s="121"/>
      <c r="AT240" s="121"/>
      <c r="AU240" s="121"/>
      <c r="AV240" s="121"/>
      <c r="AW240" s="121"/>
      <c r="AX240" s="121"/>
      <c r="AY240" s="121"/>
      <c r="AZ240" s="121"/>
      <c r="BA240" s="121"/>
      <c r="BB240" s="121"/>
      <c r="BC240" s="121"/>
      <c r="BD240" s="121"/>
      <c r="BE240" s="121"/>
      <c r="BF240" s="121"/>
      <c r="BG240" s="121"/>
      <c r="BH240" s="121"/>
      <c r="BI240" s="121"/>
      <c r="BJ240" s="121"/>
      <c r="BK240" s="121"/>
      <c r="BL240" s="121"/>
      <c r="BM240" s="121"/>
      <c r="BN240" s="121"/>
      <c r="BO240" s="121"/>
      <c r="BP240" s="121"/>
      <c r="BQ240" s="121"/>
      <c r="BR240" s="121"/>
      <c r="BS240" s="121"/>
      <c r="BT240" s="121"/>
      <c r="BU240" s="121"/>
      <c r="BV240" s="121"/>
      <c r="BW240" s="121"/>
      <c r="BX240" s="121"/>
      <c r="BY240" s="121"/>
      <c r="BZ240" s="121"/>
      <c r="CA240" s="121"/>
      <c r="CB240" s="121"/>
      <c r="CC240" s="121"/>
      <c r="CD240" s="121"/>
      <c r="CE240" s="121"/>
      <c r="CF240" s="121"/>
      <c r="CG240" s="121"/>
      <c r="CH240" s="121"/>
      <c r="CI240" s="121"/>
      <c r="CJ240" s="121"/>
      <c r="CK240" s="121"/>
      <c r="CL240" s="121"/>
      <c r="CM240" s="121"/>
      <c r="CN240" s="121"/>
      <c r="CO240" s="121"/>
      <c r="CP240" s="121"/>
      <c r="CQ240" s="121"/>
      <c r="CR240" s="121"/>
      <c r="CS240" s="121"/>
      <c r="CT240" s="121"/>
      <c r="CU240" s="121"/>
      <c r="CV240" s="121"/>
      <c r="CW240" s="121"/>
      <c r="CX240" s="121"/>
      <c r="CY240" s="121"/>
      <c r="CZ240" s="121"/>
      <c r="DA240" s="121"/>
      <c r="DB240" s="121"/>
      <c r="DC240" s="121"/>
      <c r="DD240" s="121"/>
      <c r="DE240" s="121"/>
      <c r="DF240" s="121"/>
      <c r="DG240" s="121"/>
      <c r="DH240" s="121"/>
      <c r="DI240" s="121"/>
      <c r="DJ240" s="121"/>
      <c r="DK240" s="121"/>
      <c r="DL240" s="121"/>
      <c r="DM240" s="121"/>
      <c r="DN240" s="121"/>
      <c r="DO240" s="121"/>
      <c r="DP240" s="121"/>
      <c r="DQ240" s="121"/>
      <c r="DR240" s="121"/>
      <c r="DS240" s="121"/>
      <c r="DT240" s="121"/>
      <c r="DU240" s="121"/>
      <c r="DV240" s="121"/>
      <c r="DW240" s="121"/>
      <c r="DX240" s="121"/>
      <c r="DY240" s="121"/>
      <c r="DZ240" s="121"/>
      <c r="EA240" s="121"/>
      <c r="EB240" s="121"/>
      <c r="EC240" s="121"/>
      <c r="ED240" s="121"/>
      <c r="EE240" s="121"/>
      <c r="EF240" s="121"/>
      <c r="EG240" s="121"/>
      <c r="EH240" s="121"/>
      <c r="EI240" s="121"/>
      <c r="EJ240" s="121"/>
      <c r="EK240" s="121"/>
      <c r="EL240" s="121"/>
      <c r="EM240" s="121"/>
      <c r="EN240" s="121"/>
      <c r="EO240" s="121"/>
      <c r="EP240" s="121"/>
      <c r="EQ240" s="121"/>
      <c r="ER240" s="121"/>
      <c r="ES240" s="121"/>
      <c r="ET240" s="121"/>
      <c r="EU240" s="121"/>
      <c r="EV240" s="121"/>
      <c r="EW240" s="121"/>
      <c r="EX240" s="121"/>
      <c r="EY240" s="121"/>
      <c r="EZ240" s="121"/>
      <c r="FA240" s="121"/>
      <c r="FB240" s="121"/>
      <c r="FC240" s="121"/>
      <c r="FD240" s="121"/>
      <c r="FE240" s="121"/>
      <c r="FF240" s="121"/>
      <c r="FG240" s="121"/>
      <c r="FH240" s="121"/>
      <c r="FI240" s="121"/>
      <c r="FJ240" s="121"/>
      <c r="FK240" s="121"/>
      <c r="FL240" s="121"/>
      <c r="FM240" s="121"/>
      <c r="FN240" s="121"/>
      <c r="FO240" s="121"/>
      <c r="FP240" s="121"/>
      <c r="FQ240" s="121"/>
      <c r="FR240" s="121"/>
      <c r="FS240" s="121"/>
      <c r="FT240" s="121"/>
      <c r="FU240" s="121"/>
      <c r="FV240" s="121"/>
      <c r="FW240" s="121"/>
      <c r="FX240" s="121"/>
      <c r="FY240" s="121"/>
      <c r="FZ240" s="121"/>
      <c r="GA240" s="121"/>
      <c r="GB240" s="121"/>
      <c r="GC240" s="121"/>
      <c r="GD240" s="121"/>
      <c r="GE240" s="121"/>
      <c r="GF240" s="121"/>
      <c r="GG240" s="121"/>
      <c r="GH240" s="121"/>
    </row>
    <row r="241" spans="1:190">
      <c r="A241" s="121"/>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c r="AD241" s="121"/>
      <c r="AE241" s="121"/>
      <c r="AF241" s="121"/>
      <c r="AG241" s="121"/>
      <c r="AH241" s="121"/>
      <c r="AI241" s="121"/>
      <c r="AJ241" s="121"/>
      <c r="AK241" s="121"/>
      <c r="AL241" s="121"/>
      <c r="AM241" s="121"/>
      <c r="AN241" s="121"/>
      <c r="AO241" s="121"/>
      <c r="AP241" s="121"/>
      <c r="AQ241" s="121"/>
      <c r="AR241" s="121"/>
      <c r="AS241" s="121"/>
      <c r="AT241" s="121"/>
      <c r="AU241" s="121"/>
      <c r="AV241" s="121"/>
      <c r="AW241" s="121"/>
      <c r="AX241" s="121"/>
      <c r="AY241" s="121"/>
      <c r="AZ241" s="121"/>
      <c r="BA241" s="121"/>
      <c r="BB241" s="121"/>
      <c r="BC241" s="121"/>
      <c r="BD241" s="121"/>
      <c r="BE241" s="121"/>
      <c r="BF241" s="121"/>
      <c r="BG241" s="121"/>
      <c r="BH241" s="121"/>
      <c r="BI241" s="121"/>
      <c r="BJ241" s="121"/>
      <c r="BK241" s="121"/>
      <c r="BL241" s="121"/>
      <c r="BM241" s="121"/>
      <c r="BN241" s="121"/>
      <c r="BO241" s="121"/>
      <c r="BP241" s="121"/>
      <c r="BQ241" s="121"/>
      <c r="BR241" s="121"/>
      <c r="BS241" s="121"/>
      <c r="BT241" s="121"/>
      <c r="BU241" s="121"/>
      <c r="BV241" s="121"/>
      <c r="BW241" s="121"/>
      <c r="BX241" s="121"/>
      <c r="BY241" s="121"/>
      <c r="BZ241" s="121"/>
      <c r="CA241" s="121"/>
      <c r="CB241" s="121"/>
      <c r="CC241" s="121"/>
      <c r="CD241" s="121"/>
      <c r="CE241" s="121"/>
      <c r="CF241" s="121"/>
      <c r="CG241" s="121"/>
      <c r="CH241" s="121"/>
      <c r="CI241" s="121"/>
      <c r="CJ241" s="121"/>
      <c r="CK241" s="121"/>
      <c r="CL241" s="121"/>
      <c r="CM241" s="121"/>
      <c r="CN241" s="121"/>
      <c r="CO241" s="121"/>
      <c r="CP241" s="121"/>
      <c r="CQ241" s="121"/>
      <c r="CR241" s="121"/>
      <c r="CS241" s="121"/>
      <c r="CT241" s="121"/>
      <c r="CU241" s="121"/>
      <c r="CV241" s="121"/>
      <c r="CW241" s="121"/>
      <c r="CX241" s="121"/>
      <c r="CY241" s="121"/>
      <c r="CZ241" s="121"/>
      <c r="DA241" s="121"/>
      <c r="DB241" s="121"/>
      <c r="DC241" s="121"/>
      <c r="DD241" s="121"/>
      <c r="DE241" s="121"/>
      <c r="DF241" s="121"/>
      <c r="DG241" s="121"/>
      <c r="DH241" s="121"/>
      <c r="DI241" s="121"/>
      <c r="DJ241" s="121"/>
      <c r="DK241" s="121"/>
      <c r="DL241" s="121"/>
      <c r="DM241" s="121"/>
      <c r="DN241" s="121"/>
      <c r="DO241" s="121"/>
      <c r="DP241" s="121"/>
      <c r="DQ241" s="121"/>
      <c r="DR241" s="121"/>
      <c r="DS241" s="121"/>
      <c r="DT241" s="121"/>
      <c r="DU241" s="121"/>
      <c r="DV241" s="121"/>
      <c r="DW241" s="121"/>
      <c r="DX241" s="121"/>
      <c r="DY241" s="121"/>
      <c r="DZ241" s="121"/>
      <c r="EA241" s="121"/>
      <c r="EB241" s="121"/>
      <c r="EC241" s="121"/>
      <c r="ED241" s="121"/>
      <c r="EE241" s="121"/>
      <c r="EF241" s="121"/>
      <c r="EG241" s="121"/>
      <c r="EH241" s="121"/>
      <c r="EI241" s="121"/>
      <c r="EJ241" s="121"/>
      <c r="EK241" s="121"/>
      <c r="EL241" s="121"/>
      <c r="EM241" s="121"/>
      <c r="EN241" s="121"/>
      <c r="EO241" s="121"/>
      <c r="EP241" s="121"/>
      <c r="EQ241" s="121"/>
      <c r="ER241" s="121"/>
      <c r="ES241" s="121"/>
      <c r="ET241" s="121"/>
      <c r="EU241" s="121"/>
      <c r="EV241" s="121"/>
      <c r="EW241" s="121"/>
      <c r="EX241" s="121"/>
      <c r="EY241" s="121"/>
      <c r="EZ241" s="121"/>
      <c r="FA241" s="121"/>
      <c r="FB241" s="121"/>
      <c r="FC241" s="121"/>
      <c r="FD241" s="121"/>
      <c r="FE241" s="121"/>
      <c r="FF241" s="121"/>
      <c r="FG241" s="121"/>
      <c r="FH241" s="121"/>
      <c r="FI241" s="121"/>
      <c r="FJ241" s="121"/>
      <c r="FK241" s="121"/>
      <c r="FL241" s="121"/>
      <c r="FM241" s="121"/>
      <c r="FN241" s="121"/>
      <c r="FO241" s="121"/>
      <c r="FP241" s="121"/>
      <c r="FQ241" s="121"/>
      <c r="FR241" s="121"/>
      <c r="FS241" s="121"/>
      <c r="FT241" s="121"/>
      <c r="FU241" s="121"/>
      <c r="FV241" s="121"/>
      <c r="FW241" s="121"/>
      <c r="FX241" s="121"/>
      <c r="FY241" s="121"/>
      <c r="FZ241" s="121"/>
      <c r="GA241" s="121"/>
      <c r="GB241" s="121"/>
      <c r="GC241" s="121"/>
      <c r="GD241" s="121"/>
      <c r="GE241" s="121"/>
      <c r="GF241" s="121"/>
      <c r="GG241" s="121"/>
      <c r="GH241" s="121"/>
    </row>
    <row r="242" spans="1:190">
      <c r="A242" s="121"/>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c r="AD242" s="121"/>
      <c r="AE242" s="121"/>
      <c r="AF242" s="121"/>
      <c r="AG242" s="121"/>
      <c r="AH242" s="121"/>
      <c r="AI242" s="121"/>
      <c r="AJ242" s="121"/>
      <c r="AK242" s="121"/>
      <c r="AL242" s="121"/>
      <c r="AM242" s="121"/>
      <c r="AN242" s="121"/>
      <c r="AO242" s="121"/>
      <c r="AP242" s="121"/>
      <c r="AQ242" s="121"/>
      <c r="AR242" s="121"/>
      <c r="AS242" s="121"/>
      <c r="AT242" s="121"/>
      <c r="AU242" s="121"/>
      <c r="AV242" s="121"/>
      <c r="AW242" s="121"/>
      <c r="AX242" s="121"/>
      <c r="AY242" s="121"/>
      <c r="AZ242" s="121"/>
      <c r="BA242" s="121"/>
      <c r="BB242" s="121"/>
      <c r="BC242" s="121"/>
      <c r="BD242" s="121"/>
      <c r="BE242" s="121"/>
      <c r="BF242" s="121"/>
      <c r="BG242" s="121"/>
      <c r="BH242" s="121"/>
      <c r="BI242" s="121"/>
      <c r="BJ242" s="121"/>
      <c r="BK242" s="121"/>
      <c r="BL242" s="121"/>
      <c r="BM242" s="121"/>
      <c r="BN242" s="121"/>
      <c r="BO242" s="121"/>
      <c r="BP242" s="121"/>
      <c r="BQ242" s="121"/>
      <c r="BR242" s="121"/>
      <c r="BS242" s="121"/>
      <c r="BT242" s="121"/>
      <c r="BU242" s="121"/>
      <c r="BV242" s="121"/>
      <c r="BW242" s="121"/>
      <c r="BX242" s="121"/>
      <c r="BY242" s="121"/>
      <c r="BZ242" s="121"/>
      <c r="CA242" s="121"/>
      <c r="CB242" s="121"/>
      <c r="CC242" s="121"/>
      <c r="CD242" s="121"/>
      <c r="CE242" s="121"/>
      <c r="CF242" s="121"/>
      <c r="CG242" s="121"/>
      <c r="CH242" s="121"/>
      <c r="CI242" s="121"/>
      <c r="CJ242" s="121"/>
      <c r="CK242" s="121"/>
      <c r="CL242" s="121"/>
      <c r="CM242" s="121"/>
      <c r="CN242" s="121"/>
      <c r="CO242" s="121"/>
      <c r="CP242" s="121"/>
      <c r="CQ242" s="121"/>
      <c r="CR242" s="121"/>
      <c r="CS242" s="121"/>
      <c r="CT242" s="121"/>
      <c r="CU242" s="121"/>
      <c r="CV242" s="121"/>
      <c r="CW242" s="121"/>
      <c r="CX242" s="121"/>
      <c r="CY242" s="121"/>
      <c r="CZ242" s="121"/>
      <c r="DA242" s="121"/>
      <c r="DB242" s="121"/>
      <c r="DC242" s="121"/>
      <c r="DD242" s="121"/>
      <c r="DE242" s="121"/>
      <c r="DF242" s="121"/>
      <c r="DG242" s="121"/>
      <c r="DH242" s="121"/>
      <c r="DI242" s="121"/>
      <c r="DJ242" s="121"/>
      <c r="DK242" s="121"/>
      <c r="DL242" s="121"/>
      <c r="DM242" s="121"/>
      <c r="DN242" s="121"/>
      <c r="DO242" s="121"/>
      <c r="DP242" s="121"/>
      <c r="DQ242" s="121"/>
      <c r="DR242" s="121"/>
      <c r="DS242" s="121"/>
      <c r="DT242" s="121"/>
      <c r="DU242" s="121"/>
      <c r="DV242" s="121"/>
      <c r="DW242" s="121"/>
      <c r="DX242" s="121"/>
      <c r="DY242" s="121"/>
      <c r="DZ242" s="121"/>
      <c r="EA242" s="121"/>
      <c r="EB242" s="121"/>
      <c r="EC242" s="121"/>
      <c r="ED242" s="121"/>
      <c r="EE242" s="121"/>
      <c r="EF242" s="121"/>
      <c r="EG242" s="121"/>
      <c r="EH242" s="121"/>
      <c r="EI242" s="121"/>
      <c r="EJ242" s="121"/>
      <c r="EK242" s="121"/>
      <c r="EL242" s="121"/>
      <c r="EM242" s="121"/>
      <c r="EN242" s="121"/>
      <c r="EO242" s="121"/>
      <c r="EP242" s="121"/>
      <c r="EQ242" s="121"/>
      <c r="ER242" s="121"/>
      <c r="ES242" s="121"/>
      <c r="ET242" s="121"/>
      <c r="EU242" s="121"/>
      <c r="EV242" s="121"/>
      <c r="EW242" s="121"/>
      <c r="EX242" s="121"/>
      <c r="EY242" s="121"/>
      <c r="EZ242" s="121"/>
      <c r="FA242" s="121"/>
      <c r="FB242" s="121"/>
      <c r="FC242" s="121"/>
      <c r="FD242" s="121"/>
      <c r="FE242" s="121"/>
      <c r="FF242" s="121"/>
      <c r="FG242" s="121"/>
      <c r="FH242" s="121"/>
      <c r="FI242" s="121"/>
      <c r="FJ242" s="121"/>
      <c r="FK242" s="121"/>
      <c r="FL242" s="121"/>
      <c r="FM242" s="121"/>
      <c r="FN242" s="121"/>
      <c r="FO242" s="121"/>
      <c r="FP242" s="121"/>
      <c r="FQ242" s="121"/>
      <c r="FR242" s="121"/>
      <c r="FS242" s="121"/>
      <c r="FT242" s="121"/>
      <c r="FU242" s="121"/>
      <c r="FV242" s="121"/>
      <c r="FW242" s="121"/>
      <c r="FX242" s="121"/>
      <c r="FY242" s="121"/>
      <c r="FZ242" s="121"/>
      <c r="GA242" s="121"/>
      <c r="GB242" s="121"/>
      <c r="GC242" s="121"/>
      <c r="GD242" s="121"/>
      <c r="GE242" s="121"/>
      <c r="GF242" s="121"/>
      <c r="GG242" s="121"/>
      <c r="GH242" s="121"/>
    </row>
    <row r="243" spans="1:190">
      <c r="A243" s="121"/>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c r="AD243" s="121"/>
      <c r="AE243" s="121"/>
      <c r="AF243" s="121"/>
      <c r="AG243" s="121"/>
      <c r="AH243" s="121"/>
      <c r="AI243" s="121"/>
      <c r="AJ243" s="121"/>
      <c r="AK243" s="121"/>
      <c r="AL243" s="121"/>
      <c r="AM243" s="121"/>
      <c r="AN243" s="121"/>
      <c r="AO243" s="121"/>
      <c r="AP243" s="121"/>
      <c r="AQ243" s="121"/>
      <c r="AR243" s="121"/>
      <c r="AS243" s="121"/>
      <c r="AT243" s="121"/>
      <c r="AU243" s="121"/>
      <c r="AV243" s="121"/>
      <c r="AW243" s="121"/>
      <c r="AX243" s="121"/>
      <c r="AY243" s="121"/>
      <c r="AZ243" s="121"/>
      <c r="BA243" s="121"/>
      <c r="BB243" s="121"/>
      <c r="BC243" s="121"/>
      <c r="BD243" s="121"/>
      <c r="BE243" s="121"/>
      <c r="BF243" s="121"/>
      <c r="BG243" s="121"/>
      <c r="BH243" s="121"/>
      <c r="BI243" s="121"/>
      <c r="BJ243" s="121"/>
      <c r="BK243" s="121"/>
      <c r="BL243" s="121"/>
      <c r="BM243" s="121"/>
      <c r="BN243" s="121"/>
      <c r="BO243" s="121"/>
      <c r="BP243" s="121"/>
      <c r="BQ243" s="121"/>
      <c r="BR243" s="121"/>
      <c r="BS243" s="121"/>
      <c r="BT243" s="121"/>
      <c r="BU243" s="121"/>
      <c r="BV243" s="121"/>
      <c r="BW243" s="121"/>
      <c r="BX243" s="121"/>
      <c r="BY243" s="121"/>
      <c r="BZ243" s="121"/>
      <c r="CA243" s="121"/>
      <c r="CB243" s="121"/>
      <c r="CC243" s="121"/>
      <c r="CD243" s="121"/>
      <c r="CE243" s="121"/>
      <c r="CF243" s="121"/>
      <c r="CG243" s="121"/>
      <c r="CH243" s="121"/>
      <c r="CI243" s="121"/>
      <c r="CJ243" s="121"/>
      <c r="CK243" s="121"/>
      <c r="CL243" s="121"/>
      <c r="CM243" s="121"/>
      <c r="CN243" s="121"/>
      <c r="CO243" s="121"/>
      <c r="CP243" s="121"/>
      <c r="CQ243" s="121"/>
      <c r="CR243" s="121"/>
      <c r="CS243" s="121"/>
      <c r="CT243" s="121"/>
      <c r="CU243" s="121"/>
      <c r="CV243" s="121"/>
      <c r="CW243" s="121"/>
      <c r="CX243" s="121"/>
      <c r="CY243" s="121"/>
      <c r="CZ243" s="121"/>
      <c r="DA243" s="121"/>
      <c r="DB243" s="121"/>
      <c r="DC243" s="121"/>
      <c r="DD243" s="121"/>
      <c r="DE243" s="121"/>
      <c r="DF243" s="121"/>
      <c r="DG243" s="121"/>
      <c r="DH243" s="121"/>
      <c r="DI243" s="121"/>
      <c r="DJ243" s="121"/>
      <c r="DK243" s="121"/>
      <c r="DL243" s="121"/>
      <c r="DM243" s="121"/>
      <c r="DN243" s="121"/>
      <c r="DO243" s="121"/>
      <c r="DP243" s="121"/>
      <c r="DQ243" s="121"/>
      <c r="DR243" s="121"/>
      <c r="DS243" s="121"/>
      <c r="DT243" s="121"/>
      <c r="DU243" s="121"/>
      <c r="DV243" s="121"/>
      <c r="DW243" s="121"/>
      <c r="DX243" s="121"/>
      <c r="DY243" s="121"/>
      <c r="DZ243" s="121"/>
      <c r="EA243" s="121"/>
      <c r="EB243" s="121"/>
      <c r="EC243" s="121"/>
      <c r="ED243" s="121"/>
      <c r="EE243" s="121"/>
      <c r="EF243" s="121"/>
      <c r="EG243" s="121"/>
      <c r="EH243" s="121"/>
      <c r="EI243" s="121"/>
      <c r="EJ243" s="121"/>
      <c r="EK243" s="121"/>
      <c r="EL243" s="121"/>
      <c r="EM243" s="121"/>
      <c r="EN243" s="121"/>
      <c r="EO243" s="121"/>
      <c r="EP243" s="121"/>
      <c r="EQ243" s="121"/>
      <c r="ER243" s="121"/>
      <c r="ES243" s="121"/>
      <c r="ET243" s="121"/>
      <c r="EU243" s="121"/>
      <c r="EV243" s="121"/>
      <c r="EW243" s="121"/>
      <c r="EX243" s="121"/>
      <c r="EY243" s="121"/>
      <c r="EZ243" s="121"/>
      <c r="FA243" s="121"/>
      <c r="FB243" s="121"/>
      <c r="FC243" s="121"/>
      <c r="FD243" s="121"/>
      <c r="FE243" s="121"/>
      <c r="FF243" s="121"/>
      <c r="FG243" s="121"/>
      <c r="FH243" s="121"/>
      <c r="FI243" s="121"/>
      <c r="FJ243" s="121"/>
      <c r="FK243" s="121"/>
      <c r="FL243" s="121"/>
      <c r="FM243" s="121"/>
      <c r="FN243" s="121"/>
      <c r="FO243" s="121"/>
      <c r="FP243" s="121"/>
      <c r="FQ243" s="121"/>
      <c r="FR243" s="121"/>
      <c r="FS243" s="121"/>
      <c r="FT243" s="121"/>
      <c r="FU243" s="121"/>
      <c r="FV243" s="121"/>
      <c r="FW243" s="121"/>
      <c r="FX243" s="121"/>
      <c r="FY243" s="121"/>
      <c r="FZ243" s="121"/>
      <c r="GA243" s="121"/>
      <c r="GB243" s="121"/>
      <c r="GC243" s="121"/>
      <c r="GD243" s="121"/>
      <c r="GE243" s="121"/>
      <c r="GF243" s="121"/>
      <c r="GG243" s="121"/>
      <c r="GH243" s="121"/>
    </row>
    <row r="244" spans="1:190">
      <c r="A244" s="121"/>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c r="AD244" s="121"/>
      <c r="AE244" s="121"/>
      <c r="AF244" s="121"/>
      <c r="AG244" s="121"/>
      <c r="AH244" s="121"/>
      <c r="AI244" s="121"/>
      <c r="AJ244" s="121"/>
      <c r="AK244" s="121"/>
      <c r="AL244" s="121"/>
      <c r="AM244" s="121"/>
      <c r="AN244" s="121"/>
      <c r="AO244" s="121"/>
      <c r="AP244" s="121"/>
      <c r="AQ244" s="121"/>
      <c r="AR244" s="121"/>
      <c r="AS244" s="121"/>
      <c r="AT244" s="121"/>
      <c r="AU244" s="121"/>
      <c r="AV244" s="121"/>
      <c r="AW244" s="121"/>
      <c r="AX244" s="121"/>
      <c r="AY244" s="121"/>
      <c r="AZ244" s="121"/>
      <c r="BA244" s="121"/>
      <c r="BB244" s="121"/>
      <c r="BC244" s="121"/>
      <c r="BD244" s="121"/>
      <c r="BE244" s="121"/>
      <c r="BF244" s="121"/>
      <c r="BG244" s="121"/>
      <c r="BH244" s="121"/>
      <c r="BI244" s="121"/>
      <c r="BJ244" s="121"/>
      <c r="BK244" s="121"/>
      <c r="BL244" s="121"/>
      <c r="BM244" s="121"/>
      <c r="BN244" s="121"/>
      <c r="BO244" s="121"/>
      <c r="BP244" s="121"/>
      <c r="BQ244" s="121"/>
      <c r="BR244" s="121"/>
      <c r="BS244" s="121"/>
      <c r="BT244" s="121"/>
      <c r="BU244" s="121"/>
      <c r="BV244" s="121"/>
      <c r="BW244" s="121"/>
      <c r="BX244" s="121"/>
      <c r="BY244" s="121"/>
      <c r="BZ244" s="121"/>
      <c r="CA244" s="121"/>
      <c r="CB244" s="121"/>
      <c r="CC244" s="121"/>
      <c r="CD244" s="121"/>
      <c r="CE244" s="121"/>
      <c r="CF244" s="121"/>
      <c r="CG244" s="121"/>
      <c r="CH244" s="121"/>
      <c r="CI244" s="121"/>
      <c r="CJ244" s="121"/>
      <c r="CK244" s="121"/>
      <c r="CL244" s="121"/>
      <c r="CM244" s="121"/>
      <c r="CN244" s="121"/>
      <c r="CO244" s="121"/>
      <c r="CP244" s="121"/>
      <c r="CQ244" s="121"/>
      <c r="CR244" s="121"/>
      <c r="CS244" s="121"/>
      <c r="CT244" s="121"/>
      <c r="CU244" s="121"/>
      <c r="CV244" s="121"/>
      <c r="CW244" s="121"/>
      <c r="CX244" s="121"/>
      <c r="CY244" s="121"/>
      <c r="CZ244" s="121"/>
      <c r="DA244" s="121"/>
      <c r="DB244" s="121"/>
      <c r="DC244" s="121"/>
      <c r="DD244" s="121"/>
      <c r="DE244" s="121"/>
      <c r="DF244" s="121"/>
      <c r="DG244" s="121"/>
      <c r="DH244" s="121"/>
      <c r="DI244" s="121"/>
      <c r="DJ244" s="121"/>
      <c r="DK244" s="121"/>
      <c r="DL244" s="121"/>
      <c r="DM244" s="121"/>
      <c r="DN244" s="121"/>
      <c r="DO244" s="121"/>
      <c r="DP244" s="121"/>
      <c r="DQ244" s="121"/>
      <c r="DR244" s="121"/>
      <c r="DS244" s="121"/>
      <c r="DT244" s="121"/>
      <c r="DU244" s="121"/>
      <c r="DV244" s="121"/>
      <c r="DW244" s="121"/>
      <c r="DX244" s="121"/>
      <c r="DY244" s="121"/>
      <c r="DZ244" s="121"/>
      <c r="EA244" s="121"/>
      <c r="EB244" s="121"/>
      <c r="EC244" s="121"/>
      <c r="ED244" s="121"/>
      <c r="EE244" s="121"/>
      <c r="EF244" s="121"/>
      <c r="EG244" s="121"/>
      <c r="EH244" s="121"/>
      <c r="EI244" s="121"/>
      <c r="EJ244" s="121"/>
      <c r="EK244" s="121"/>
      <c r="EL244" s="121"/>
      <c r="EM244" s="121"/>
      <c r="EN244" s="121"/>
      <c r="EO244" s="121"/>
      <c r="EP244" s="121"/>
      <c r="EQ244" s="121"/>
      <c r="ER244" s="121"/>
      <c r="ES244" s="121"/>
      <c r="ET244" s="121"/>
      <c r="EU244" s="121"/>
      <c r="EV244" s="121"/>
      <c r="EW244" s="121"/>
      <c r="EX244" s="121"/>
      <c r="EY244" s="121"/>
      <c r="EZ244" s="121"/>
      <c r="FA244" s="121"/>
      <c r="FB244" s="121"/>
      <c r="FC244" s="121"/>
      <c r="FD244" s="121"/>
      <c r="FE244" s="121"/>
      <c r="FF244" s="121"/>
      <c r="FG244" s="121"/>
      <c r="FH244" s="121"/>
      <c r="FI244" s="121"/>
      <c r="FJ244" s="121"/>
      <c r="FK244" s="121"/>
      <c r="FL244" s="121"/>
      <c r="FM244" s="121"/>
      <c r="FN244" s="121"/>
      <c r="FO244" s="121"/>
      <c r="FP244" s="121"/>
      <c r="FQ244" s="121"/>
      <c r="FR244" s="121"/>
      <c r="FS244" s="121"/>
      <c r="FT244" s="121"/>
      <c r="FU244" s="121"/>
      <c r="FV244" s="121"/>
      <c r="FW244" s="121"/>
      <c r="FX244" s="121"/>
      <c r="FY244" s="121"/>
      <c r="FZ244" s="121"/>
      <c r="GA244" s="121"/>
      <c r="GB244" s="121"/>
      <c r="GC244" s="121"/>
      <c r="GD244" s="121"/>
      <c r="GE244" s="121"/>
      <c r="GF244" s="121"/>
      <c r="GG244" s="121"/>
      <c r="GH244" s="121"/>
    </row>
    <row r="245" spans="1:190">
      <c r="A245" s="121"/>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c r="AD245" s="121"/>
      <c r="AE245" s="121"/>
      <c r="AF245" s="121"/>
      <c r="AG245" s="121"/>
      <c r="AH245" s="121"/>
      <c r="AI245" s="121"/>
      <c r="AJ245" s="121"/>
      <c r="AK245" s="121"/>
      <c r="AL245" s="121"/>
      <c r="AM245" s="121"/>
      <c r="AN245" s="121"/>
      <c r="AO245" s="121"/>
      <c r="AP245" s="121"/>
      <c r="AQ245" s="121"/>
      <c r="AR245" s="121"/>
      <c r="AS245" s="121"/>
      <c r="AT245" s="121"/>
      <c r="AU245" s="121"/>
      <c r="AV245" s="121"/>
      <c r="AW245" s="121"/>
      <c r="AX245" s="121"/>
      <c r="AY245" s="121"/>
      <c r="AZ245" s="121"/>
      <c r="BA245" s="121"/>
      <c r="BB245" s="121"/>
      <c r="BC245" s="121"/>
      <c r="BD245" s="121"/>
      <c r="BE245" s="121"/>
      <c r="BF245" s="121"/>
      <c r="BG245" s="121"/>
      <c r="BH245" s="121"/>
      <c r="BI245" s="121"/>
      <c r="BJ245" s="121"/>
      <c r="BK245" s="121"/>
      <c r="BL245" s="121"/>
      <c r="BM245" s="121"/>
      <c r="BN245" s="121"/>
      <c r="BO245" s="121"/>
      <c r="BP245" s="121"/>
      <c r="BQ245" s="121"/>
      <c r="BR245" s="121"/>
      <c r="BS245" s="121"/>
      <c r="BT245" s="121"/>
      <c r="BU245" s="121"/>
      <c r="BV245" s="121"/>
      <c r="BW245" s="121"/>
      <c r="BX245" s="121"/>
      <c r="BY245" s="121"/>
      <c r="BZ245" s="121"/>
      <c r="CA245" s="121"/>
      <c r="CB245" s="121"/>
      <c r="CC245" s="121"/>
      <c r="CD245" s="121"/>
      <c r="CE245" s="121"/>
      <c r="CF245" s="121"/>
      <c r="CG245" s="121"/>
      <c r="CH245" s="121"/>
      <c r="CI245" s="121"/>
      <c r="CJ245" s="121"/>
      <c r="CK245" s="121"/>
      <c r="CL245" s="121"/>
      <c r="CM245" s="121"/>
      <c r="CN245" s="121"/>
      <c r="CO245" s="121"/>
      <c r="CP245" s="121"/>
      <c r="CQ245" s="121"/>
      <c r="CR245" s="121"/>
      <c r="CS245" s="121"/>
      <c r="CT245" s="121"/>
      <c r="CU245" s="121"/>
      <c r="CV245" s="121"/>
      <c r="CW245" s="121"/>
      <c r="CX245" s="121"/>
      <c r="CY245" s="121"/>
      <c r="CZ245" s="121"/>
      <c r="DA245" s="121"/>
      <c r="DB245" s="121"/>
      <c r="DC245" s="121"/>
      <c r="DD245" s="121"/>
      <c r="DE245" s="121"/>
      <c r="DF245" s="121"/>
      <c r="DG245" s="121"/>
      <c r="DH245" s="121"/>
      <c r="DI245" s="121"/>
      <c r="DJ245" s="121"/>
      <c r="DK245" s="121"/>
      <c r="DL245" s="121"/>
      <c r="DM245" s="121"/>
      <c r="DN245" s="121"/>
      <c r="DO245" s="121"/>
      <c r="DP245" s="121"/>
      <c r="DQ245" s="121"/>
      <c r="DR245" s="121"/>
      <c r="DS245" s="121"/>
      <c r="DT245" s="121"/>
      <c r="DU245" s="121"/>
      <c r="DV245" s="121"/>
      <c r="DW245" s="121"/>
      <c r="DX245" s="121"/>
      <c r="DY245" s="121"/>
      <c r="DZ245" s="121"/>
      <c r="EA245" s="121"/>
      <c r="EB245" s="121"/>
      <c r="EC245" s="121"/>
      <c r="ED245" s="121"/>
      <c r="EE245" s="121"/>
      <c r="EF245" s="121"/>
      <c r="EG245" s="121"/>
      <c r="EH245" s="121"/>
      <c r="EI245" s="121"/>
      <c r="EJ245" s="121"/>
      <c r="EK245" s="121"/>
      <c r="EL245" s="121"/>
      <c r="EM245" s="121"/>
      <c r="EN245" s="121"/>
      <c r="EO245" s="121"/>
      <c r="EP245" s="121"/>
      <c r="EQ245" s="121"/>
      <c r="ER245" s="121"/>
      <c r="ES245" s="121"/>
      <c r="ET245" s="121"/>
      <c r="EU245" s="121"/>
      <c r="EV245" s="121"/>
      <c r="EW245" s="121"/>
      <c r="EX245" s="121"/>
      <c r="EY245" s="121"/>
      <c r="EZ245" s="121"/>
      <c r="FA245" s="121"/>
      <c r="FB245" s="121"/>
      <c r="FC245" s="121"/>
      <c r="FD245" s="121"/>
      <c r="FE245" s="121"/>
      <c r="FF245" s="121"/>
      <c r="FG245" s="121"/>
      <c r="FH245" s="121"/>
      <c r="FI245" s="121"/>
      <c r="FJ245" s="121"/>
      <c r="FK245" s="121"/>
      <c r="FL245" s="121"/>
      <c r="FM245" s="121"/>
      <c r="FN245" s="121"/>
      <c r="FO245" s="121"/>
      <c r="FP245" s="121"/>
      <c r="FQ245" s="121"/>
      <c r="FR245" s="121"/>
      <c r="FS245" s="121"/>
      <c r="FT245" s="121"/>
      <c r="FU245" s="121"/>
      <c r="FV245" s="121"/>
      <c r="FW245" s="121"/>
      <c r="FX245" s="121"/>
      <c r="FY245" s="121"/>
      <c r="FZ245" s="121"/>
      <c r="GA245" s="121"/>
      <c r="GB245" s="121"/>
      <c r="GC245" s="121"/>
      <c r="GD245" s="121"/>
      <c r="GE245" s="121"/>
      <c r="GF245" s="121"/>
      <c r="GG245" s="121"/>
      <c r="GH245" s="121"/>
    </row>
    <row r="246" spans="1:190">
      <c r="A246" s="121"/>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c r="AD246" s="121"/>
      <c r="AE246" s="121"/>
      <c r="AF246" s="121"/>
      <c r="AG246" s="121"/>
      <c r="AH246" s="121"/>
      <c r="AI246" s="121"/>
      <c r="AJ246" s="121"/>
      <c r="AK246" s="121"/>
      <c r="AL246" s="121"/>
      <c r="AM246" s="121"/>
      <c r="AN246" s="121"/>
      <c r="AO246" s="121"/>
      <c r="AP246" s="121"/>
      <c r="AQ246" s="121"/>
      <c r="AR246" s="121"/>
      <c r="AS246" s="121"/>
      <c r="AT246" s="121"/>
      <c r="AU246" s="121"/>
      <c r="AV246" s="121"/>
      <c r="AW246" s="121"/>
      <c r="AX246" s="121"/>
      <c r="AY246" s="121"/>
      <c r="AZ246" s="121"/>
      <c r="BA246" s="121"/>
      <c r="BB246" s="121"/>
      <c r="BC246" s="121"/>
      <c r="BD246" s="121"/>
      <c r="BE246" s="121"/>
      <c r="BF246" s="121"/>
      <c r="BG246" s="121"/>
      <c r="BH246" s="121"/>
      <c r="BI246" s="121"/>
      <c r="BJ246" s="121"/>
      <c r="BK246" s="121"/>
      <c r="BL246" s="121"/>
      <c r="BM246" s="121"/>
      <c r="BN246" s="121"/>
      <c r="BO246" s="121"/>
      <c r="BP246" s="121"/>
      <c r="BQ246" s="121"/>
      <c r="BR246" s="121"/>
      <c r="BS246" s="121"/>
      <c r="BT246" s="121"/>
      <c r="BU246" s="121"/>
      <c r="BV246" s="121"/>
      <c r="BW246" s="121"/>
      <c r="BX246" s="121"/>
      <c r="BY246" s="121"/>
      <c r="BZ246" s="121"/>
      <c r="CA246" s="121"/>
      <c r="CB246" s="121"/>
      <c r="CC246" s="121"/>
      <c r="CD246" s="121"/>
      <c r="CE246" s="121"/>
      <c r="CF246" s="121"/>
      <c r="CG246" s="121"/>
      <c r="CH246" s="121"/>
      <c r="CI246" s="121"/>
      <c r="CJ246" s="121"/>
      <c r="CK246" s="121"/>
      <c r="CL246" s="121"/>
      <c r="CM246" s="121"/>
      <c r="CN246" s="121"/>
      <c r="CO246" s="121"/>
      <c r="CP246" s="121"/>
      <c r="CQ246" s="121"/>
      <c r="CR246" s="121"/>
      <c r="CS246" s="121"/>
      <c r="CT246" s="121"/>
      <c r="CU246" s="121"/>
      <c r="CV246" s="121"/>
      <c r="CW246" s="121"/>
      <c r="CX246" s="121"/>
      <c r="CY246" s="121"/>
      <c r="CZ246" s="121"/>
      <c r="DA246" s="121"/>
      <c r="DB246" s="121"/>
      <c r="DC246" s="121"/>
      <c r="DD246" s="121"/>
      <c r="DE246" s="121"/>
      <c r="DF246" s="121"/>
      <c r="DG246" s="121"/>
      <c r="DH246" s="121"/>
      <c r="DI246" s="121"/>
      <c r="DJ246" s="121"/>
      <c r="DK246" s="121"/>
      <c r="DL246" s="121"/>
      <c r="DM246" s="121"/>
      <c r="DN246" s="121"/>
      <c r="DO246" s="121"/>
      <c r="DP246" s="121"/>
      <c r="DQ246" s="121"/>
      <c r="DR246" s="121"/>
      <c r="DS246" s="121"/>
      <c r="DT246" s="121"/>
      <c r="DU246" s="121"/>
      <c r="DV246" s="121"/>
      <c r="DW246" s="121"/>
      <c r="DX246" s="121"/>
      <c r="DY246" s="121"/>
      <c r="DZ246" s="121"/>
      <c r="EA246" s="121"/>
      <c r="EB246" s="121"/>
      <c r="EC246" s="121"/>
      <c r="ED246" s="121"/>
      <c r="EE246" s="121"/>
      <c r="EF246" s="121"/>
      <c r="EG246" s="121"/>
      <c r="EH246" s="121"/>
      <c r="EI246" s="121"/>
      <c r="EJ246" s="121"/>
      <c r="EK246" s="121"/>
      <c r="EL246" s="121"/>
      <c r="EM246" s="121"/>
      <c r="EN246" s="121"/>
      <c r="EO246" s="121"/>
      <c r="EP246" s="121"/>
      <c r="EQ246" s="121"/>
      <c r="ER246" s="121"/>
      <c r="ES246" s="121"/>
      <c r="ET246" s="121"/>
      <c r="EU246" s="121"/>
      <c r="EV246" s="121"/>
      <c r="EW246" s="121"/>
      <c r="EX246" s="121"/>
      <c r="EY246" s="121"/>
      <c r="EZ246" s="121"/>
      <c r="FA246" s="121"/>
      <c r="FB246" s="121"/>
      <c r="FC246" s="121"/>
      <c r="FD246" s="121"/>
      <c r="FE246" s="121"/>
      <c r="FF246" s="121"/>
      <c r="FG246" s="121"/>
      <c r="FH246" s="121"/>
      <c r="FI246" s="121"/>
      <c r="FJ246" s="121"/>
      <c r="FK246" s="121"/>
      <c r="FL246" s="121"/>
      <c r="FM246" s="121"/>
      <c r="FN246" s="121"/>
      <c r="FO246" s="121"/>
      <c r="FP246" s="121"/>
      <c r="FQ246" s="121"/>
      <c r="FR246" s="121"/>
      <c r="FS246" s="121"/>
      <c r="FT246" s="121"/>
      <c r="FU246" s="121"/>
      <c r="FV246" s="121"/>
      <c r="FW246" s="121"/>
      <c r="FX246" s="121"/>
      <c r="FY246" s="121"/>
      <c r="FZ246" s="121"/>
      <c r="GA246" s="121"/>
      <c r="GB246" s="121"/>
      <c r="GC246" s="121"/>
      <c r="GD246" s="121"/>
      <c r="GE246" s="121"/>
      <c r="GF246" s="121"/>
      <c r="GG246" s="121"/>
      <c r="GH246" s="121"/>
    </row>
    <row r="247" spans="1:190">
      <c r="A247" s="121"/>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c r="AD247" s="121"/>
      <c r="AE247" s="121"/>
      <c r="AF247" s="121"/>
      <c r="AG247" s="121"/>
      <c r="AH247" s="121"/>
      <c r="AI247" s="121"/>
      <c r="AJ247" s="121"/>
      <c r="AK247" s="121"/>
      <c r="AL247" s="121"/>
      <c r="AM247" s="121"/>
      <c r="AN247" s="121"/>
      <c r="AO247" s="121"/>
      <c r="AP247" s="121"/>
      <c r="AQ247" s="121"/>
      <c r="AR247" s="121"/>
      <c r="AS247" s="121"/>
      <c r="AT247" s="121"/>
      <c r="AU247" s="121"/>
      <c r="AV247" s="121"/>
      <c r="AW247" s="121"/>
      <c r="AX247" s="121"/>
      <c r="AY247" s="121"/>
      <c r="AZ247" s="121"/>
      <c r="BA247" s="121"/>
      <c r="BB247" s="121"/>
      <c r="BC247" s="121"/>
      <c r="BD247" s="121"/>
      <c r="BE247" s="121"/>
      <c r="BF247" s="121"/>
      <c r="BG247" s="121"/>
      <c r="BH247" s="121"/>
      <c r="BI247" s="121"/>
      <c r="BJ247" s="121"/>
      <c r="BK247" s="121"/>
      <c r="BL247" s="121"/>
      <c r="BM247" s="121"/>
      <c r="BN247" s="121"/>
      <c r="BO247" s="121"/>
      <c r="BP247" s="121"/>
      <c r="BQ247" s="121"/>
      <c r="BR247" s="121"/>
      <c r="BS247" s="121"/>
      <c r="BT247" s="121"/>
      <c r="BU247" s="121"/>
      <c r="BV247" s="121"/>
      <c r="BW247" s="121"/>
      <c r="BX247" s="121"/>
      <c r="BY247" s="121"/>
      <c r="BZ247" s="121"/>
      <c r="CA247" s="121"/>
      <c r="CB247" s="121"/>
      <c r="CC247" s="121"/>
      <c r="CD247" s="121"/>
      <c r="CE247" s="121"/>
      <c r="CF247" s="121"/>
      <c r="CG247" s="121"/>
      <c r="CH247" s="121"/>
      <c r="CI247" s="121"/>
      <c r="CJ247" s="121"/>
      <c r="CK247" s="121"/>
      <c r="CL247" s="121"/>
      <c r="CM247" s="121"/>
      <c r="CN247" s="121"/>
      <c r="CO247" s="121"/>
      <c r="CP247" s="121"/>
      <c r="CQ247" s="121"/>
      <c r="CR247" s="121"/>
      <c r="CS247" s="121"/>
      <c r="CT247" s="121"/>
      <c r="CU247" s="121"/>
      <c r="CV247" s="121"/>
      <c r="CW247" s="121"/>
      <c r="CX247" s="121"/>
      <c r="CY247" s="121"/>
      <c r="CZ247" s="121"/>
      <c r="DA247" s="121"/>
      <c r="DB247" s="121"/>
      <c r="DC247" s="121"/>
      <c r="DD247" s="121"/>
      <c r="DE247" s="121"/>
      <c r="DF247" s="121"/>
      <c r="DG247" s="121"/>
      <c r="DH247" s="121"/>
      <c r="DI247" s="121"/>
      <c r="DJ247" s="121"/>
      <c r="DK247" s="121"/>
      <c r="DL247" s="121"/>
      <c r="DM247" s="121"/>
      <c r="DN247" s="121"/>
      <c r="DO247" s="121"/>
      <c r="DP247" s="121"/>
      <c r="DQ247" s="121"/>
      <c r="DR247" s="121"/>
      <c r="DS247" s="121"/>
      <c r="DT247" s="121"/>
      <c r="DU247" s="121"/>
      <c r="DV247" s="121"/>
      <c r="DW247" s="121"/>
      <c r="DX247" s="121"/>
      <c r="DY247" s="121"/>
      <c r="DZ247" s="121"/>
      <c r="EA247" s="121"/>
      <c r="EB247" s="121"/>
      <c r="EC247" s="121"/>
      <c r="ED247" s="121"/>
      <c r="EE247" s="121"/>
      <c r="EF247" s="121"/>
      <c r="EG247" s="121"/>
      <c r="EH247" s="121"/>
      <c r="EI247" s="121"/>
      <c r="EJ247" s="121"/>
      <c r="EK247" s="121"/>
      <c r="EL247" s="121"/>
      <c r="EM247" s="121"/>
      <c r="EN247" s="121"/>
      <c r="EO247" s="121"/>
      <c r="EP247" s="121"/>
      <c r="EQ247" s="121"/>
      <c r="ER247" s="121"/>
      <c r="ES247" s="121"/>
      <c r="ET247" s="121"/>
      <c r="EU247" s="121"/>
      <c r="EV247" s="121"/>
      <c r="EW247" s="121"/>
      <c r="EX247" s="121"/>
      <c r="EY247" s="121"/>
      <c r="EZ247" s="121"/>
      <c r="FA247" s="121"/>
      <c r="FB247" s="121"/>
      <c r="FC247" s="121"/>
      <c r="FD247" s="121"/>
      <c r="FE247" s="121"/>
      <c r="FF247" s="121"/>
      <c r="FG247" s="121"/>
      <c r="FH247" s="121"/>
      <c r="FI247" s="121"/>
      <c r="FJ247" s="121"/>
      <c r="FK247" s="121"/>
      <c r="FL247" s="121"/>
      <c r="FM247" s="121"/>
      <c r="FN247" s="121"/>
      <c r="FO247" s="121"/>
      <c r="FP247" s="121"/>
      <c r="FQ247" s="121"/>
      <c r="FR247" s="121"/>
      <c r="FS247" s="121"/>
      <c r="FT247" s="121"/>
      <c r="FU247" s="121"/>
      <c r="FV247" s="121"/>
      <c r="FW247" s="121"/>
      <c r="FX247" s="121"/>
      <c r="FY247" s="121"/>
      <c r="FZ247" s="121"/>
      <c r="GA247" s="121"/>
      <c r="GB247" s="121"/>
      <c r="GC247" s="121"/>
      <c r="GD247" s="121"/>
      <c r="GE247" s="121"/>
      <c r="GF247" s="121"/>
      <c r="GG247" s="121"/>
      <c r="GH247" s="121"/>
    </row>
    <row r="248" spans="1:190">
      <c r="A248" s="121"/>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c r="AD248" s="121"/>
      <c r="AE248" s="121"/>
      <c r="AF248" s="121"/>
      <c r="AG248" s="121"/>
      <c r="AH248" s="121"/>
      <c r="AI248" s="121"/>
      <c r="AJ248" s="121"/>
      <c r="AK248" s="121"/>
      <c r="AL248" s="121"/>
      <c r="AM248" s="121"/>
      <c r="AN248" s="121"/>
      <c r="AO248" s="121"/>
      <c r="AP248" s="121"/>
      <c r="AQ248" s="121"/>
      <c r="AR248" s="121"/>
      <c r="AS248" s="121"/>
      <c r="AT248" s="121"/>
      <c r="AU248" s="121"/>
      <c r="AV248" s="121"/>
      <c r="AW248" s="121"/>
      <c r="AX248" s="121"/>
      <c r="AY248" s="121"/>
      <c r="AZ248" s="121"/>
      <c r="BA248" s="121"/>
      <c r="BB248" s="121"/>
      <c r="BC248" s="121"/>
      <c r="BD248" s="121"/>
      <c r="BE248" s="121"/>
      <c r="BF248" s="121"/>
      <c r="BG248" s="121"/>
      <c r="BH248" s="121"/>
      <c r="BI248" s="121"/>
      <c r="BJ248" s="121"/>
      <c r="BK248" s="121"/>
      <c r="BL248" s="121"/>
      <c r="BM248" s="121"/>
      <c r="BN248" s="121"/>
      <c r="BO248" s="121"/>
      <c r="BP248" s="121"/>
      <c r="BQ248" s="121"/>
      <c r="BR248" s="121"/>
      <c r="BS248" s="121"/>
      <c r="BT248" s="121"/>
      <c r="BU248" s="121"/>
      <c r="BV248" s="121"/>
      <c r="BW248" s="121"/>
      <c r="BX248" s="121"/>
      <c r="BY248" s="121"/>
      <c r="BZ248" s="121"/>
      <c r="CA248" s="121"/>
      <c r="CB248" s="121"/>
      <c r="CC248" s="121"/>
      <c r="CD248" s="121"/>
      <c r="CE248" s="121"/>
      <c r="CF248" s="121"/>
      <c r="CG248" s="121"/>
      <c r="CH248" s="121"/>
      <c r="CI248" s="121"/>
      <c r="CJ248" s="121"/>
      <c r="CK248" s="121"/>
      <c r="CL248" s="121"/>
      <c r="CM248" s="121"/>
      <c r="CN248" s="121"/>
      <c r="CO248" s="121"/>
      <c r="CP248" s="121"/>
      <c r="CQ248" s="121"/>
      <c r="CR248" s="121"/>
      <c r="CS248" s="121"/>
      <c r="CT248" s="121"/>
      <c r="CU248" s="121"/>
      <c r="CV248" s="121"/>
      <c r="CW248" s="121"/>
      <c r="CX248" s="121"/>
      <c r="CY248" s="121"/>
      <c r="CZ248" s="121"/>
      <c r="DA248" s="121"/>
      <c r="DB248" s="121"/>
      <c r="DC248" s="121"/>
      <c r="DD248" s="121"/>
      <c r="DE248" s="121"/>
      <c r="DF248" s="121"/>
      <c r="DG248" s="121"/>
      <c r="DH248" s="121"/>
      <c r="DI248" s="121"/>
      <c r="DJ248" s="121"/>
      <c r="DK248" s="121"/>
      <c r="DL248" s="121"/>
      <c r="DM248" s="121"/>
      <c r="DN248" s="121"/>
      <c r="DO248" s="121"/>
      <c r="DP248" s="121"/>
      <c r="DQ248" s="121"/>
      <c r="DR248" s="121"/>
      <c r="DS248" s="121"/>
      <c r="DT248" s="121"/>
      <c r="DU248" s="121"/>
      <c r="DV248" s="121"/>
      <c r="DW248" s="121"/>
      <c r="DX248" s="121"/>
      <c r="DY248" s="121"/>
      <c r="DZ248" s="121"/>
      <c r="EA248" s="121"/>
      <c r="EB248" s="121"/>
      <c r="EC248" s="121"/>
      <c r="ED248" s="121"/>
      <c r="EE248" s="121"/>
      <c r="EF248" s="121"/>
      <c r="EG248" s="121"/>
      <c r="EH248" s="121"/>
      <c r="EI248" s="121"/>
      <c r="EJ248" s="121"/>
      <c r="EK248" s="121"/>
      <c r="EL248" s="121"/>
      <c r="EM248" s="121"/>
      <c r="EN248" s="121"/>
      <c r="EO248" s="121"/>
      <c r="EP248" s="121"/>
      <c r="EQ248" s="121"/>
      <c r="ER248" s="121"/>
      <c r="ES248" s="121"/>
      <c r="ET248" s="121"/>
      <c r="EU248" s="121"/>
      <c r="EV248" s="121"/>
      <c r="EW248" s="121"/>
      <c r="EX248" s="121"/>
      <c r="EY248" s="121"/>
      <c r="EZ248" s="121"/>
      <c r="FA248" s="121"/>
      <c r="FB248" s="121"/>
      <c r="FC248" s="121"/>
      <c r="FD248" s="121"/>
      <c r="FE248" s="121"/>
      <c r="FF248" s="121"/>
      <c r="FG248" s="121"/>
      <c r="FH248" s="121"/>
      <c r="FI248" s="121"/>
      <c r="FJ248" s="121"/>
      <c r="FK248" s="121"/>
      <c r="FL248" s="121"/>
      <c r="FM248" s="121"/>
      <c r="FN248" s="121"/>
      <c r="FO248" s="121"/>
      <c r="FP248" s="121"/>
      <c r="FQ248" s="121"/>
      <c r="FR248" s="121"/>
      <c r="FS248" s="121"/>
      <c r="FT248" s="121"/>
      <c r="FU248" s="121"/>
      <c r="FV248" s="121"/>
      <c r="FW248" s="121"/>
      <c r="FX248" s="121"/>
      <c r="FY248" s="121"/>
      <c r="FZ248" s="121"/>
      <c r="GA248" s="121"/>
      <c r="GB248" s="121"/>
      <c r="GC248" s="121"/>
      <c r="GD248" s="121"/>
      <c r="GE248" s="121"/>
      <c r="GF248" s="121"/>
      <c r="GG248" s="121"/>
      <c r="GH248" s="121"/>
    </row>
    <row r="249" spans="1:190">
      <c r="A249" s="121"/>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c r="AD249" s="121"/>
      <c r="AE249" s="121"/>
      <c r="AF249" s="121"/>
      <c r="AG249" s="121"/>
      <c r="AH249" s="121"/>
      <c r="AI249" s="121"/>
      <c r="AJ249" s="121"/>
      <c r="AK249" s="121"/>
      <c r="AL249" s="121"/>
      <c r="AM249" s="121"/>
      <c r="AN249" s="121"/>
      <c r="AO249" s="121"/>
      <c r="AP249" s="121"/>
      <c r="AQ249" s="121"/>
      <c r="AR249" s="121"/>
      <c r="AS249" s="121"/>
      <c r="AT249" s="121"/>
      <c r="AU249" s="121"/>
      <c r="AV249" s="121"/>
      <c r="AW249" s="121"/>
      <c r="AX249" s="121"/>
      <c r="AY249" s="121"/>
      <c r="AZ249" s="121"/>
      <c r="BA249" s="121"/>
      <c r="BB249" s="121"/>
      <c r="BC249" s="121"/>
      <c r="BD249" s="121"/>
      <c r="BE249" s="121"/>
      <c r="BF249" s="121"/>
      <c r="BG249" s="121"/>
      <c r="BH249" s="121"/>
      <c r="BI249" s="121"/>
      <c r="BJ249" s="121"/>
      <c r="BK249" s="121"/>
      <c r="BL249" s="121"/>
      <c r="BM249" s="121"/>
      <c r="BN249" s="121"/>
      <c r="BO249" s="121"/>
      <c r="BP249" s="121"/>
      <c r="BQ249" s="121"/>
      <c r="BR249" s="121"/>
      <c r="BS249" s="121"/>
      <c r="BT249" s="121"/>
      <c r="BU249" s="121"/>
      <c r="BV249" s="121"/>
      <c r="BW249" s="121"/>
      <c r="BX249" s="121"/>
      <c r="BY249" s="121"/>
      <c r="BZ249" s="121"/>
      <c r="CA249" s="121"/>
      <c r="CB249" s="121"/>
      <c r="CC249" s="121"/>
      <c r="CD249" s="121"/>
      <c r="CE249" s="121"/>
      <c r="CF249" s="121"/>
      <c r="CG249" s="121"/>
      <c r="CH249" s="121"/>
      <c r="CI249" s="121"/>
      <c r="CJ249" s="121"/>
      <c r="CK249" s="121"/>
      <c r="CL249" s="121"/>
      <c r="CM249" s="121"/>
      <c r="CN249" s="121"/>
      <c r="CO249" s="121"/>
      <c r="CP249" s="121"/>
      <c r="CQ249" s="121"/>
      <c r="CR249" s="121"/>
      <c r="CS249" s="121"/>
      <c r="CT249" s="121"/>
      <c r="CU249" s="121"/>
      <c r="CV249" s="121"/>
      <c r="CW249" s="121"/>
      <c r="CX249" s="121"/>
      <c r="CY249" s="121"/>
      <c r="CZ249" s="121"/>
      <c r="DA249" s="121"/>
      <c r="DB249" s="121"/>
      <c r="DC249" s="121"/>
      <c r="DD249" s="121"/>
      <c r="DE249" s="121"/>
      <c r="DF249" s="121"/>
      <c r="DG249" s="121"/>
      <c r="DH249" s="121"/>
      <c r="DI249" s="121"/>
      <c r="DJ249" s="121"/>
      <c r="DK249" s="121"/>
      <c r="DL249" s="121"/>
      <c r="DM249" s="121"/>
      <c r="DN249" s="121"/>
      <c r="DO249" s="121"/>
      <c r="DP249" s="121"/>
      <c r="DQ249" s="121"/>
      <c r="DR249" s="121"/>
      <c r="DS249" s="121"/>
      <c r="DT249" s="121"/>
      <c r="DU249" s="121"/>
      <c r="DV249" s="121"/>
      <c r="DW249" s="121"/>
      <c r="DX249" s="121"/>
      <c r="DY249" s="121"/>
      <c r="DZ249" s="121"/>
      <c r="EA249" s="121"/>
      <c r="EB249" s="121"/>
      <c r="EC249" s="121"/>
      <c r="ED249" s="121"/>
      <c r="EE249" s="121"/>
      <c r="EF249" s="121"/>
      <c r="EG249" s="121"/>
      <c r="EH249" s="121"/>
      <c r="EI249" s="121"/>
      <c r="EJ249" s="121"/>
      <c r="EK249" s="121"/>
      <c r="EL249" s="121"/>
      <c r="EM249" s="121"/>
      <c r="EN249" s="121"/>
      <c r="EO249" s="121"/>
      <c r="EP249" s="121"/>
      <c r="EQ249" s="121"/>
      <c r="ER249" s="121"/>
      <c r="ES249" s="121"/>
      <c r="ET249" s="121"/>
      <c r="EU249" s="121"/>
      <c r="EV249" s="121"/>
      <c r="EW249" s="121"/>
      <c r="EX249" s="121"/>
      <c r="EY249" s="121"/>
      <c r="EZ249" s="121"/>
      <c r="FA249" s="121"/>
      <c r="FB249" s="121"/>
      <c r="FC249" s="121"/>
      <c r="FD249" s="121"/>
      <c r="FE249" s="121"/>
      <c r="FF249" s="121"/>
      <c r="FG249" s="121"/>
      <c r="FH249" s="121"/>
      <c r="FI249" s="121"/>
      <c r="FJ249" s="121"/>
      <c r="FK249" s="121"/>
      <c r="FL249" s="121"/>
      <c r="FM249" s="121"/>
      <c r="FN249" s="121"/>
      <c r="FO249" s="121"/>
      <c r="FP249" s="121"/>
      <c r="FQ249" s="121"/>
      <c r="FR249" s="121"/>
      <c r="FS249" s="121"/>
      <c r="FT249" s="121"/>
      <c r="FU249" s="121"/>
      <c r="FV249" s="121"/>
      <c r="FW249" s="121"/>
      <c r="FX249" s="121"/>
      <c r="FY249" s="121"/>
      <c r="FZ249" s="121"/>
      <c r="GA249" s="121"/>
      <c r="GB249" s="121"/>
      <c r="GC249" s="121"/>
      <c r="GD249" s="121"/>
      <c r="GE249" s="121"/>
      <c r="GF249" s="121"/>
      <c r="GG249" s="121"/>
      <c r="GH249" s="121"/>
    </row>
    <row r="250" spans="1:190">
      <c r="A250" s="121"/>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c r="AD250" s="121"/>
      <c r="AE250" s="121"/>
      <c r="AF250" s="121"/>
      <c r="AG250" s="121"/>
      <c r="AH250" s="121"/>
      <c r="AI250" s="121"/>
      <c r="AJ250" s="121"/>
      <c r="AK250" s="121"/>
      <c r="AL250" s="121"/>
      <c r="AM250" s="121"/>
      <c r="AN250" s="121"/>
      <c r="AO250" s="121"/>
      <c r="AP250" s="121"/>
      <c r="AQ250" s="121"/>
      <c r="AR250" s="121"/>
      <c r="AS250" s="121"/>
      <c r="AT250" s="121"/>
      <c r="AU250" s="121"/>
      <c r="AV250" s="121"/>
      <c r="AW250" s="121"/>
      <c r="AX250" s="121"/>
      <c r="AY250" s="121"/>
      <c r="AZ250" s="121"/>
      <c r="BA250" s="121"/>
      <c r="BB250" s="121"/>
      <c r="BC250" s="121"/>
      <c r="BD250" s="121"/>
      <c r="BE250" s="121"/>
      <c r="BF250" s="121"/>
      <c r="BG250" s="121"/>
      <c r="BH250" s="121"/>
      <c r="BI250" s="121"/>
      <c r="BJ250" s="121"/>
      <c r="BK250" s="121"/>
      <c r="BL250" s="121"/>
      <c r="BM250" s="121"/>
      <c r="BN250" s="121"/>
      <c r="BO250" s="121"/>
      <c r="BP250" s="121"/>
      <c r="BQ250" s="121"/>
      <c r="BR250" s="121"/>
      <c r="BS250" s="121"/>
      <c r="BT250" s="121"/>
      <c r="BU250" s="121"/>
      <c r="BV250" s="121"/>
      <c r="BW250" s="121"/>
      <c r="BX250" s="121"/>
      <c r="BY250" s="121"/>
      <c r="BZ250" s="121"/>
      <c r="CA250" s="121"/>
      <c r="CB250" s="121"/>
      <c r="CC250" s="121"/>
      <c r="CD250" s="121"/>
      <c r="CE250" s="121"/>
      <c r="CF250" s="121"/>
      <c r="CG250" s="121"/>
      <c r="CH250" s="121"/>
      <c r="CI250" s="121"/>
      <c r="CJ250" s="121"/>
      <c r="CK250" s="121"/>
      <c r="CL250" s="121"/>
      <c r="CM250" s="121"/>
      <c r="CN250" s="121"/>
      <c r="CO250" s="121"/>
      <c r="CP250" s="121"/>
      <c r="CQ250" s="121"/>
      <c r="CR250" s="121"/>
      <c r="CS250" s="121"/>
      <c r="CT250" s="121"/>
      <c r="CU250" s="121"/>
      <c r="CV250" s="121"/>
      <c r="CW250" s="121"/>
      <c r="CX250" s="121"/>
      <c r="CY250" s="121"/>
      <c r="CZ250" s="121"/>
      <c r="DA250" s="121"/>
      <c r="DB250" s="121"/>
      <c r="DC250" s="121"/>
      <c r="DD250" s="121"/>
      <c r="DE250" s="121"/>
      <c r="DF250" s="121"/>
      <c r="DG250" s="121"/>
      <c r="DH250" s="121"/>
      <c r="DI250" s="121"/>
      <c r="DJ250" s="121"/>
      <c r="DK250" s="121"/>
      <c r="DL250" s="121"/>
      <c r="DM250" s="121"/>
      <c r="DN250" s="121"/>
      <c r="DO250" s="121"/>
      <c r="DP250" s="121"/>
      <c r="DQ250" s="121"/>
      <c r="DR250" s="121"/>
      <c r="DS250" s="121"/>
      <c r="DT250" s="121"/>
      <c r="DU250" s="121"/>
      <c r="DV250" s="121"/>
      <c r="DW250" s="121"/>
      <c r="DX250" s="121"/>
      <c r="DY250" s="121"/>
      <c r="DZ250" s="121"/>
      <c r="EA250" s="121"/>
      <c r="EB250" s="121"/>
      <c r="EC250" s="121"/>
      <c r="ED250" s="121"/>
      <c r="EE250" s="121"/>
      <c r="EF250" s="121"/>
      <c r="EG250" s="121"/>
      <c r="EH250" s="121"/>
      <c r="EI250" s="121"/>
      <c r="EJ250" s="121"/>
      <c r="EK250" s="121"/>
      <c r="EL250" s="121"/>
      <c r="EM250" s="121"/>
      <c r="EN250" s="121"/>
      <c r="EO250" s="121"/>
      <c r="EP250" s="121"/>
      <c r="EQ250" s="121"/>
      <c r="ER250" s="121"/>
      <c r="ES250" s="121"/>
      <c r="ET250" s="121"/>
      <c r="EU250" s="121"/>
      <c r="EV250" s="121"/>
      <c r="EW250" s="121"/>
      <c r="EX250" s="121"/>
      <c r="EY250" s="121"/>
      <c r="EZ250" s="121"/>
      <c r="FA250" s="121"/>
      <c r="FB250" s="121"/>
      <c r="FC250" s="121"/>
      <c r="FD250" s="121"/>
      <c r="FE250" s="121"/>
      <c r="FF250" s="121"/>
      <c r="FG250" s="121"/>
      <c r="FH250" s="121"/>
      <c r="FI250" s="121"/>
      <c r="FJ250" s="121"/>
      <c r="FK250" s="121"/>
      <c r="FL250" s="121"/>
      <c r="FM250" s="121"/>
      <c r="FN250" s="121"/>
      <c r="FO250" s="121"/>
      <c r="FP250" s="121"/>
      <c r="FQ250" s="121"/>
      <c r="FR250" s="121"/>
      <c r="FS250" s="121"/>
      <c r="FT250" s="121"/>
      <c r="FU250" s="121"/>
      <c r="FV250" s="121"/>
      <c r="FW250" s="121"/>
      <c r="FX250" s="121"/>
      <c r="FY250" s="121"/>
      <c r="FZ250" s="121"/>
      <c r="GA250" s="121"/>
      <c r="GB250" s="121"/>
      <c r="GC250" s="121"/>
      <c r="GD250" s="121"/>
      <c r="GE250" s="121"/>
      <c r="GF250" s="121"/>
      <c r="GG250" s="121"/>
      <c r="GH250" s="121"/>
    </row>
    <row r="251" spans="1:190">
      <c r="A251" s="121"/>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c r="AD251" s="121"/>
      <c r="AE251" s="121"/>
      <c r="AF251" s="121"/>
      <c r="AG251" s="121"/>
      <c r="AH251" s="121"/>
      <c r="AI251" s="121"/>
      <c r="AJ251" s="121"/>
      <c r="AK251" s="121"/>
      <c r="AL251" s="121"/>
      <c r="AM251" s="121"/>
      <c r="AN251" s="121"/>
      <c r="AO251" s="121"/>
      <c r="AP251" s="121"/>
      <c r="AQ251" s="121"/>
      <c r="AR251" s="121"/>
      <c r="AS251" s="121"/>
      <c r="AT251" s="121"/>
      <c r="AU251" s="121"/>
      <c r="AV251" s="121"/>
      <c r="AW251" s="121"/>
      <c r="AX251" s="121"/>
      <c r="AY251" s="121"/>
      <c r="AZ251" s="121"/>
      <c r="BA251" s="121"/>
      <c r="BB251" s="121"/>
      <c r="BC251" s="121"/>
      <c r="BD251" s="121"/>
      <c r="BE251" s="121"/>
      <c r="BF251" s="121"/>
      <c r="BG251" s="121"/>
      <c r="BH251" s="121"/>
      <c r="BI251" s="121"/>
      <c r="BJ251" s="121"/>
      <c r="BK251" s="121"/>
      <c r="BL251" s="121"/>
      <c r="BM251" s="121"/>
      <c r="BN251" s="121"/>
      <c r="BO251" s="121"/>
      <c r="BP251" s="121"/>
      <c r="BQ251" s="121"/>
      <c r="BR251" s="121"/>
      <c r="BS251" s="121"/>
      <c r="BT251" s="121"/>
      <c r="BU251" s="121"/>
      <c r="BV251" s="121"/>
      <c r="BW251" s="121"/>
      <c r="BX251" s="121"/>
      <c r="BY251" s="121"/>
      <c r="BZ251" s="121"/>
      <c r="CA251" s="121"/>
      <c r="CB251" s="121"/>
      <c r="CC251" s="121"/>
      <c r="CD251" s="121"/>
      <c r="CE251" s="121"/>
      <c r="CF251" s="121"/>
      <c r="CG251" s="121"/>
      <c r="CH251" s="121"/>
      <c r="CI251" s="121"/>
      <c r="CJ251" s="121"/>
      <c r="CK251" s="121"/>
      <c r="CL251" s="121"/>
      <c r="CM251" s="121"/>
      <c r="CN251" s="121"/>
      <c r="CO251" s="121"/>
      <c r="CP251" s="121"/>
      <c r="CQ251" s="121"/>
      <c r="CR251" s="121"/>
      <c r="CS251" s="121"/>
      <c r="CT251" s="121"/>
      <c r="CU251" s="121"/>
      <c r="CV251" s="121"/>
      <c r="CW251" s="121"/>
      <c r="CX251" s="121"/>
      <c r="CY251" s="121"/>
      <c r="CZ251" s="121"/>
      <c r="DA251" s="121"/>
      <c r="DB251" s="121"/>
      <c r="DC251" s="121"/>
      <c r="DD251" s="121"/>
      <c r="DE251" s="121"/>
      <c r="DF251" s="121"/>
      <c r="DG251" s="121"/>
      <c r="DH251" s="121"/>
      <c r="DI251" s="121"/>
      <c r="DJ251" s="121"/>
      <c r="DK251" s="121"/>
      <c r="DL251" s="121"/>
      <c r="DM251" s="121"/>
      <c r="DN251" s="121"/>
      <c r="DO251" s="121"/>
      <c r="DP251" s="121"/>
      <c r="DQ251" s="121"/>
      <c r="DR251" s="121"/>
      <c r="DS251" s="121"/>
      <c r="DT251" s="121"/>
      <c r="DU251" s="121"/>
      <c r="DV251" s="121"/>
      <c r="DW251" s="121"/>
      <c r="DX251" s="121"/>
      <c r="DY251" s="121"/>
      <c r="DZ251" s="121"/>
      <c r="EA251" s="121"/>
      <c r="EB251" s="121"/>
      <c r="EC251" s="121"/>
      <c r="ED251" s="121"/>
      <c r="EE251" s="121"/>
      <c r="EF251" s="121"/>
      <c r="EG251" s="121"/>
      <c r="EH251" s="121"/>
      <c r="EI251" s="121"/>
      <c r="EJ251" s="121"/>
      <c r="EK251" s="121"/>
      <c r="EL251" s="121"/>
      <c r="EM251" s="121"/>
      <c r="EN251" s="121"/>
      <c r="EO251" s="121"/>
      <c r="EP251" s="121"/>
      <c r="EQ251" s="121"/>
      <c r="ER251" s="121"/>
      <c r="ES251" s="121"/>
      <c r="ET251" s="121"/>
      <c r="EU251" s="121"/>
      <c r="EV251" s="121"/>
      <c r="EW251" s="121"/>
      <c r="EX251" s="121"/>
      <c r="EY251" s="121"/>
      <c r="EZ251" s="121"/>
      <c r="FA251" s="121"/>
      <c r="FB251" s="121"/>
      <c r="FC251" s="121"/>
      <c r="FD251" s="121"/>
      <c r="FE251" s="121"/>
      <c r="FF251" s="121"/>
      <c r="FG251" s="121"/>
      <c r="FH251" s="121"/>
      <c r="FI251" s="121"/>
      <c r="FJ251" s="121"/>
      <c r="FK251" s="121"/>
      <c r="FL251" s="121"/>
      <c r="FM251" s="121"/>
      <c r="FN251" s="121"/>
      <c r="FO251" s="121"/>
      <c r="FP251" s="121"/>
      <c r="FQ251" s="121"/>
      <c r="FR251" s="121"/>
      <c r="FS251" s="121"/>
      <c r="FT251" s="121"/>
      <c r="FU251" s="121"/>
      <c r="FV251" s="121"/>
      <c r="FW251" s="121"/>
      <c r="FX251" s="121"/>
      <c r="FY251" s="121"/>
      <c r="FZ251" s="121"/>
      <c r="GA251" s="121"/>
      <c r="GB251" s="121"/>
      <c r="GC251" s="121"/>
      <c r="GD251" s="121"/>
      <c r="GE251" s="121"/>
      <c r="GF251" s="121"/>
      <c r="GG251" s="121"/>
      <c r="GH251" s="121"/>
    </row>
    <row r="252" spans="1:190">
      <c r="A252" s="121"/>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c r="AD252" s="121"/>
      <c r="AE252" s="121"/>
      <c r="AF252" s="121"/>
      <c r="AG252" s="121"/>
      <c r="AH252" s="121"/>
      <c r="AI252" s="121"/>
      <c r="AJ252" s="121"/>
      <c r="AK252" s="121"/>
      <c r="AL252" s="121"/>
      <c r="AM252" s="121"/>
      <c r="AN252" s="121"/>
      <c r="AO252" s="121"/>
      <c r="AP252" s="121"/>
      <c r="AQ252" s="121"/>
      <c r="AR252" s="121"/>
      <c r="AS252" s="121"/>
      <c r="AT252" s="121"/>
      <c r="AU252" s="121"/>
      <c r="AV252" s="121"/>
      <c r="AW252" s="121"/>
      <c r="AX252" s="121"/>
      <c r="AY252" s="121"/>
      <c r="AZ252" s="121"/>
      <c r="BA252" s="121"/>
      <c r="BB252" s="121"/>
      <c r="BC252" s="121"/>
      <c r="BD252" s="121"/>
      <c r="BE252" s="121"/>
      <c r="BF252" s="121"/>
      <c r="BG252" s="121"/>
      <c r="BH252" s="121"/>
      <c r="BI252" s="121"/>
      <c r="BJ252" s="121"/>
      <c r="BK252" s="121"/>
      <c r="BL252" s="121"/>
      <c r="BM252" s="121"/>
      <c r="BN252" s="121"/>
      <c r="BO252" s="121"/>
      <c r="BP252" s="121"/>
      <c r="BQ252" s="121"/>
      <c r="BR252" s="121"/>
      <c r="BS252" s="121"/>
      <c r="BT252" s="121"/>
      <c r="BU252" s="121"/>
      <c r="BV252" s="121"/>
      <c r="BW252" s="121"/>
      <c r="BX252" s="121"/>
      <c r="BY252" s="121"/>
      <c r="BZ252" s="121"/>
      <c r="CA252" s="121"/>
      <c r="CB252" s="121"/>
      <c r="CC252" s="121"/>
      <c r="CD252" s="121"/>
      <c r="CE252" s="121"/>
      <c r="CF252" s="121"/>
      <c r="CG252" s="121"/>
      <c r="CH252" s="121"/>
      <c r="CI252" s="121"/>
      <c r="CJ252" s="121"/>
      <c r="CK252" s="121"/>
      <c r="CL252" s="121"/>
      <c r="CM252" s="121"/>
      <c r="CN252" s="121"/>
      <c r="CO252" s="121"/>
      <c r="CP252" s="121"/>
      <c r="CQ252" s="121"/>
      <c r="CR252" s="121"/>
      <c r="CS252" s="121"/>
      <c r="CT252" s="121"/>
      <c r="CU252" s="121"/>
      <c r="CV252" s="121"/>
      <c r="CW252" s="121"/>
      <c r="CX252" s="121"/>
      <c r="CY252" s="121"/>
      <c r="CZ252" s="121"/>
      <c r="DA252" s="121"/>
      <c r="DB252" s="121"/>
      <c r="DC252" s="121"/>
      <c r="DD252" s="121"/>
      <c r="DE252" s="121"/>
      <c r="DF252" s="121"/>
      <c r="DG252" s="121"/>
      <c r="DH252" s="121"/>
      <c r="DI252" s="121"/>
      <c r="DJ252" s="121"/>
      <c r="DK252" s="121"/>
      <c r="DL252" s="121"/>
      <c r="DM252" s="121"/>
      <c r="DN252" s="121"/>
      <c r="DO252" s="121"/>
      <c r="DP252" s="121"/>
      <c r="DQ252" s="121"/>
      <c r="DR252" s="121"/>
      <c r="DS252" s="121"/>
      <c r="DT252" s="121"/>
      <c r="DU252" s="121"/>
      <c r="DV252" s="121"/>
      <c r="DW252" s="121"/>
      <c r="DX252" s="121"/>
      <c r="DY252" s="121"/>
      <c r="DZ252" s="121"/>
      <c r="EA252" s="121"/>
      <c r="EB252" s="121"/>
      <c r="EC252" s="121"/>
      <c r="ED252" s="121"/>
      <c r="EE252" s="121"/>
      <c r="EF252" s="121"/>
      <c r="EG252" s="121"/>
      <c r="EH252" s="121"/>
      <c r="EI252" s="121"/>
      <c r="EJ252" s="121"/>
      <c r="EK252" s="121"/>
      <c r="EL252" s="121"/>
      <c r="EM252" s="121"/>
      <c r="EN252" s="121"/>
      <c r="EO252" s="121"/>
      <c r="EP252" s="121"/>
      <c r="EQ252" s="121"/>
      <c r="ER252" s="121"/>
      <c r="ES252" s="121"/>
      <c r="ET252" s="121"/>
      <c r="EU252" s="121"/>
      <c r="EV252" s="121"/>
      <c r="EW252" s="121"/>
      <c r="EX252" s="121"/>
      <c r="EY252" s="121"/>
      <c r="EZ252" s="121"/>
      <c r="FA252" s="121"/>
      <c r="FB252" s="121"/>
      <c r="FC252" s="121"/>
      <c r="FD252" s="121"/>
      <c r="FE252" s="121"/>
      <c r="FF252" s="121"/>
      <c r="FG252" s="121"/>
      <c r="FH252" s="121"/>
      <c r="FI252" s="121"/>
      <c r="FJ252" s="121"/>
      <c r="FK252" s="121"/>
      <c r="FL252" s="121"/>
      <c r="FM252" s="121"/>
      <c r="FN252" s="121"/>
      <c r="FO252" s="121"/>
      <c r="FP252" s="121"/>
      <c r="FQ252" s="121"/>
      <c r="FR252" s="121"/>
      <c r="FS252" s="121"/>
      <c r="FT252" s="121"/>
      <c r="FU252" s="121"/>
      <c r="FV252" s="121"/>
      <c r="FW252" s="121"/>
      <c r="FX252" s="121"/>
      <c r="FY252" s="121"/>
      <c r="FZ252" s="121"/>
      <c r="GA252" s="121"/>
      <c r="GB252" s="121"/>
      <c r="GC252" s="121"/>
      <c r="GD252" s="121"/>
      <c r="GE252" s="121"/>
      <c r="GF252" s="121"/>
      <c r="GG252" s="121"/>
      <c r="GH252" s="121"/>
    </row>
    <row r="253" spans="1:190">
      <c r="A253" s="121"/>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c r="AD253" s="121"/>
      <c r="AE253" s="121"/>
      <c r="AF253" s="121"/>
      <c r="AG253" s="121"/>
      <c r="AH253" s="121"/>
      <c r="AI253" s="121"/>
      <c r="AJ253" s="121"/>
      <c r="AK253" s="121"/>
      <c r="AL253" s="121"/>
      <c r="AM253" s="121"/>
      <c r="AN253" s="121"/>
      <c r="AO253" s="121"/>
      <c r="AP253" s="121"/>
      <c r="AQ253" s="121"/>
      <c r="AR253" s="121"/>
      <c r="AS253" s="121"/>
      <c r="AT253" s="121"/>
      <c r="AU253" s="121"/>
      <c r="AV253" s="121"/>
      <c r="AW253" s="121"/>
      <c r="AX253" s="121"/>
      <c r="AY253" s="121"/>
      <c r="AZ253" s="121"/>
      <c r="BA253" s="121"/>
      <c r="BB253" s="121"/>
      <c r="BC253" s="121"/>
      <c r="BD253" s="121"/>
      <c r="BE253" s="121"/>
      <c r="BF253" s="121"/>
      <c r="BG253" s="121"/>
      <c r="BH253" s="121"/>
      <c r="BI253" s="121"/>
      <c r="BJ253" s="121"/>
      <c r="BK253" s="121"/>
      <c r="BL253" s="121"/>
      <c r="BM253" s="121"/>
      <c r="BN253" s="121"/>
      <c r="BO253" s="121"/>
      <c r="BP253" s="121"/>
      <c r="BQ253" s="121"/>
      <c r="BR253" s="121"/>
      <c r="BS253" s="121"/>
      <c r="BT253" s="121"/>
      <c r="BU253" s="121"/>
      <c r="BV253" s="121"/>
      <c r="BW253" s="121"/>
      <c r="BX253" s="121"/>
      <c r="BY253" s="121"/>
      <c r="BZ253" s="121"/>
      <c r="CA253" s="121"/>
      <c r="CB253" s="121"/>
      <c r="CC253" s="121"/>
      <c r="CD253" s="121"/>
      <c r="CE253" s="121"/>
      <c r="CF253" s="121"/>
      <c r="CG253" s="121"/>
      <c r="CH253" s="121"/>
      <c r="CI253" s="121"/>
      <c r="CJ253" s="121"/>
      <c r="CK253" s="121"/>
      <c r="CL253" s="121"/>
      <c r="CM253" s="121"/>
      <c r="CN253" s="121"/>
      <c r="CO253" s="121"/>
      <c r="CP253" s="121"/>
      <c r="CQ253" s="121"/>
      <c r="CR253" s="121"/>
      <c r="CS253" s="121"/>
      <c r="CT253" s="121"/>
      <c r="CU253" s="121"/>
      <c r="CV253" s="121"/>
      <c r="CW253" s="121"/>
      <c r="CX253" s="121"/>
      <c r="CY253" s="121"/>
      <c r="CZ253" s="121"/>
      <c r="DA253" s="121"/>
      <c r="DB253" s="121"/>
      <c r="DC253" s="121"/>
      <c r="DD253" s="121"/>
      <c r="DE253" s="121"/>
      <c r="DF253" s="121"/>
      <c r="DG253" s="121"/>
      <c r="DH253" s="121"/>
      <c r="DI253" s="121"/>
      <c r="DJ253" s="121"/>
      <c r="DK253" s="121"/>
      <c r="DL253" s="121"/>
      <c r="DM253" s="121"/>
      <c r="DN253" s="121"/>
      <c r="DO253" s="121"/>
      <c r="DP253" s="121"/>
      <c r="DQ253" s="121"/>
      <c r="DR253" s="121"/>
      <c r="DS253" s="121"/>
      <c r="DT253" s="121"/>
      <c r="DU253" s="121"/>
      <c r="DV253" s="121"/>
      <c r="DW253" s="121"/>
      <c r="DX253" s="121"/>
      <c r="DY253" s="121"/>
      <c r="DZ253" s="121"/>
      <c r="EA253" s="121"/>
      <c r="EB253" s="121"/>
      <c r="EC253" s="121"/>
      <c r="ED253" s="121"/>
      <c r="EE253" s="121"/>
      <c r="EF253" s="121"/>
      <c r="EG253" s="121"/>
      <c r="EH253" s="121"/>
      <c r="EI253" s="121"/>
      <c r="EJ253" s="121"/>
      <c r="EK253" s="121"/>
      <c r="EL253" s="121"/>
      <c r="EM253" s="121"/>
      <c r="EN253" s="121"/>
      <c r="EO253" s="121"/>
      <c r="EP253" s="121"/>
      <c r="EQ253" s="121"/>
      <c r="ER253" s="121"/>
      <c r="ES253" s="121"/>
      <c r="ET253" s="121"/>
      <c r="EU253" s="121"/>
      <c r="EV253" s="121"/>
      <c r="EW253" s="121"/>
      <c r="EX253" s="121"/>
      <c r="EY253" s="121"/>
      <c r="EZ253" s="121"/>
      <c r="FA253" s="121"/>
      <c r="FB253" s="121"/>
      <c r="FC253" s="121"/>
      <c r="FD253" s="121"/>
      <c r="FE253" s="121"/>
      <c r="FF253" s="121"/>
      <c r="FG253" s="121"/>
      <c r="FH253" s="121"/>
      <c r="FI253" s="121"/>
      <c r="FJ253" s="121"/>
      <c r="FK253" s="121"/>
      <c r="FL253" s="121"/>
      <c r="FM253" s="121"/>
      <c r="FN253" s="121"/>
      <c r="FO253" s="121"/>
      <c r="FP253" s="121"/>
      <c r="FQ253" s="121"/>
      <c r="FR253" s="121"/>
      <c r="FS253" s="121"/>
      <c r="FT253" s="121"/>
      <c r="FU253" s="121"/>
      <c r="FV253" s="121"/>
      <c r="FW253" s="121"/>
      <c r="FX253" s="121"/>
      <c r="FY253" s="121"/>
      <c r="FZ253" s="121"/>
      <c r="GA253" s="121"/>
      <c r="GB253" s="121"/>
      <c r="GC253" s="121"/>
      <c r="GD253" s="121"/>
      <c r="GE253" s="121"/>
      <c r="GF253" s="121"/>
      <c r="GG253" s="121"/>
      <c r="GH253" s="121"/>
    </row>
    <row r="254" spans="1:190">
      <c r="A254" s="121"/>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c r="AD254" s="121"/>
      <c r="AE254" s="121"/>
      <c r="AF254" s="121"/>
      <c r="AG254" s="121"/>
      <c r="AH254" s="121"/>
      <c r="AI254" s="121"/>
      <c r="AJ254" s="121"/>
      <c r="AK254" s="121"/>
      <c r="AL254" s="121"/>
      <c r="AM254" s="121"/>
      <c r="AN254" s="121"/>
      <c r="AO254" s="121"/>
      <c r="AP254" s="121"/>
      <c r="AQ254" s="121"/>
      <c r="AR254" s="121"/>
      <c r="AS254" s="121"/>
      <c r="AT254" s="121"/>
      <c r="AU254" s="121"/>
      <c r="AV254" s="121"/>
      <c r="AW254" s="121"/>
      <c r="AX254" s="121"/>
      <c r="AY254" s="121"/>
      <c r="AZ254" s="121"/>
      <c r="BA254" s="121"/>
      <c r="BB254" s="121"/>
      <c r="BC254" s="121"/>
      <c r="BD254" s="121"/>
      <c r="BE254" s="121"/>
      <c r="BF254" s="121"/>
      <c r="BG254" s="121"/>
      <c r="BH254" s="121"/>
      <c r="BI254" s="121"/>
      <c r="BJ254" s="121"/>
      <c r="BK254" s="121"/>
      <c r="BL254" s="121"/>
      <c r="BM254" s="121"/>
      <c r="BN254" s="121"/>
      <c r="BO254" s="121"/>
      <c r="BP254" s="121"/>
      <c r="BQ254" s="121"/>
      <c r="BR254" s="121"/>
      <c r="BS254" s="121"/>
      <c r="BT254" s="121"/>
      <c r="BU254" s="121"/>
      <c r="BV254" s="121"/>
      <c r="BW254" s="121"/>
      <c r="BX254" s="121"/>
      <c r="BY254" s="121"/>
      <c r="BZ254" s="121"/>
      <c r="CA254" s="121"/>
      <c r="CB254" s="121"/>
      <c r="CC254" s="121"/>
      <c r="CD254" s="121"/>
      <c r="CE254" s="121"/>
      <c r="CF254" s="121"/>
      <c r="CG254" s="121"/>
      <c r="CH254" s="121"/>
      <c r="CI254" s="121"/>
      <c r="CJ254" s="121"/>
      <c r="CK254" s="121"/>
      <c r="CL254" s="121"/>
      <c r="CM254" s="121"/>
      <c r="CN254" s="121"/>
      <c r="CO254" s="121"/>
      <c r="CP254" s="121"/>
      <c r="CQ254" s="121"/>
      <c r="CR254" s="121"/>
      <c r="CS254" s="121"/>
      <c r="CT254" s="121"/>
      <c r="CU254" s="121"/>
      <c r="CV254" s="121"/>
      <c r="CW254" s="121"/>
      <c r="CX254" s="121"/>
      <c r="CY254" s="121"/>
      <c r="CZ254" s="121"/>
      <c r="DA254" s="121"/>
      <c r="DB254" s="121"/>
      <c r="DC254" s="121"/>
      <c r="DD254" s="121"/>
      <c r="DE254" s="121"/>
      <c r="DF254" s="121"/>
      <c r="DG254" s="121"/>
      <c r="DH254" s="121"/>
      <c r="DI254" s="121"/>
      <c r="DJ254" s="121"/>
      <c r="DK254" s="121"/>
      <c r="DL254" s="121"/>
      <c r="DM254" s="121"/>
      <c r="DN254" s="121"/>
      <c r="DO254" s="121"/>
      <c r="DP254" s="121"/>
      <c r="DQ254" s="121"/>
      <c r="DR254" s="121"/>
      <c r="DS254" s="121"/>
      <c r="DT254" s="121"/>
      <c r="DU254" s="121"/>
      <c r="DV254" s="121"/>
      <c r="DW254" s="121"/>
      <c r="DX254" s="121"/>
      <c r="DY254" s="121"/>
      <c r="DZ254" s="121"/>
      <c r="EA254" s="121"/>
      <c r="EB254" s="121"/>
      <c r="EC254" s="121"/>
      <c r="ED254" s="121"/>
      <c r="EE254" s="121"/>
      <c r="EF254" s="121"/>
      <c r="EG254" s="121"/>
      <c r="EH254" s="121"/>
      <c r="EI254" s="121"/>
      <c r="EJ254" s="121"/>
      <c r="EK254" s="121"/>
      <c r="EL254" s="121"/>
      <c r="EM254" s="121"/>
      <c r="EN254" s="121"/>
      <c r="EO254" s="121"/>
      <c r="EP254" s="121"/>
      <c r="EQ254" s="121"/>
      <c r="ER254" s="121"/>
      <c r="ES254" s="121"/>
      <c r="ET254" s="121"/>
      <c r="EU254" s="121"/>
      <c r="EV254" s="121"/>
      <c r="EW254" s="121"/>
      <c r="EX254" s="121"/>
      <c r="EY254" s="121"/>
      <c r="EZ254" s="121"/>
      <c r="FA254" s="121"/>
      <c r="FB254" s="121"/>
      <c r="FC254" s="121"/>
      <c r="FD254" s="121"/>
      <c r="FE254" s="121"/>
      <c r="FF254" s="121"/>
      <c r="FG254" s="121"/>
      <c r="FH254" s="121"/>
      <c r="FI254" s="121"/>
      <c r="FJ254" s="121"/>
      <c r="FK254" s="121"/>
      <c r="FL254" s="121"/>
      <c r="FM254" s="121"/>
      <c r="FN254" s="121"/>
      <c r="FO254" s="121"/>
      <c r="FP254" s="121"/>
      <c r="FQ254" s="121"/>
      <c r="FR254" s="121"/>
      <c r="FS254" s="121"/>
      <c r="FT254" s="121"/>
      <c r="FU254" s="121"/>
      <c r="FV254" s="121"/>
      <c r="FW254" s="121"/>
      <c r="FX254" s="121"/>
      <c r="FY254" s="121"/>
      <c r="FZ254" s="121"/>
      <c r="GA254" s="121"/>
      <c r="GB254" s="121"/>
      <c r="GC254" s="121"/>
      <c r="GD254" s="121"/>
      <c r="GE254" s="121"/>
      <c r="GF254" s="121"/>
      <c r="GG254" s="121"/>
      <c r="GH254" s="121"/>
    </row>
    <row r="255" spans="1:190">
      <c r="A255" s="121"/>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c r="AD255" s="121"/>
      <c r="AE255" s="121"/>
      <c r="AF255" s="121"/>
      <c r="AG255" s="121"/>
      <c r="AH255" s="121"/>
      <c r="AI255" s="121"/>
      <c r="AJ255" s="121"/>
      <c r="AK255" s="121"/>
      <c r="AL255" s="121"/>
      <c r="AM255" s="121"/>
      <c r="AN255" s="121"/>
      <c r="AO255" s="121"/>
      <c r="AP255" s="121"/>
      <c r="AQ255" s="121"/>
      <c r="AR255" s="121"/>
      <c r="AS255" s="121"/>
      <c r="AT255" s="121"/>
      <c r="AU255" s="121"/>
      <c r="AV255" s="121"/>
      <c r="AW255" s="121"/>
      <c r="AX255" s="121"/>
      <c r="AY255" s="121"/>
      <c r="AZ255" s="121"/>
      <c r="BA255" s="121"/>
      <c r="BB255" s="121"/>
      <c r="BC255" s="121"/>
      <c r="BD255" s="121"/>
      <c r="BE255" s="121"/>
      <c r="BF255" s="121"/>
      <c r="BG255" s="121"/>
      <c r="BH255" s="121"/>
      <c r="BI255" s="121"/>
      <c r="BJ255" s="121"/>
      <c r="BK255" s="121"/>
      <c r="BL255" s="121"/>
      <c r="BM255" s="121"/>
      <c r="BN255" s="121"/>
      <c r="BO255" s="121"/>
      <c r="BP255" s="121"/>
      <c r="BQ255" s="121"/>
      <c r="BR255" s="121"/>
      <c r="BS255" s="121"/>
      <c r="BT255" s="121"/>
      <c r="BU255" s="121"/>
      <c r="BV255" s="121"/>
      <c r="BW255" s="121"/>
      <c r="BX255" s="121"/>
      <c r="BY255" s="121"/>
      <c r="BZ255" s="121"/>
      <c r="CA255" s="121"/>
      <c r="CB255" s="121"/>
      <c r="CC255" s="121"/>
      <c r="CD255" s="121"/>
      <c r="CE255" s="121"/>
      <c r="CF255" s="121"/>
      <c r="CG255" s="121"/>
      <c r="CH255" s="121"/>
      <c r="CI255" s="121"/>
      <c r="CJ255" s="121"/>
      <c r="CK255" s="121"/>
      <c r="CL255" s="121"/>
      <c r="CM255" s="121"/>
      <c r="CN255" s="121"/>
      <c r="CO255" s="121"/>
      <c r="CP255" s="121"/>
      <c r="CQ255" s="121"/>
      <c r="CR255" s="121"/>
      <c r="CS255" s="121"/>
      <c r="CT255" s="121"/>
      <c r="CU255" s="121"/>
      <c r="CV255" s="121"/>
      <c r="CW255" s="121"/>
      <c r="CX255" s="121"/>
      <c r="CY255" s="121"/>
      <c r="CZ255" s="121"/>
      <c r="DA255" s="121"/>
      <c r="DB255" s="121"/>
      <c r="DC255" s="121"/>
      <c r="DD255" s="121"/>
      <c r="DE255" s="121"/>
      <c r="DF255" s="121"/>
      <c r="DG255" s="121"/>
      <c r="DH255" s="121"/>
      <c r="DI255" s="121"/>
      <c r="DJ255" s="121"/>
      <c r="DK255" s="121"/>
      <c r="DL255" s="121"/>
      <c r="DM255" s="121"/>
      <c r="DN255" s="121"/>
      <c r="DO255" s="121"/>
      <c r="DP255" s="121"/>
      <c r="DQ255" s="121"/>
      <c r="DR255" s="121"/>
      <c r="DS255" s="121"/>
      <c r="DT255" s="121"/>
      <c r="DU255" s="121"/>
      <c r="DV255" s="121"/>
      <c r="DW255" s="121"/>
      <c r="DX255" s="121"/>
      <c r="DY255" s="121"/>
      <c r="DZ255" s="121"/>
      <c r="EA255" s="121"/>
      <c r="EB255" s="121"/>
      <c r="EC255" s="121"/>
      <c r="ED255" s="121"/>
      <c r="EE255" s="121"/>
      <c r="EF255" s="121"/>
      <c r="EG255" s="121"/>
      <c r="EH255" s="121"/>
      <c r="EI255" s="121"/>
      <c r="EJ255" s="121"/>
      <c r="EK255" s="121"/>
      <c r="EL255" s="121"/>
      <c r="EM255" s="121"/>
      <c r="EN255" s="121"/>
      <c r="EO255" s="121"/>
      <c r="EP255" s="121"/>
      <c r="EQ255" s="121"/>
      <c r="ER255" s="121"/>
      <c r="ES255" s="121"/>
      <c r="ET255" s="121"/>
      <c r="EU255" s="121"/>
      <c r="EV255" s="121"/>
      <c r="EW255" s="121"/>
      <c r="EX255" s="121"/>
      <c r="EY255" s="121"/>
      <c r="EZ255" s="121"/>
      <c r="FA255" s="121"/>
      <c r="FB255" s="121"/>
      <c r="FC255" s="121"/>
      <c r="FD255" s="121"/>
      <c r="FE255" s="121"/>
      <c r="FF255" s="121"/>
      <c r="FG255" s="121"/>
      <c r="FH255" s="121"/>
      <c r="FI255" s="121"/>
      <c r="FJ255" s="121"/>
      <c r="FK255" s="121"/>
      <c r="FL255" s="121"/>
      <c r="FM255" s="121"/>
      <c r="FN255" s="121"/>
      <c r="FO255" s="121"/>
      <c r="FP255" s="121"/>
      <c r="FQ255" s="121"/>
      <c r="FR255" s="121"/>
      <c r="FS255" s="121"/>
      <c r="FT255" s="121"/>
      <c r="FU255" s="121"/>
      <c r="FV255" s="121"/>
      <c r="FW255" s="121"/>
      <c r="FX255" s="121"/>
      <c r="FY255" s="121"/>
      <c r="FZ255" s="121"/>
      <c r="GA255" s="121"/>
      <c r="GB255" s="121"/>
      <c r="GC255" s="121"/>
      <c r="GD255" s="121"/>
      <c r="GE255" s="121"/>
      <c r="GF255" s="121"/>
      <c r="GG255" s="121"/>
      <c r="GH255" s="121"/>
    </row>
    <row r="256" spans="1:190">
      <c r="A256" s="121"/>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c r="AD256" s="121"/>
      <c r="AE256" s="121"/>
      <c r="AF256" s="121"/>
      <c r="AG256" s="121"/>
      <c r="AH256" s="121"/>
      <c r="AI256" s="121"/>
      <c r="AJ256" s="121"/>
      <c r="AK256" s="121"/>
      <c r="AL256" s="121"/>
      <c r="AM256" s="121"/>
      <c r="AN256" s="121"/>
      <c r="AO256" s="121"/>
      <c r="AP256" s="121"/>
      <c r="AQ256" s="121"/>
      <c r="AR256" s="121"/>
      <c r="AS256" s="121"/>
      <c r="AT256" s="121"/>
      <c r="AU256" s="121"/>
      <c r="AV256" s="121"/>
      <c r="AW256" s="121"/>
      <c r="AX256" s="121"/>
      <c r="AY256" s="121"/>
      <c r="AZ256" s="121"/>
      <c r="BA256" s="121"/>
      <c r="BB256" s="121"/>
      <c r="BC256" s="121"/>
      <c r="BD256" s="121"/>
      <c r="BE256" s="121"/>
      <c r="BF256" s="121"/>
      <c r="BG256" s="121"/>
      <c r="BH256" s="121"/>
      <c r="BI256" s="121"/>
      <c r="BJ256" s="121"/>
      <c r="BK256" s="121"/>
      <c r="BL256" s="121"/>
      <c r="BM256" s="121"/>
      <c r="BN256" s="121"/>
      <c r="BO256" s="121"/>
      <c r="BP256" s="121"/>
      <c r="BQ256" s="121"/>
      <c r="BR256" s="121"/>
      <c r="BS256" s="121"/>
      <c r="BT256" s="121"/>
      <c r="BU256" s="121"/>
      <c r="BV256" s="121"/>
      <c r="BW256" s="121"/>
      <c r="BX256" s="121"/>
      <c r="BY256" s="121"/>
      <c r="BZ256" s="121"/>
      <c r="CA256" s="121"/>
      <c r="CB256" s="121"/>
      <c r="CC256" s="121"/>
      <c r="CD256" s="121"/>
      <c r="CE256" s="121"/>
      <c r="CF256" s="121"/>
      <c r="CG256" s="121"/>
      <c r="CH256" s="121"/>
      <c r="CI256" s="121"/>
      <c r="CJ256" s="121"/>
      <c r="CK256" s="121"/>
      <c r="CL256" s="121"/>
      <c r="CM256" s="121"/>
      <c r="CN256" s="121"/>
      <c r="CO256" s="121"/>
      <c r="CP256" s="121"/>
      <c r="CQ256" s="121"/>
      <c r="CR256" s="121"/>
      <c r="CS256" s="121"/>
      <c r="CT256" s="121"/>
      <c r="CU256" s="121"/>
      <c r="CV256" s="121"/>
      <c r="CW256" s="121"/>
      <c r="CX256" s="121"/>
      <c r="CY256" s="121"/>
      <c r="CZ256" s="121"/>
      <c r="DA256" s="121"/>
      <c r="DB256" s="121"/>
      <c r="DC256" s="121"/>
      <c r="DD256" s="121"/>
      <c r="DE256" s="121"/>
      <c r="DF256" s="121"/>
      <c r="DG256" s="121"/>
      <c r="DH256" s="121"/>
      <c r="DI256" s="121"/>
      <c r="DJ256" s="121"/>
      <c r="DK256" s="121"/>
      <c r="DL256" s="121"/>
      <c r="DM256" s="121"/>
      <c r="DN256" s="121"/>
      <c r="DO256" s="121"/>
      <c r="DP256" s="121"/>
      <c r="DQ256" s="121"/>
      <c r="DR256" s="121"/>
      <c r="DS256" s="121"/>
      <c r="DT256" s="121"/>
      <c r="DU256" s="121"/>
      <c r="DV256" s="121"/>
      <c r="DW256" s="121"/>
      <c r="DX256" s="121"/>
      <c r="DY256" s="121"/>
      <c r="DZ256" s="121"/>
      <c r="EA256" s="121"/>
      <c r="EB256" s="121"/>
      <c r="EC256" s="121"/>
      <c r="ED256" s="121"/>
      <c r="EE256" s="121"/>
      <c r="EF256" s="121"/>
      <c r="EG256" s="121"/>
      <c r="EH256" s="121"/>
      <c r="EI256" s="121"/>
      <c r="EJ256" s="121"/>
      <c r="EK256" s="121"/>
      <c r="EL256" s="121"/>
      <c r="EM256" s="121"/>
      <c r="EN256" s="121"/>
      <c r="EO256" s="121"/>
      <c r="EP256" s="121"/>
      <c r="EQ256" s="121"/>
      <c r="ER256" s="121"/>
      <c r="ES256" s="121"/>
      <c r="ET256" s="121"/>
      <c r="EU256" s="121"/>
      <c r="EV256" s="121"/>
      <c r="EW256" s="121"/>
      <c r="EX256" s="121"/>
      <c r="EY256" s="121"/>
      <c r="EZ256" s="121"/>
      <c r="FA256" s="121"/>
      <c r="FB256" s="121"/>
      <c r="FC256" s="121"/>
      <c r="FD256" s="121"/>
      <c r="FE256" s="121"/>
      <c r="FF256" s="121"/>
      <c r="FG256" s="121"/>
      <c r="FH256" s="121"/>
      <c r="FI256" s="121"/>
      <c r="FJ256" s="121"/>
      <c r="FK256" s="121"/>
      <c r="FL256" s="121"/>
      <c r="FM256" s="121"/>
      <c r="FN256" s="121"/>
      <c r="FO256" s="121"/>
      <c r="FP256" s="121"/>
      <c r="FQ256" s="121"/>
      <c r="FR256" s="121"/>
      <c r="FS256" s="121"/>
      <c r="FT256" s="121"/>
      <c r="FU256" s="121"/>
      <c r="FV256" s="121"/>
      <c r="FW256" s="121"/>
      <c r="FX256" s="121"/>
      <c r="FY256" s="121"/>
      <c r="FZ256" s="121"/>
      <c r="GA256" s="121"/>
      <c r="GB256" s="121"/>
      <c r="GC256" s="121"/>
      <c r="GD256" s="121"/>
      <c r="GE256" s="121"/>
      <c r="GF256" s="121"/>
      <c r="GG256" s="121"/>
      <c r="GH256" s="121"/>
    </row>
    <row r="257" spans="1:190">
      <c r="A257" s="121"/>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c r="AD257" s="121"/>
      <c r="AE257" s="121"/>
      <c r="AF257" s="121"/>
      <c r="AG257" s="121"/>
      <c r="AH257" s="121"/>
      <c r="AI257" s="121"/>
      <c r="AJ257" s="121"/>
      <c r="AK257" s="121"/>
      <c r="AL257" s="121"/>
      <c r="AM257" s="121"/>
      <c r="AN257" s="121"/>
      <c r="AO257" s="121"/>
      <c r="AP257" s="121"/>
      <c r="AQ257" s="121"/>
      <c r="AR257" s="121"/>
      <c r="AS257" s="121"/>
      <c r="AT257" s="121"/>
      <c r="AU257" s="121"/>
      <c r="AV257" s="121"/>
      <c r="AW257" s="121"/>
      <c r="AX257" s="121"/>
      <c r="AY257" s="121"/>
      <c r="AZ257" s="121"/>
      <c r="BA257" s="121"/>
      <c r="BB257" s="121"/>
      <c r="BC257" s="121"/>
      <c r="BD257" s="121"/>
      <c r="BE257" s="121"/>
      <c r="BF257" s="121"/>
      <c r="BG257" s="121"/>
      <c r="BH257" s="121"/>
      <c r="BI257" s="121"/>
      <c r="BJ257" s="121"/>
      <c r="BK257" s="121"/>
      <c r="BL257" s="121"/>
      <c r="BM257" s="121"/>
      <c r="BN257" s="121"/>
      <c r="BO257" s="121"/>
      <c r="BP257" s="121"/>
      <c r="BQ257" s="121"/>
      <c r="BR257" s="121"/>
      <c r="BS257" s="121"/>
      <c r="BT257" s="121"/>
      <c r="BU257" s="121"/>
      <c r="BV257" s="121"/>
      <c r="BW257" s="121"/>
      <c r="BX257" s="121"/>
      <c r="BY257" s="121"/>
      <c r="BZ257" s="121"/>
      <c r="CA257" s="121"/>
      <c r="CB257" s="121"/>
      <c r="CC257" s="121"/>
      <c r="CD257" s="121"/>
      <c r="CE257" s="121"/>
      <c r="CF257" s="121"/>
      <c r="CG257" s="121"/>
      <c r="CH257" s="121"/>
      <c r="CI257" s="121"/>
      <c r="CJ257" s="121"/>
      <c r="CK257" s="121"/>
      <c r="CL257" s="121"/>
      <c r="CM257" s="121"/>
      <c r="CN257" s="121"/>
      <c r="CO257" s="121"/>
      <c r="CP257" s="121"/>
      <c r="CQ257" s="121"/>
      <c r="CR257" s="121"/>
      <c r="CS257" s="121"/>
      <c r="CT257" s="121"/>
      <c r="CU257" s="121"/>
      <c r="CV257" s="121"/>
      <c r="CW257" s="121"/>
      <c r="CX257" s="121"/>
      <c r="CY257" s="121"/>
      <c r="CZ257" s="121"/>
      <c r="DA257" s="121"/>
      <c r="DB257" s="121"/>
      <c r="DC257" s="121"/>
      <c r="DD257" s="121"/>
      <c r="DE257" s="121"/>
      <c r="DF257" s="121"/>
      <c r="DG257" s="121"/>
      <c r="DH257" s="121"/>
      <c r="DI257" s="121"/>
      <c r="DJ257" s="121"/>
      <c r="DK257" s="121"/>
      <c r="DL257" s="121"/>
      <c r="DM257" s="121"/>
      <c r="DN257" s="121"/>
      <c r="DO257" s="121"/>
      <c r="DP257" s="121"/>
      <c r="DQ257" s="121"/>
      <c r="DR257" s="121"/>
      <c r="DS257" s="121"/>
      <c r="DT257" s="121"/>
      <c r="DU257" s="121"/>
      <c r="DV257" s="121"/>
      <c r="DW257" s="121"/>
      <c r="DX257" s="121"/>
      <c r="DY257" s="121"/>
      <c r="DZ257" s="121"/>
      <c r="EA257" s="121"/>
      <c r="EB257" s="121"/>
      <c r="EC257" s="121"/>
      <c r="ED257" s="121"/>
      <c r="EE257" s="121"/>
      <c r="EF257" s="121"/>
      <c r="EG257" s="121"/>
      <c r="EH257" s="121"/>
      <c r="EI257" s="121"/>
      <c r="EJ257" s="121"/>
      <c r="EK257" s="121"/>
      <c r="EL257" s="121"/>
      <c r="EM257" s="121"/>
      <c r="EN257" s="121"/>
      <c r="EO257" s="121"/>
      <c r="EP257" s="121"/>
      <c r="EQ257" s="121"/>
      <c r="ER257" s="121"/>
      <c r="ES257" s="121"/>
      <c r="ET257" s="121"/>
      <c r="EU257" s="121"/>
      <c r="EV257" s="121"/>
      <c r="EW257" s="121"/>
      <c r="EX257" s="121"/>
      <c r="EY257" s="121"/>
      <c r="EZ257" s="121"/>
      <c r="FA257" s="121"/>
      <c r="FB257" s="121"/>
      <c r="FC257" s="121"/>
      <c r="FD257" s="121"/>
      <c r="FE257" s="121"/>
      <c r="FF257" s="121"/>
      <c r="FG257" s="121"/>
      <c r="FH257" s="121"/>
      <c r="FI257" s="121"/>
      <c r="FJ257" s="121"/>
      <c r="FK257" s="121"/>
      <c r="FL257" s="121"/>
      <c r="FM257" s="121"/>
      <c r="FN257" s="121"/>
      <c r="FO257" s="121"/>
      <c r="FP257" s="121"/>
      <c r="FQ257" s="121"/>
      <c r="FR257" s="121"/>
      <c r="FS257" s="121"/>
      <c r="FT257" s="121"/>
      <c r="FU257" s="121"/>
      <c r="FV257" s="121"/>
      <c r="FW257" s="121"/>
      <c r="FX257" s="121"/>
      <c r="FY257" s="121"/>
      <c r="FZ257" s="121"/>
      <c r="GA257" s="121"/>
      <c r="GB257" s="121"/>
      <c r="GC257" s="121"/>
      <c r="GD257" s="121"/>
      <c r="GE257" s="121"/>
      <c r="GF257" s="121"/>
      <c r="GG257" s="121"/>
      <c r="GH257" s="121"/>
    </row>
    <row r="258" spans="1:190">
      <c r="A258" s="121"/>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c r="AD258" s="121"/>
      <c r="AE258" s="121"/>
      <c r="AF258" s="121"/>
      <c r="AG258" s="121"/>
      <c r="AH258" s="121"/>
      <c r="AI258" s="121"/>
      <c r="AJ258" s="121"/>
      <c r="AK258" s="121"/>
      <c r="AL258" s="121"/>
      <c r="AM258" s="121"/>
      <c r="AN258" s="121"/>
      <c r="AO258" s="121"/>
      <c r="AP258" s="121"/>
      <c r="AQ258" s="121"/>
      <c r="AR258" s="121"/>
      <c r="AS258" s="121"/>
      <c r="AT258" s="121"/>
      <c r="AU258" s="121"/>
      <c r="AV258" s="121"/>
      <c r="AW258" s="121"/>
      <c r="AX258" s="121"/>
      <c r="AY258" s="121"/>
      <c r="AZ258" s="121"/>
      <c r="BA258" s="121"/>
      <c r="BB258" s="121"/>
      <c r="BC258" s="121"/>
      <c r="BD258" s="121"/>
      <c r="BE258" s="121"/>
      <c r="BF258" s="121"/>
      <c r="BG258" s="121"/>
      <c r="BH258" s="121"/>
      <c r="BI258" s="121"/>
      <c r="BJ258" s="121"/>
      <c r="BK258" s="121"/>
      <c r="BL258" s="121"/>
      <c r="BM258" s="121"/>
      <c r="BN258" s="121"/>
      <c r="BO258" s="121"/>
      <c r="BP258" s="121"/>
      <c r="BQ258" s="121"/>
      <c r="BR258" s="121"/>
      <c r="BS258" s="121"/>
      <c r="BT258" s="121"/>
      <c r="BU258" s="121"/>
      <c r="BV258" s="121"/>
      <c r="BW258" s="121"/>
      <c r="BX258" s="121"/>
      <c r="BY258" s="121"/>
      <c r="BZ258" s="121"/>
      <c r="CA258" s="121"/>
      <c r="CB258" s="121"/>
      <c r="CC258" s="121"/>
      <c r="CD258" s="121"/>
      <c r="CE258" s="121"/>
      <c r="CF258" s="121"/>
      <c r="CG258" s="121"/>
      <c r="CH258" s="121"/>
      <c r="CI258" s="121"/>
      <c r="CJ258" s="121"/>
      <c r="CK258" s="121"/>
      <c r="CL258" s="121"/>
      <c r="CM258" s="121"/>
      <c r="CN258" s="121"/>
      <c r="CO258" s="121"/>
      <c r="CP258" s="121"/>
      <c r="CQ258" s="121"/>
      <c r="CR258" s="121"/>
      <c r="CS258" s="121"/>
      <c r="CT258" s="121"/>
      <c r="CU258" s="121"/>
      <c r="CV258" s="121"/>
      <c r="CW258" s="121"/>
      <c r="CX258" s="121"/>
      <c r="CY258" s="121"/>
      <c r="CZ258" s="121"/>
      <c r="DA258" s="121"/>
      <c r="DB258" s="121"/>
      <c r="DC258" s="121"/>
      <c r="DD258" s="121"/>
      <c r="DE258" s="121"/>
      <c r="DF258" s="121"/>
      <c r="DG258" s="121"/>
      <c r="DH258" s="121"/>
      <c r="DI258" s="121"/>
      <c r="DJ258" s="121"/>
      <c r="DK258" s="121"/>
      <c r="DL258" s="121"/>
      <c r="DM258" s="121"/>
      <c r="DN258" s="121"/>
      <c r="DO258" s="121"/>
      <c r="DP258" s="121"/>
      <c r="DQ258" s="121"/>
      <c r="DR258" s="121"/>
      <c r="DS258" s="121"/>
      <c r="DT258" s="121"/>
      <c r="DU258" s="121"/>
      <c r="DV258" s="121"/>
      <c r="DW258" s="121"/>
      <c r="DX258" s="121"/>
      <c r="DY258" s="121"/>
      <c r="DZ258" s="121"/>
      <c r="EA258" s="121"/>
      <c r="EB258" s="121"/>
      <c r="EC258" s="121"/>
      <c r="ED258" s="121"/>
      <c r="EE258" s="121"/>
      <c r="EF258" s="121"/>
      <c r="EG258" s="121"/>
      <c r="EH258" s="121"/>
      <c r="EI258" s="121"/>
      <c r="EJ258" s="121"/>
      <c r="EK258" s="121"/>
      <c r="EL258" s="121"/>
      <c r="EM258" s="121"/>
      <c r="EN258" s="121"/>
      <c r="EO258" s="121"/>
      <c r="EP258" s="121"/>
      <c r="EQ258" s="121"/>
      <c r="ER258" s="121"/>
      <c r="ES258" s="121"/>
      <c r="ET258" s="121"/>
      <c r="EU258" s="121"/>
      <c r="EV258" s="121"/>
      <c r="EW258" s="121"/>
      <c r="EX258" s="121"/>
      <c r="EY258" s="121"/>
      <c r="EZ258" s="121"/>
      <c r="FA258" s="121"/>
      <c r="FB258" s="121"/>
      <c r="FC258" s="121"/>
      <c r="FD258" s="121"/>
      <c r="FE258" s="121"/>
      <c r="FF258" s="121"/>
      <c r="FG258" s="121"/>
      <c r="FH258" s="121"/>
      <c r="FI258" s="121"/>
      <c r="FJ258" s="121"/>
      <c r="FK258" s="121"/>
      <c r="FL258" s="121"/>
      <c r="FM258" s="121"/>
      <c r="FN258" s="121"/>
      <c r="FO258" s="121"/>
      <c r="FP258" s="121"/>
      <c r="FQ258" s="121"/>
      <c r="FR258" s="121"/>
      <c r="FS258" s="121"/>
      <c r="FT258" s="121"/>
      <c r="FU258" s="121"/>
      <c r="FV258" s="121"/>
      <c r="FW258" s="121"/>
      <c r="FX258" s="121"/>
      <c r="FY258" s="121"/>
      <c r="FZ258" s="121"/>
      <c r="GA258" s="121"/>
      <c r="GB258" s="121"/>
      <c r="GC258" s="121"/>
      <c r="GD258" s="121"/>
      <c r="GE258" s="121"/>
      <c r="GF258" s="121"/>
      <c r="GG258" s="121"/>
      <c r="GH258" s="121"/>
    </row>
    <row r="259" spans="1:190">
      <c r="A259" s="121"/>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c r="AD259" s="121"/>
      <c r="AE259" s="121"/>
      <c r="AF259" s="121"/>
      <c r="AG259" s="121"/>
      <c r="AH259" s="121"/>
      <c r="AI259" s="121"/>
      <c r="AJ259" s="121"/>
      <c r="AK259" s="121"/>
      <c r="AL259" s="121"/>
      <c r="AM259" s="121"/>
      <c r="AN259" s="121"/>
      <c r="AO259" s="121"/>
      <c r="AP259" s="121"/>
      <c r="AQ259" s="121"/>
      <c r="AR259" s="121"/>
      <c r="AS259" s="121"/>
      <c r="AT259" s="121"/>
      <c r="AU259" s="121"/>
      <c r="AV259" s="121"/>
      <c r="AW259" s="121"/>
      <c r="AX259" s="121"/>
      <c r="AY259" s="121"/>
      <c r="AZ259" s="121"/>
      <c r="BA259" s="121"/>
      <c r="BB259" s="121"/>
      <c r="BC259" s="121"/>
      <c r="BD259" s="121"/>
      <c r="BE259" s="121"/>
      <c r="BF259" s="121"/>
      <c r="BG259" s="121"/>
      <c r="BH259" s="121"/>
      <c r="BI259" s="121"/>
      <c r="BJ259" s="121"/>
      <c r="BK259" s="121"/>
      <c r="BL259" s="121"/>
      <c r="BM259" s="121"/>
      <c r="BN259" s="121"/>
      <c r="BO259" s="121"/>
      <c r="BP259" s="121"/>
      <c r="BQ259" s="121"/>
      <c r="BR259" s="121"/>
      <c r="BS259" s="121"/>
      <c r="BT259" s="121"/>
      <c r="BU259" s="121"/>
      <c r="BV259" s="121"/>
      <c r="BW259" s="121"/>
      <c r="BX259" s="121"/>
      <c r="BY259" s="121"/>
      <c r="BZ259" s="121"/>
      <c r="CA259" s="121"/>
      <c r="CB259" s="121"/>
      <c r="CC259" s="121"/>
      <c r="CD259" s="121"/>
      <c r="CE259" s="121"/>
      <c r="CF259" s="121"/>
      <c r="CG259" s="121"/>
      <c r="CH259" s="121"/>
      <c r="CI259" s="121"/>
      <c r="CJ259" s="121"/>
      <c r="CK259" s="121"/>
      <c r="CL259" s="121"/>
      <c r="CM259" s="121"/>
      <c r="CN259" s="121"/>
      <c r="CO259" s="121"/>
      <c r="CP259" s="121"/>
      <c r="CQ259" s="121"/>
      <c r="CR259" s="121"/>
      <c r="CS259" s="121"/>
      <c r="CT259" s="121"/>
      <c r="CU259" s="121"/>
      <c r="CV259" s="121"/>
      <c r="CW259" s="121"/>
      <c r="CX259" s="121"/>
      <c r="CY259" s="121"/>
      <c r="CZ259" s="121"/>
      <c r="DA259" s="121"/>
      <c r="DB259" s="121"/>
      <c r="DC259" s="121"/>
      <c r="DD259" s="121"/>
      <c r="DE259" s="121"/>
      <c r="DF259" s="121"/>
      <c r="DG259" s="121"/>
      <c r="DH259" s="121"/>
      <c r="DI259" s="121"/>
      <c r="DJ259" s="121"/>
      <c r="DK259" s="121"/>
      <c r="DL259" s="121"/>
      <c r="DM259" s="121"/>
      <c r="DN259" s="121"/>
      <c r="DO259" s="121"/>
      <c r="DP259" s="121"/>
      <c r="DQ259" s="121"/>
      <c r="DR259" s="121"/>
      <c r="DS259" s="121"/>
      <c r="DT259" s="121"/>
      <c r="DU259" s="121"/>
      <c r="DV259" s="121"/>
      <c r="DW259" s="121"/>
      <c r="DX259" s="121"/>
      <c r="DY259" s="121"/>
      <c r="DZ259" s="121"/>
      <c r="EA259" s="121"/>
      <c r="EB259" s="121"/>
      <c r="EC259" s="121"/>
      <c r="ED259" s="121"/>
      <c r="EE259" s="121"/>
      <c r="EF259" s="121"/>
      <c r="EG259" s="121"/>
      <c r="EH259" s="121"/>
      <c r="EI259" s="121"/>
      <c r="EJ259" s="121"/>
      <c r="EK259" s="121"/>
      <c r="EL259" s="121"/>
      <c r="EM259" s="121"/>
      <c r="EN259" s="121"/>
      <c r="EO259" s="121"/>
      <c r="EP259" s="121"/>
      <c r="EQ259" s="121"/>
      <c r="ER259" s="121"/>
      <c r="ES259" s="121"/>
      <c r="ET259" s="121"/>
      <c r="EU259" s="121"/>
      <c r="EV259" s="121"/>
      <c r="EW259" s="121"/>
      <c r="EX259" s="121"/>
      <c r="EY259" s="121"/>
      <c r="EZ259" s="121"/>
      <c r="FA259" s="121"/>
      <c r="FB259" s="121"/>
      <c r="FC259" s="121"/>
      <c r="FD259" s="121"/>
      <c r="FE259" s="121"/>
      <c r="FF259" s="121"/>
      <c r="FG259" s="121"/>
      <c r="FH259" s="121"/>
      <c r="FI259" s="121"/>
      <c r="FJ259" s="121"/>
      <c r="FK259" s="121"/>
      <c r="FL259" s="121"/>
      <c r="FM259" s="121"/>
      <c r="FN259" s="121"/>
      <c r="FO259" s="121"/>
      <c r="FP259" s="121"/>
      <c r="FQ259" s="121"/>
      <c r="FR259" s="121"/>
      <c r="FS259" s="121"/>
      <c r="FT259" s="121"/>
      <c r="FU259" s="121"/>
      <c r="FV259" s="121"/>
      <c r="FW259" s="121"/>
      <c r="FX259" s="121"/>
      <c r="FY259" s="121"/>
      <c r="FZ259" s="121"/>
      <c r="GA259" s="121"/>
      <c r="GB259" s="121"/>
      <c r="GC259" s="121"/>
      <c r="GD259" s="121"/>
      <c r="GE259" s="121"/>
      <c r="GF259" s="121"/>
      <c r="GG259" s="121"/>
      <c r="GH259" s="121"/>
    </row>
    <row r="260" spans="1:190">
      <c r="A260" s="121"/>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c r="AD260" s="121"/>
      <c r="AE260" s="121"/>
      <c r="AF260" s="121"/>
      <c r="AG260" s="121"/>
      <c r="AH260" s="121"/>
      <c r="AI260" s="121"/>
      <c r="AJ260" s="121"/>
      <c r="AK260" s="121"/>
      <c r="AL260" s="121"/>
      <c r="AM260" s="121"/>
      <c r="AN260" s="121"/>
      <c r="AO260" s="121"/>
      <c r="AP260" s="121"/>
      <c r="AQ260" s="121"/>
      <c r="AR260" s="121"/>
      <c r="AS260" s="121"/>
      <c r="AT260" s="121"/>
      <c r="AU260" s="121"/>
      <c r="AV260" s="121"/>
      <c r="AW260" s="121"/>
      <c r="AX260" s="121"/>
      <c r="AY260" s="121"/>
      <c r="AZ260" s="121"/>
      <c r="BA260" s="121"/>
      <c r="BB260" s="121"/>
      <c r="BC260" s="121"/>
      <c r="BD260" s="121"/>
      <c r="BE260" s="121"/>
      <c r="BF260" s="121"/>
      <c r="BG260" s="121"/>
      <c r="BH260" s="121"/>
      <c r="BI260" s="121"/>
      <c r="BJ260" s="121"/>
      <c r="BK260" s="121"/>
      <c r="BL260" s="121"/>
      <c r="BM260" s="121"/>
      <c r="BN260" s="121"/>
      <c r="BO260" s="121"/>
      <c r="BP260" s="121"/>
      <c r="BQ260" s="121"/>
      <c r="BR260" s="121"/>
      <c r="BS260" s="121"/>
      <c r="BT260" s="121"/>
      <c r="BU260" s="121"/>
      <c r="BV260" s="121"/>
      <c r="BW260" s="121"/>
      <c r="BX260" s="121"/>
      <c r="BY260" s="121"/>
      <c r="BZ260" s="121"/>
      <c r="CA260" s="121"/>
      <c r="CB260" s="121"/>
      <c r="CC260" s="121"/>
      <c r="CD260" s="121"/>
      <c r="CE260" s="121"/>
      <c r="CF260" s="121"/>
      <c r="CG260" s="121"/>
      <c r="CH260" s="121"/>
      <c r="CI260" s="121"/>
      <c r="CJ260" s="121"/>
      <c r="CK260" s="121"/>
      <c r="CL260" s="121"/>
      <c r="CM260" s="121"/>
      <c r="CN260" s="121"/>
      <c r="CO260" s="121"/>
      <c r="CP260" s="121"/>
      <c r="CQ260" s="121"/>
      <c r="CR260" s="121"/>
      <c r="CS260" s="121"/>
      <c r="CT260" s="121"/>
      <c r="CU260" s="121"/>
      <c r="CV260" s="121"/>
      <c r="CW260" s="121"/>
      <c r="CX260" s="121"/>
      <c r="CY260" s="121"/>
      <c r="CZ260" s="121"/>
      <c r="DA260" s="121"/>
      <c r="DB260" s="121"/>
      <c r="DC260" s="121"/>
      <c r="DD260" s="121"/>
      <c r="DE260" s="121"/>
      <c r="DF260" s="121"/>
      <c r="DG260" s="121"/>
      <c r="DH260" s="121"/>
      <c r="DI260" s="121"/>
      <c r="DJ260" s="121"/>
      <c r="DK260" s="121"/>
      <c r="DL260" s="121"/>
      <c r="DM260" s="121"/>
      <c r="DN260" s="121"/>
      <c r="DO260" s="121"/>
      <c r="DP260" s="121"/>
      <c r="DQ260" s="121"/>
      <c r="DR260" s="121"/>
      <c r="DS260" s="121"/>
      <c r="DT260" s="121"/>
      <c r="DU260" s="121"/>
      <c r="DV260" s="121"/>
      <c r="DW260" s="121"/>
      <c r="DX260" s="121"/>
      <c r="DY260" s="121"/>
      <c r="DZ260" s="121"/>
      <c r="EA260" s="121"/>
      <c r="EB260" s="121"/>
      <c r="EC260" s="121"/>
      <c r="ED260" s="121"/>
      <c r="EE260" s="121"/>
      <c r="EF260" s="121"/>
      <c r="EG260" s="121"/>
      <c r="EH260" s="121"/>
      <c r="EI260" s="121"/>
      <c r="EJ260" s="121"/>
      <c r="EK260" s="121"/>
      <c r="EL260" s="121"/>
      <c r="EM260" s="121"/>
      <c r="EN260" s="121"/>
      <c r="EO260" s="121"/>
      <c r="EP260" s="121"/>
      <c r="EQ260" s="121"/>
      <c r="ER260" s="121"/>
      <c r="ES260" s="121"/>
      <c r="ET260" s="121"/>
      <c r="EU260" s="121"/>
      <c r="EV260" s="121"/>
      <c r="EW260" s="121"/>
      <c r="EX260" s="121"/>
      <c r="EY260" s="121"/>
      <c r="EZ260" s="121"/>
      <c r="FA260" s="121"/>
      <c r="FB260" s="121"/>
      <c r="FC260" s="121"/>
      <c r="FD260" s="121"/>
      <c r="FE260" s="121"/>
      <c r="FF260" s="121"/>
      <c r="FG260" s="121"/>
      <c r="FH260" s="121"/>
      <c r="FI260" s="121"/>
      <c r="FJ260" s="121"/>
      <c r="FK260" s="121"/>
      <c r="FL260" s="121"/>
      <c r="FM260" s="121"/>
      <c r="FN260" s="121"/>
      <c r="FO260" s="121"/>
      <c r="FP260" s="121"/>
      <c r="FQ260" s="121"/>
      <c r="FR260" s="121"/>
      <c r="FS260" s="121"/>
      <c r="FT260" s="121"/>
      <c r="FU260" s="121"/>
      <c r="FV260" s="121"/>
      <c r="FW260" s="121"/>
      <c r="FX260" s="121"/>
      <c r="FY260" s="121"/>
      <c r="FZ260" s="121"/>
      <c r="GA260" s="121"/>
      <c r="GB260" s="121"/>
      <c r="GC260" s="121"/>
      <c r="GD260" s="121"/>
      <c r="GE260" s="121"/>
      <c r="GF260" s="121"/>
      <c r="GG260" s="121"/>
      <c r="GH260" s="121"/>
    </row>
    <row r="261" spans="1:190">
      <c r="A261" s="121"/>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c r="AD261" s="121"/>
      <c r="AE261" s="121"/>
      <c r="AF261" s="121"/>
      <c r="AG261" s="121"/>
      <c r="AH261" s="121"/>
      <c r="AI261" s="121"/>
      <c r="AJ261" s="121"/>
      <c r="AK261" s="121"/>
      <c r="AL261" s="121"/>
      <c r="AM261" s="121"/>
      <c r="AN261" s="121"/>
      <c r="AO261" s="121"/>
      <c r="AP261" s="121"/>
      <c r="AQ261" s="121"/>
      <c r="AR261" s="121"/>
      <c r="AS261" s="121"/>
      <c r="AT261" s="121"/>
      <c r="AU261" s="121"/>
      <c r="AV261" s="121"/>
      <c r="AW261" s="121"/>
      <c r="AX261" s="121"/>
      <c r="AY261" s="121"/>
      <c r="AZ261" s="121"/>
      <c r="BA261" s="121"/>
      <c r="BB261" s="121"/>
      <c r="BC261" s="121"/>
      <c r="BD261" s="121"/>
      <c r="BE261" s="121"/>
      <c r="BF261" s="121"/>
      <c r="BG261" s="121"/>
      <c r="BH261" s="121"/>
      <c r="BI261" s="121"/>
      <c r="BJ261" s="121"/>
      <c r="BK261" s="121"/>
      <c r="BL261" s="121"/>
      <c r="BM261" s="121"/>
      <c r="BN261" s="121"/>
      <c r="BO261" s="121"/>
      <c r="BP261" s="121"/>
      <c r="BQ261" s="121"/>
      <c r="BR261" s="121"/>
      <c r="BS261" s="121"/>
      <c r="BT261" s="121"/>
      <c r="BU261" s="121"/>
      <c r="BV261" s="121"/>
      <c r="BW261" s="121"/>
      <c r="BX261" s="121"/>
      <c r="BY261" s="121"/>
      <c r="BZ261" s="121"/>
      <c r="CA261" s="121"/>
      <c r="CB261" s="121"/>
      <c r="CC261" s="121"/>
      <c r="CD261" s="121"/>
      <c r="CE261" s="121"/>
      <c r="CF261" s="121"/>
      <c r="CG261" s="121"/>
      <c r="CH261" s="121"/>
      <c r="CI261" s="121"/>
      <c r="CJ261" s="121"/>
      <c r="CK261" s="121"/>
      <c r="CL261" s="121"/>
      <c r="CM261" s="121"/>
      <c r="CN261" s="121"/>
      <c r="CO261" s="121"/>
      <c r="CP261" s="121"/>
      <c r="CQ261" s="121"/>
      <c r="CR261" s="121"/>
      <c r="CS261" s="121"/>
      <c r="CT261" s="121"/>
      <c r="CU261" s="121"/>
      <c r="CV261" s="121"/>
      <c r="CW261" s="121"/>
      <c r="CX261" s="121"/>
      <c r="CY261" s="121"/>
      <c r="CZ261" s="121"/>
      <c r="DA261" s="121"/>
      <c r="DB261" s="121"/>
      <c r="DC261" s="121"/>
      <c r="DD261" s="121"/>
      <c r="DE261" s="121"/>
      <c r="DF261" s="121"/>
      <c r="DG261" s="121"/>
      <c r="DH261" s="121"/>
      <c r="DI261" s="121"/>
      <c r="DJ261" s="121"/>
      <c r="DK261" s="121"/>
      <c r="DL261" s="121"/>
      <c r="DM261" s="121"/>
      <c r="DN261" s="121"/>
      <c r="DO261" s="121"/>
      <c r="DP261" s="121"/>
      <c r="DQ261" s="121"/>
      <c r="DR261" s="121"/>
      <c r="DS261" s="121"/>
      <c r="DT261" s="121"/>
      <c r="DU261" s="121"/>
      <c r="DV261" s="121"/>
      <c r="DW261" s="121"/>
      <c r="DX261" s="121"/>
      <c r="DY261" s="121"/>
      <c r="DZ261" s="121"/>
      <c r="EA261" s="121"/>
      <c r="EB261" s="121"/>
      <c r="EC261" s="121"/>
      <c r="ED261" s="121"/>
      <c r="EE261" s="121"/>
      <c r="EF261" s="121"/>
      <c r="EG261" s="121"/>
      <c r="EH261" s="121"/>
      <c r="EI261" s="121"/>
      <c r="EJ261" s="121"/>
      <c r="EK261" s="121"/>
      <c r="EL261" s="121"/>
      <c r="EM261" s="121"/>
      <c r="EN261" s="121"/>
      <c r="EO261" s="121"/>
      <c r="EP261" s="121"/>
      <c r="EQ261" s="121"/>
      <c r="ER261" s="121"/>
      <c r="ES261" s="121"/>
      <c r="ET261" s="121"/>
      <c r="EU261" s="121"/>
      <c r="EV261" s="121"/>
      <c r="EW261" s="121"/>
      <c r="EX261" s="121"/>
      <c r="EY261" s="121"/>
      <c r="EZ261" s="121"/>
      <c r="FA261" s="121"/>
      <c r="FB261" s="121"/>
      <c r="FC261" s="121"/>
      <c r="FD261" s="121"/>
      <c r="FE261" s="121"/>
      <c r="FF261" s="121"/>
      <c r="FG261" s="121"/>
      <c r="FH261" s="121"/>
      <c r="FI261" s="121"/>
      <c r="FJ261" s="121"/>
      <c r="FK261" s="121"/>
      <c r="FL261" s="121"/>
      <c r="FM261" s="121"/>
      <c r="FN261" s="121"/>
      <c r="FO261" s="121"/>
      <c r="FP261" s="121"/>
      <c r="FQ261" s="121"/>
      <c r="FR261" s="121"/>
      <c r="FS261" s="121"/>
      <c r="FT261" s="121"/>
      <c r="FU261" s="121"/>
      <c r="FV261" s="121"/>
      <c r="FW261" s="121"/>
      <c r="FX261" s="121"/>
      <c r="FY261" s="121"/>
      <c r="FZ261" s="121"/>
      <c r="GA261" s="121"/>
      <c r="GB261" s="121"/>
      <c r="GC261" s="121"/>
      <c r="GD261" s="121"/>
      <c r="GE261" s="121"/>
      <c r="GF261" s="121"/>
      <c r="GG261" s="121"/>
      <c r="GH261" s="121"/>
    </row>
    <row r="262" spans="1:190">
      <c r="A262" s="121"/>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c r="AD262" s="121"/>
      <c r="AE262" s="121"/>
      <c r="AF262" s="121"/>
      <c r="AG262" s="121"/>
      <c r="AH262" s="121"/>
      <c r="AI262" s="121"/>
      <c r="AJ262" s="121"/>
      <c r="AK262" s="121"/>
      <c r="AL262" s="121"/>
      <c r="AM262" s="121"/>
      <c r="AN262" s="121"/>
      <c r="AO262" s="121"/>
      <c r="AP262" s="121"/>
      <c r="AQ262" s="121"/>
      <c r="AR262" s="121"/>
      <c r="AS262" s="121"/>
      <c r="AT262" s="121"/>
      <c r="AU262" s="121"/>
      <c r="AV262" s="121"/>
      <c r="AW262" s="121"/>
      <c r="AX262" s="121"/>
      <c r="AY262" s="121"/>
      <c r="AZ262" s="121"/>
      <c r="BA262" s="121"/>
      <c r="BB262" s="121"/>
      <c r="BC262" s="121"/>
      <c r="BD262" s="121"/>
      <c r="BE262" s="121"/>
      <c r="BF262" s="121"/>
      <c r="BG262" s="121"/>
      <c r="BH262" s="121"/>
      <c r="BI262" s="121"/>
      <c r="BJ262" s="121"/>
      <c r="BK262" s="121"/>
      <c r="BL262" s="121"/>
      <c r="BM262" s="121"/>
      <c r="BN262" s="121"/>
      <c r="BO262" s="121"/>
      <c r="BP262" s="121"/>
      <c r="BQ262" s="121"/>
      <c r="BR262" s="121"/>
      <c r="BS262" s="121"/>
      <c r="BT262" s="121"/>
      <c r="BU262" s="121"/>
      <c r="BV262" s="121"/>
      <c r="BW262" s="121"/>
      <c r="BX262" s="121"/>
      <c r="BY262" s="121"/>
      <c r="BZ262" s="121"/>
      <c r="CA262" s="121"/>
      <c r="CB262" s="121"/>
      <c r="CC262" s="121"/>
      <c r="CD262" s="121"/>
      <c r="CE262" s="121"/>
      <c r="CF262" s="121"/>
      <c r="CG262" s="121"/>
      <c r="CH262" s="121"/>
      <c r="CI262" s="121"/>
      <c r="CJ262" s="121"/>
      <c r="CK262" s="121"/>
      <c r="CL262" s="121"/>
      <c r="CM262" s="121"/>
      <c r="CN262" s="121"/>
      <c r="CO262" s="121"/>
      <c r="CP262" s="121"/>
      <c r="CQ262" s="121"/>
      <c r="CR262" s="121"/>
      <c r="CS262" s="121"/>
      <c r="CT262" s="121"/>
      <c r="CU262" s="121"/>
      <c r="CV262" s="121"/>
      <c r="CW262" s="121"/>
      <c r="CX262" s="121"/>
      <c r="CY262" s="121"/>
      <c r="CZ262" s="121"/>
      <c r="DA262" s="121"/>
      <c r="DB262" s="121"/>
      <c r="DC262" s="121"/>
      <c r="DD262" s="121"/>
      <c r="DE262" s="121"/>
      <c r="DF262" s="121"/>
      <c r="DG262" s="121"/>
      <c r="DH262" s="121"/>
      <c r="DI262" s="121"/>
      <c r="DJ262" s="121"/>
      <c r="DK262" s="121"/>
      <c r="DL262" s="121"/>
      <c r="DM262" s="121"/>
      <c r="DN262" s="121"/>
      <c r="DO262" s="121"/>
      <c r="DP262" s="121"/>
      <c r="DQ262" s="121"/>
      <c r="DR262" s="121"/>
      <c r="DS262" s="121"/>
      <c r="DT262" s="121"/>
      <c r="DU262" s="121"/>
      <c r="DV262" s="121"/>
      <c r="DW262" s="121"/>
      <c r="DX262" s="121"/>
      <c r="DY262" s="121"/>
      <c r="DZ262" s="121"/>
      <c r="EA262" s="121"/>
      <c r="EB262" s="121"/>
      <c r="EC262" s="121"/>
      <c r="ED262" s="121"/>
      <c r="EE262" s="121"/>
      <c r="EF262" s="121"/>
      <c r="EG262" s="121"/>
      <c r="EH262" s="121"/>
      <c r="EI262" s="121"/>
      <c r="EJ262" s="121"/>
      <c r="EK262" s="121"/>
      <c r="EL262" s="121"/>
      <c r="EM262" s="121"/>
      <c r="EN262" s="121"/>
      <c r="EO262" s="121"/>
      <c r="EP262" s="121"/>
      <c r="EQ262" s="121"/>
      <c r="ER262" s="121"/>
      <c r="ES262" s="121"/>
      <c r="ET262" s="121"/>
      <c r="EU262" s="121"/>
      <c r="EV262" s="121"/>
      <c r="EW262" s="121"/>
      <c r="EX262" s="121"/>
      <c r="EY262" s="121"/>
      <c r="EZ262" s="121"/>
      <c r="FA262" s="121"/>
      <c r="FB262" s="121"/>
      <c r="FC262" s="121"/>
      <c r="FD262" s="121"/>
      <c r="FE262" s="121"/>
      <c r="FF262" s="121"/>
      <c r="FG262" s="121"/>
      <c r="FH262" s="121"/>
      <c r="FI262" s="121"/>
      <c r="FJ262" s="121"/>
      <c r="FK262" s="121"/>
      <c r="FL262" s="121"/>
      <c r="FM262" s="121"/>
      <c r="FN262" s="121"/>
      <c r="FO262" s="121"/>
      <c r="FP262" s="121"/>
      <c r="FQ262" s="121"/>
      <c r="FR262" s="121"/>
      <c r="FS262" s="121"/>
      <c r="FT262" s="121"/>
      <c r="FU262" s="121"/>
      <c r="FV262" s="121"/>
      <c r="FW262" s="121"/>
      <c r="FX262" s="121"/>
      <c r="FY262" s="121"/>
      <c r="FZ262" s="121"/>
      <c r="GA262" s="121"/>
      <c r="GB262" s="121"/>
      <c r="GC262" s="121"/>
      <c r="GD262" s="121"/>
      <c r="GE262" s="121"/>
      <c r="GF262" s="121"/>
      <c r="GG262" s="121"/>
      <c r="GH262" s="121"/>
    </row>
    <row r="263" spans="1:190">
      <c r="A263" s="121"/>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c r="AB263" s="121"/>
      <c r="AC263" s="121"/>
      <c r="AD263" s="121"/>
      <c r="AE263" s="121"/>
      <c r="AF263" s="121"/>
      <c r="AG263" s="121"/>
      <c r="AH263" s="121"/>
      <c r="AI263" s="121"/>
      <c r="AJ263" s="121"/>
      <c r="AK263" s="121"/>
      <c r="AL263" s="121"/>
      <c r="AM263" s="121"/>
      <c r="AN263" s="121"/>
      <c r="AO263" s="121"/>
      <c r="AP263" s="121"/>
      <c r="AQ263" s="121"/>
      <c r="AR263" s="121"/>
      <c r="AS263" s="121"/>
      <c r="AT263" s="121"/>
      <c r="AU263" s="121"/>
      <c r="AV263" s="121"/>
      <c r="AW263" s="121"/>
      <c r="AX263" s="121"/>
      <c r="AY263" s="121"/>
      <c r="AZ263" s="121"/>
      <c r="BA263" s="121"/>
      <c r="BB263" s="121"/>
      <c r="BC263" s="121"/>
      <c r="BD263" s="121"/>
      <c r="BE263" s="121"/>
      <c r="BF263" s="121"/>
      <c r="BG263" s="121"/>
      <c r="BH263" s="121"/>
      <c r="BI263" s="121"/>
      <c r="BJ263" s="121"/>
      <c r="BK263" s="121"/>
      <c r="BL263" s="121"/>
      <c r="BM263" s="121"/>
      <c r="BN263" s="121"/>
      <c r="BO263" s="121"/>
      <c r="BP263" s="121"/>
      <c r="BQ263" s="121"/>
      <c r="BR263" s="121"/>
      <c r="BS263" s="121"/>
      <c r="BT263" s="121"/>
      <c r="BU263" s="121"/>
      <c r="BV263" s="121"/>
      <c r="BW263" s="121"/>
      <c r="BX263" s="121"/>
      <c r="BY263" s="121"/>
      <c r="BZ263" s="121"/>
      <c r="CA263" s="121"/>
      <c r="CB263" s="121"/>
      <c r="CC263" s="121"/>
      <c r="CD263" s="121"/>
      <c r="CE263" s="121"/>
      <c r="CF263" s="121"/>
      <c r="CG263" s="121"/>
      <c r="CH263" s="121"/>
      <c r="CI263" s="121"/>
      <c r="CJ263" s="121"/>
      <c r="CK263" s="121"/>
      <c r="CL263" s="121"/>
      <c r="CM263" s="121"/>
      <c r="CN263" s="121"/>
      <c r="CO263" s="121"/>
      <c r="CP263" s="121"/>
      <c r="CQ263" s="121"/>
      <c r="CR263" s="121"/>
      <c r="CS263" s="121"/>
      <c r="CT263" s="121"/>
      <c r="CU263" s="121"/>
      <c r="CV263" s="121"/>
      <c r="CW263" s="121"/>
      <c r="CX263" s="121"/>
      <c r="CY263" s="121"/>
      <c r="CZ263" s="121"/>
      <c r="DA263" s="121"/>
      <c r="DB263" s="121"/>
      <c r="DC263" s="121"/>
      <c r="DD263" s="121"/>
      <c r="DE263" s="121"/>
      <c r="DF263" s="121"/>
      <c r="DG263" s="121"/>
      <c r="DH263" s="121"/>
      <c r="DI263" s="121"/>
      <c r="DJ263" s="121"/>
      <c r="DK263" s="121"/>
      <c r="DL263" s="121"/>
      <c r="DM263" s="121"/>
      <c r="DN263" s="121"/>
      <c r="DO263" s="121"/>
      <c r="DP263" s="121"/>
      <c r="DQ263" s="121"/>
      <c r="DR263" s="121"/>
      <c r="DS263" s="121"/>
      <c r="DT263" s="121"/>
      <c r="DU263" s="121"/>
      <c r="DV263" s="121"/>
      <c r="DW263" s="121"/>
      <c r="DX263" s="121"/>
      <c r="DY263" s="121"/>
      <c r="DZ263" s="121"/>
      <c r="EA263" s="121"/>
      <c r="EB263" s="121"/>
      <c r="EC263" s="121"/>
      <c r="ED263" s="121"/>
      <c r="EE263" s="121"/>
      <c r="EF263" s="121"/>
      <c r="EG263" s="121"/>
      <c r="EH263" s="121"/>
      <c r="EI263" s="121"/>
      <c r="EJ263" s="121"/>
      <c r="EK263" s="121"/>
      <c r="EL263" s="121"/>
      <c r="EM263" s="121"/>
      <c r="EN263" s="121"/>
      <c r="EO263" s="121"/>
      <c r="EP263" s="121"/>
      <c r="EQ263" s="121"/>
      <c r="ER263" s="121"/>
      <c r="ES263" s="121"/>
      <c r="ET263" s="121"/>
      <c r="EU263" s="121"/>
      <c r="EV263" s="121"/>
      <c r="EW263" s="121"/>
      <c r="EX263" s="121"/>
      <c r="EY263" s="121"/>
      <c r="EZ263" s="121"/>
      <c r="FA263" s="121"/>
      <c r="FB263" s="121"/>
      <c r="FC263" s="121"/>
      <c r="FD263" s="121"/>
      <c r="FE263" s="121"/>
      <c r="FF263" s="121"/>
      <c r="FG263" s="121"/>
      <c r="FH263" s="121"/>
      <c r="FI263" s="121"/>
      <c r="FJ263" s="121"/>
      <c r="FK263" s="121"/>
      <c r="FL263" s="121"/>
      <c r="FM263" s="121"/>
      <c r="FN263" s="121"/>
      <c r="FO263" s="121"/>
      <c r="FP263" s="121"/>
      <c r="FQ263" s="121"/>
      <c r="FR263" s="121"/>
      <c r="FS263" s="121"/>
      <c r="FT263" s="121"/>
      <c r="FU263" s="121"/>
      <c r="FV263" s="121"/>
      <c r="FW263" s="121"/>
      <c r="FX263" s="121"/>
      <c r="FY263" s="121"/>
      <c r="FZ263" s="121"/>
      <c r="GA263" s="121"/>
      <c r="GB263" s="121"/>
      <c r="GC263" s="121"/>
      <c r="GD263" s="121"/>
      <c r="GE263" s="121"/>
      <c r="GF263" s="121"/>
      <c r="GG263" s="121"/>
      <c r="GH263" s="121"/>
    </row>
  </sheetData>
  <hyperlinks>
    <hyperlink ref="C15" r:id="rId1" xr:uid="{DF28EF57-4B84-49B8-B987-0C564E055D38}"/>
    <hyperlink ref="C19" r:id="rId2" xr:uid="{296DDBFD-DBDA-4275-814D-B7F01097DB33}"/>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DC987-386E-4FF1-9A41-2C276F4B84BF}">
  <sheetPr codeName="Sheet10">
    <tabColor rgb="FFFFDDFF"/>
  </sheetPr>
  <dimension ref="A1:DA266"/>
  <sheetViews>
    <sheetView zoomScale="72" zoomScaleNormal="72" workbookViewId="0">
      <pane xSplit="1" ySplit="2" topLeftCell="O45" activePane="bottomRight" state="frozen"/>
      <selection pane="topRight" activeCell="B1" sqref="B1"/>
      <selection pane="bottomLeft" activeCell="A3" sqref="A3"/>
      <selection pane="bottomRight" activeCell="AK110" sqref="AK110"/>
    </sheetView>
  </sheetViews>
  <sheetFormatPr defaultRowHeight="15" outlineLevelRow="1" outlineLevelCol="1"/>
  <cols>
    <col min="1" max="1" width="41.42578125" customWidth="1"/>
    <col min="2" max="14" width="8.42578125" hidden="1" customWidth="1" outlineLevel="1"/>
    <col min="15" max="15" width="8.42578125" customWidth="1" collapsed="1"/>
    <col min="16" max="41" width="8.42578125" customWidth="1"/>
    <col min="46" max="46" width="8.42578125" customWidth="1"/>
    <col min="48" max="48" width="11.140625" customWidth="1"/>
    <col min="50" max="50" width="10.140625" customWidth="1"/>
    <col min="70" max="76" width="8.42578125" customWidth="1"/>
    <col min="77" max="77" width="29.5703125" hidden="1" customWidth="1"/>
    <col min="78" max="82" width="0" hidden="1" customWidth="1"/>
    <col min="83" max="84" width="8.42578125" hidden="1" customWidth="1"/>
    <col min="85" max="88" width="0" hidden="1" customWidth="1"/>
    <col min="89" max="105" width="8.42578125" hidden="1" customWidth="1"/>
  </cols>
  <sheetData>
    <row r="1" spans="1:105">
      <c r="A1" s="360"/>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768"/>
      <c r="AL1" s="768"/>
      <c r="AM1" s="435"/>
      <c r="AN1" s="166"/>
      <c r="AO1" s="166"/>
      <c r="AT1" s="166"/>
      <c r="BR1" s="166"/>
      <c r="BS1" s="166"/>
      <c r="BT1" s="166"/>
      <c r="BU1" s="166"/>
      <c r="BV1" s="166"/>
      <c r="BW1" s="166"/>
      <c r="BX1" s="166"/>
      <c r="BY1" s="154"/>
      <c r="BZ1" s="154"/>
      <c r="CA1" s="154"/>
      <c r="CB1" s="154"/>
      <c r="CC1" s="154"/>
      <c r="CD1" s="154"/>
      <c r="CE1" s="434"/>
      <c r="CF1" s="166"/>
      <c r="CG1" s="155"/>
      <c r="CH1" s="155"/>
      <c r="CI1" s="155"/>
      <c r="CJ1" s="155"/>
      <c r="CK1" s="435"/>
      <c r="CL1" s="830"/>
      <c r="CM1" s="166" t="s">
        <v>1026</v>
      </c>
      <c r="CN1" s="166"/>
      <c r="CO1" s="166"/>
      <c r="CP1" s="166"/>
      <c r="CQ1" s="830"/>
      <c r="CR1" s="166"/>
      <c r="CS1" s="166"/>
      <c r="CT1" s="166"/>
      <c r="CU1" s="166"/>
      <c r="CV1" s="166"/>
      <c r="CW1" s="830"/>
      <c r="CX1" s="435"/>
      <c r="CY1" s="166"/>
      <c r="CZ1" s="166"/>
      <c r="DA1" s="770" t="s">
        <v>795</v>
      </c>
    </row>
    <row r="2" spans="1:105">
      <c r="A2" s="163"/>
      <c r="B2" s="657" t="s">
        <v>708</v>
      </c>
      <c r="C2" s="657" t="s">
        <v>727</v>
      </c>
      <c r="D2" s="657" t="s">
        <v>728</v>
      </c>
      <c r="E2" s="657" t="s">
        <v>729</v>
      </c>
      <c r="F2" s="657" t="s">
        <v>707</v>
      </c>
      <c r="G2" s="657" t="s">
        <v>730</v>
      </c>
      <c r="H2" s="657" t="s">
        <v>731</v>
      </c>
      <c r="I2" s="657" t="s">
        <v>732</v>
      </c>
      <c r="J2" s="657" t="s">
        <v>706</v>
      </c>
      <c r="K2" s="657" t="s">
        <v>733</v>
      </c>
      <c r="L2" s="657" t="s">
        <v>734</v>
      </c>
      <c r="M2" s="657" t="s">
        <v>735</v>
      </c>
      <c r="N2" s="657" t="s">
        <v>705</v>
      </c>
      <c r="O2" s="657" t="s">
        <v>631</v>
      </c>
      <c r="P2" s="657" t="s">
        <v>627</v>
      </c>
      <c r="Q2" s="657" t="s">
        <v>628</v>
      </c>
      <c r="R2" s="657" t="s">
        <v>629</v>
      </c>
      <c r="S2" s="657" t="s">
        <v>630</v>
      </c>
      <c r="T2" s="657" t="s">
        <v>626</v>
      </c>
      <c r="U2" s="657" t="s">
        <v>625</v>
      </c>
      <c r="V2" s="657" t="s">
        <v>635</v>
      </c>
      <c r="W2" s="657" t="s">
        <v>742</v>
      </c>
      <c r="X2" s="657" t="s">
        <v>747</v>
      </c>
      <c r="Y2" s="657" t="s">
        <v>842</v>
      </c>
      <c r="Z2" s="657" t="s">
        <v>860</v>
      </c>
      <c r="AA2" s="657" t="s">
        <v>863</v>
      </c>
      <c r="AB2" s="657" t="s">
        <v>864</v>
      </c>
      <c r="AC2" s="657" t="s">
        <v>865</v>
      </c>
      <c r="AD2" s="657" t="s">
        <v>866</v>
      </c>
      <c r="AE2" s="657" t="s">
        <v>1005</v>
      </c>
      <c r="AF2" s="657" t="s">
        <v>1006</v>
      </c>
      <c r="AG2" s="657" t="s">
        <v>1007</v>
      </c>
      <c r="AH2" s="657" t="s">
        <v>1008</v>
      </c>
      <c r="AI2" s="657" t="s">
        <v>1122</v>
      </c>
      <c r="AJ2" s="657" t="s">
        <v>1123</v>
      </c>
      <c r="AK2" s="770" t="s">
        <v>1124</v>
      </c>
      <c r="AL2" s="770" t="s">
        <v>1125</v>
      </c>
      <c r="AM2" s="439" t="s">
        <v>266</v>
      </c>
      <c r="AN2" s="440"/>
      <c r="AO2" s="440"/>
      <c r="AT2" s="440"/>
      <c r="BR2" s="440"/>
      <c r="BS2" s="440"/>
      <c r="BT2" s="440"/>
      <c r="BU2" s="440"/>
      <c r="BV2" s="440"/>
      <c r="BW2" s="440"/>
      <c r="BX2" s="440"/>
      <c r="BY2" s="154"/>
      <c r="BZ2" s="154"/>
      <c r="CA2" s="154"/>
      <c r="CB2" s="154"/>
      <c r="CC2" s="154"/>
      <c r="CD2" s="154"/>
      <c r="CE2" s="438" t="s">
        <v>866</v>
      </c>
      <c r="CF2" s="440"/>
      <c r="CG2" s="155"/>
      <c r="CH2" s="155"/>
      <c r="CI2" s="155"/>
      <c r="CJ2" s="155"/>
      <c r="CK2" s="439" t="s">
        <v>264</v>
      </c>
      <c r="CL2" s="831" t="s">
        <v>1005</v>
      </c>
      <c r="CM2" s="440"/>
      <c r="CN2" s="440"/>
      <c r="CO2" s="440"/>
      <c r="CP2" s="440"/>
      <c r="CQ2" s="831" t="s">
        <v>1006</v>
      </c>
      <c r="CR2" s="440"/>
      <c r="CS2" s="440"/>
      <c r="CT2" s="440"/>
      <c r="CU2" s="440"/>
      <c r="CV2" s="440"/>
      <c r="CW2" s="831" t="s">
        <v>1102</v>
      </c>
      <c r="CX2" s="439" t="s">
        <v>265</v>
      </c>
      <c r="CY2" s="440"/>
      <c r="CZ2" s="440"/>
      <c r="DA2" s="770" t="s">
        <v>1186</v>
      </c>
    </row>
    <row r="3" spans="1:105">
      <c r="A3" s="154"/>
      <c r="B3" s="155"/>
      <c r="C3" s="155"/>
      <c r="D3" s="155"/>
      <c r="E3" s="155"/>
      <c r="F3" s="155"/>
      <c r="G3" s="155"/>
      <c r="H3" s="155"/>
      <c r="I3" s="155"/>
      <c r="J3" s="155"/>
      <c r="K3" s="155"/>
      <c r="L3" s="155"/>
      <c r="M3" s="155"/>
      <c r="N3" s="155"/>
      <c r="O3" s="155"/>
      <c r="P3" s="155"/>
      <c r="Q3" s="155"/>
      <c r="R3" s="155"/>
      <c r="S3" s="155"/>
      <c r="T3" s="155"/>
      <c r="U3" s="155"/>
      <c r="V3" s="155"/>
      <c r="W3" s="441" t="s">
        <v>744</v>
      </c>
      <c r="X3" s="441"/>
      <c r="Y3" s="441"/>
      <c r="Z3" s="441"/>
      <c r="AA3" s="441"/>
      <c r="AB3" s="441"/>
      <c r="AC3" s="441"/>
      <c r="AD3" s="441"/>
      <c r="AE3" s="441"/>
      <c r="AF3" s="441"/>
      <c r="AG3" s="441"/>
      <c r="AH3" s="441"/>
      <c r="AI3" s="441"/>
      <c r="AJ3" s="441"/>
      <c r="AK3" s="1077"/>
      <c r="AL3" s="1077"/>
      <c r="AM3" s="442"/>
      <c r="AN3" s="441"/>
      <c r="AO3" s="441"/>
      <c r="AT3" s="441"/>
      <c r="BR3" s="441"/>
      <c r="BS3" s="441"/>
      <c r="BT3" s="441"/>
      <c r="BU3" s="441"/>
      <c r="BV3" s="441"/>
      <c r="BW3" s="441"/>
      <c r="BX3" s="441"/>
      <c r="BY3" s="154"/>
      <c r="BZ3" s="154"/>
      <c r="CA3" s="154"/>
      <c r="CB3" s="154"/>
      <c r="CC3" s="154"/>
      <c r="CD3" s="154"/>
      <c r="CE3" s="441"/>
      <c r="CF3" s="441"/>
      <c r="CG3" s="155"/>
      <c r="CH3" s="155"/>
      <c r="CI3" s="155"/>
      <c r="CJ3" s="155"/>
      <c r="CK3" s="442"/>
      <c r="CL3" s="441"/>
      <c r="CM3" s="441"/>
      <c r="CN3" s="441"/>
      <c r="CO3" s="441"/>
      <c r="CP3" s="441"/>
      <c r="CQ3" s="441"/>
      <c r="CR3" s="441"/>
      <c r="CS3" s="441"/>
      <c r="CT3" s="441"/>
      <c r="CU3" s="441"/>
      <c r="CV3" s="441"/>
      <c r="CW3" s="441"/>
      <c r="CX3" s="442"/>
      <c r="CY3" s="441"/>
      <c r="CZ3" s="441"/>
      <c r="DA3" s="1077"/>
    </row>
    <row r="4" spans="1:105">
      <c r="A4" s="154"/>
      <c r="B4" s="155"/>
      <c r="C4" s="155"/>
      <c r="D4" s="155"/>
      <c r="E4" s="155"/>
      <c r="F4" s="155"/>
      <c r="G4" s="155"/>
      <c r="H4" s="155"/>
      <c r="I4" s="155"/>
      <c r="J4" s="155"/>
      <c r="K4" s="155"/>
      <c r="L4" s="155"/>
      <c r="M4" s="155"/>
      <c r="N4" s="155"/>
      <c r="O4" s="155"/>
      <c r="P4" s="155"/>
      <c r="Q4" s="155"/>
      <c r="R4" s="155"/>
      <c r="S4" s="155"/>
      <c r="T4" s="155"/>
      <c r="U4" s="155"/>
      <c r="V4" s="155"/>
      <c r="W4" s="155"/>
      <c r="X4" s="441" t="s">
        <v>760</v>
      </c>
      <c r="Y4" s="155"/>
      <c r="Z4" s="155"/>
      <c r="AA4" s="155"/>
      <c r="AB4" s="155"/>
      <c r="AC4" s="155"/>
      <c r="AD4" s="155"/>
      <c r="AE4" s="155"/>
      <c r="AF4" s="155"/>
      <c r="AG4" s="155"/>
      <c r="AH4" s="155"/>
      <c r="AI4" s="155"/>
      <c r="AJ4" s="155"/>
      <c r="AK4" s="1078"/>
      <c r="AL4" s="1078"/>
      <c r="AM4" s="408"/>
      <c r="AN4" s="155"/>
      <c r="AO4" s="155"/>
      <c r="AT4" s="155"/>
      <c r="BR4" s="155"/>
      <c r="BS4" s="155"/>
      <c r="BT4" s="155"/>
      <c r="BU4" s="155"/>
      <c r="BV4" s="155"/>
      <c r="BW4" s="155"/>
      <c r="BX4" s="155"/>
      <c r="BY4" s="154"/>
      <c r="BZ4" s="154"/>
      <c r="CA4" s="154"/>
      <c r="CB4" s="154"/>
      <c r="CC4" s="154"/>
      <c r="CD4" s="154"/>
      <c r="CE4" s="155"/>
      <c r="CF4" s="155"/>
      <c r="CG4" s="155"/>
      <c r="CH4" s="155"/>
      <c r="CI4" s="155"/>
      <c r="CJ4" s="155"/>
      <c r="CK4" s="408"/>
      <c r="CL4" s="155"/>
      <c r="CM4" s="155"/>
      <c r="CN4" s="155"/>
      <c r="CO4" s="155"/>
      <c r="CP4" s="155"/>
      <c r="CQ4" s="155"/>
      <c r="CR4" s="155"/>
      <c r="CS4" s="155"/>
      <c r="CT4" s="155"/>
      <c r="CU4" s="155"/>
      <c r="CV4" s="155"/>
      <c r="CW4" s="155"/>
      <c r="CX4" s="408"/>
      <c r="CY4" s="155"/>
      <c r="CZ4" s="155"/>
      <c r="DA4" s="1078"/>
    </row>
    <row r="5" spans="1:105">
      <c r="A5" s="154"/>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078"/>
      <c r="AL5" s="1078"/>
      <c r="AM5" s="408"/>
      <c r="AN5" s="155"/>
      <c r="AO5" s="155"/>
      <c r="AT5" s="155"/>
      <c r="BR5" s="155"/>
      <c r="BS5" s="155"/>
      <c r="BT5" s="155"/>
      <c r="BU5" s="155"/>
      <c r="BV5" s="155"/>
      <c r="BW5" s="155"/>
      <c r="BX5" s="155"/>
      <c r="BY5" s="154"/>
      <c r="BZ5" s="154"/>
      <c r="CA5" s="154"/>
      <c r="CB5" s="154"/>
      <c r="CC5" s="154"/>
      <c r="CD5" s="154"/>
      <c r="CE5" s="155"/>
      <c r="CF5" s="155"/>
      <c r="CG5" s="155"/>
      <c r="CH5" s="155"/>
      <c r="CI5" s="155"/>
      <c r="CJ5" s="155"/>
      <c r="CK5" s="408"/>
      <c r="CL5" s="155"/>
      <c r="CM5" s="155"/>
      <c r="CN5" s="155"/>
      <c r="CO5" s="155"/>
      <c r="CP5" s="155"/>
      <c r="CQ5" s="155"/>
      <c r="CR5" s="155"/>
      <c r="CS5" s="155"/>
      <c r="CT5" s="155"/>
      <c r="CU5" s="155"/>
      <c r="CV5" s="155"/>
      <c r="CW5" s="155"/>
      <c r="CX5" s="408"/>
      <c r="CY5" s="155"/>
      <c r="CZ5" s="155"/>
      <c r="DA5" s="1078"/>
    </row>
    <row r="6" spans="1:105" ht="22.5" customHeight="1">
      <c r="A6" s="163" t="s">
        <v>623</v>
      </c>
      <c r="B6" s="16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6"/>
      <c r="AO6" s="166"/>
      <c r="AT6" s="630"/>
      <c r="BR6" s="166"/>
      <c r="BS6" s="166"/>
      <c r="BT6" s="166"/>
      <c r="BU6" s="166"/>
      <c r="BV6" s="166"/>
      <c r="BW6" s="166"/>
      <c r="BX6" s="166"/>
      <c r="BY6" s="154"/>
      <c r="BZ6" s="154"/>
      <c r="CA6" s="154"/>
      <c r="CB6" s="154"/>
      <c r="CC6" s="154"/>
      <c r="CD6" s="154"/>
      <c r="CE6" s="164"/>
      <c r="CF6" s="630"/>
      <c r="CG6" s="155"/>
      <c r="CH6" s="155"/>
      <c r="CI6" s="155"/>
      <c r="CJ6" s="155"/>
      <c r="CK6" s="164"/>
      <c r="CL6" s="164"/>
      <c r="CM6" s="166"/>
      <c r="CN6" s="166"/>
      <c r="CO6" s="166"/>
      <c r="CP6" s="166"/>
      <c r="CQ6" s="164"/>
      <c r="CR6" s="166"/>
      <c r="CS6" s="166"/>
      <c r="CT6" s="166"/>
      <c r="CU6" s="166"/>
      <c r="CV6" s="166"/>
      <c r="CW6" s="164"/>
      <c r="CX6" s="164"/>
      <c r="CY6" s="166"/>
      <c r="CZ6" s="166"/>
      <c r="DA6" s="164"/>
    </row>
    <row r="7" spans="1:105">
      <c r="A7" s="154"/>
      <c r="B7" s="155"/>
      <c r="C7" s="155"/>
      <c r="D7" s="155"/>
      <c r="E7" s="155"/>
      <c r="F7" s="155"/>
      <c r="G7" s="155"/>
      <c r="H7" s="155"/>
      <c r="I7" s="155"/>
      <c r="J7" s="155"/>
      <c r="K7" s="155"/>
      <c r="L7" s="155"/>
      <c r="M7" s="155"/>
      <c r="N7" s="155"/>
      <c r="O7" s="155"/>
      <c r="P7" s="156"/>
      <c r="Q7" s="155"/>
      <c r="R7" s="155"/>
      <c r="S7" s="155"/>
      <c r="T7" s="155"/>
      <c r="U7" s="155"/>
      <c r="V7" s="155"/>
      <c r="W7" s="155"/>
      <c r="X7" s="155"/>
      <c r="Y7" s="155"/>
      <c r="Z7" s="155"/>
      <c r="AA7" s="155"/>
      <c r="AB7" s="155"/>
      <c r="AC7" s="155"/>
      <c r="AD7" s="155"/>
      <c r="AE7" s="155"/>
      <c r="AF7" s="155"/>
      <c r="AG7" s="155"/>
      <c r="AH7" s="155"/>
      <c r="AI7" s="155"/>
      <c r="AJ7" s="155"/>
      <c r="AK7" s="1078"/>
      <c r="AL7" s="1078"/>
      <c r="AM7" s="408"/>
      <c r="AN7" s="155"/>
      <c r="AO7" s="155"/>
      <c r="AT7" s="155"/>
      <c r="BR7" s="155"/>
      <c r="BS7" s="155"/>
      <c r="BT7" s="155"/>
      <c r="BU7" s="155"/>
      <c r="BV7" s="155"/>
      <c r="BW7" s="155"/>
      <c r="BX7" s="155"/>
      <c r="BY7" s="154"/>
      <c r="BZ7" s="154"/>
      <c r="CA7" s="154"/>
      <c r="CB7" s="154"/>
      <c r="CC7" s="154"/>
      <c r="CD7" s="154"/>
      <c r="CE7" s="155"/>
      <c r="CF7" s="155"/>
      <c r="CG7" s="155"/>
      <c r="CH7" s="155"/>
      <c r="CI7" s="155"/>
      <c r="CJ7" s="155"/>
      <c r="CK7" s="408"/>
      <c r="CL7" s="155"/>
      <c r="CM7" s="155"/>
      <c r="CN7" s="155"/>
      <c r="CO7" s="155"/>
      <c r="CP7" s="155"/>
      <c r="CQ7" s="155"/>
      <c r="CR7" s="155"/>
      <c r="CS7" s="155"/>
      <c r="CT7" s="155"/>
      <c r="CU7" s="155"/>
      <c r="CV7" s="155"/>
      <c r="CW7" s="155"/>
      <c r="CX7" s="408"/>
      <c r="CY7" s="155"/>
      <c r="CZ7" s="155"/>
      <c r="DA7" s="1078"/>
    </row>
    <row r="8" spans="1:105">
      <c r="A8" s="443" t="s">
        <v>724</v>
      </c>
      <c r="B8" s="155"/>
      <c r="C8" s="155"/>
      <c r="D8" s="155"/>
      <c r="E8" s="155"/>
      <c r="F8" s="155"/>
      <c r="G8" s="155"/>
      <c r="H8" s="155"/>
      <c r="I8" s="155"/>
      <c r="J8" s="155"/>
      <c r="K8" s="155"/>
      <c r="L8" s="155"/>
      <c r="M8" s="155"/>
      <c r="N8" s="155"/>
      <c r="O8" s="155"/>
      <c r="P8" s="156"/>
      <c r="Q8" s="155"/>
      <c r="R8" s="155"/>
      <c r="S8" s="155"/>
      <c r="T8" s="155"/>
      <c r="U8" s="155"/>
      <c r="V8" s="155"/>
      <c r="W8" s="155"/>
      <c r="X8" s="155"/>
      <c r="Y8" s="155"/>
      <c r="Z8" s="155"/>
      <c r="AA8" s="155"/>
      <c r="AB8" s="155"/>
      <c r="AC8" s="155"/>
      <c r="AD8" s="155"/>
      <c r="AE8" s="155"/>
      <c r="AF8" s="155"/>
      <c r="AG8" s="156"/>
      <c r="AH8" s="155"/>
      <c r="AI8" s="155"/>
      <c r="AJ8" s="155"/>
      <c r="AK8" s="1078"/>
      <c r="AL8" s="1078"/>
      <c r="AM8" s="408"/>
      <c r="AN8" s="155"/>
      <c r="AO8" s="155"/>
      <c r="AT8" s="155"/>
      <c r="BR8" s="155"/>
      <c r="BS8" s="155"/>
      <c r="BT8" s="155"/>
      <c r="BU8" s="155"/>
      <c r="BV8" s="155"/>
      <c r="BW8" s="155"/>
      <c r="BX8" s="155"/>
      <c r="BY8" s="154"/>
      <c r="BZ8" s="154"/>
      <c r="CA8" s="154"/>
      <c r="CB8" s="154"/>
      <c r="CC8" s="154"/>
      <c r="CD8" s="154"/>
      <c r="CE8" s="155"/>
      <c r="CF8" s="155"/>
      <c r="CG8" s="155"/>
      <c r="CH8" s="155"/>
      <c r="CI8" s="155"/>
      <c r="CJ8" s="155"/>
      <c r="CK8" s="408"/>
      <c r="CL8" s="155"/>
      <c r="CM8" s="155"/>
      <c r="CN8" s="155"/>
      <c r="CO8" s="155"/>
      <c r="CP8" s="155"/>
      <c r="CQ8" s="155"/>
      <c r="CR8" s="155"/>
      <c r="CS8" s="155"/>
      <c r="CT8" s="155"/>
      <c r="CU8" s="155"/>
      <c r="CV8" s="155"/>
      <c r="CW8" s="155"/>
      <c r="CX8" s="408"/>
      <c r="CY8" s="155"/>
      <c r="CZ8" s="155"/>
      <c r="DA8" s="1078"/>
    </row>
    <row r="9" spans="1:105">
      <c r="A9" s="154" t="s">
        <v>162</v>
      </c>
      <c r="B9" s="444">
        <v>22425</v>
      </c>
      <c r="C9" s="444"/>
      <c r="D9" s="444"/>
      <c r="E9" s="444"/>
      <c r="F9" s="444">
        <v>22861</v>
      </c>
      <c r="G9" s="444"/>
      <c r="H9" s="444"/>
      <c r="I9" s="444"/>
      <c r="J9" s="444">
        <v>23863</v>
      </c>
      <c r="K9" s="444"/>
      <c r="L9" s="444"/>
      <c r="M9" s="444"/>
      <c r="N9" s="444">
        <v>24076</v>
      </c>
      <c r="O9" s="451">
        <f>(N9+P9)/2</f>
        <v>25774.5</v>
      </c>
      <c r="P9" s="444">
        <v>27473</v>
      </c>
      <c r="Q9" s="444">
        <v>27562</v>
      </c>
      <c r="R9" s="444">
        <v>27807</v>
      </c>
      <c r="S9" s="444">
        <v>29271</v>
      </c>
      <c r="T9" s="444">
        <v>30207</v>
      </c>
      <c r="U9" s="444">
        <v>30519</v>
      </c>
      <c r="V9" s="444">
        <v>31043</v>
      </c>
      <c r="W9" s="444">
        <v>33275</v>
      </c>
      <c r="X9" s="444">
        <v>39052</v>
      </c>
      <c r="Y9" s="444">
        <v>39397</v>
      </c>
      <c r="Z9" s="444">
        <v>39652</v>
      </c>
      <c r="AA9" s="444">
        <v>39104</v>
      </c>
      <c r="AB9" s="444">
        <v>39298</v>
      </c>
      <c r="AC9" s="444">
        <v>39739</v>
      </c>
      <c r="AD9" s="444">
        <v>40075</v>
      </c>
      <c r="AE9" s="444">
        <v>40278</v>
      </c>
      <c r="AF9" s="444">
        <v>40332</v>
      </c>
      <c r="AG9" s="444">
        <v>40650</v>
      </c>
      <c r="AH9" s="444">
        <v>39229</v>
      </c>
      <c r="AI9" s="444">
        <v>39212</v>
      </c>
      <c r="AJ9" s="444">
        <v>39184</v>
      </c>
      <c r="AK9" s="447">
        <f>AJ9+50</f>
        <v>39234</v>
      </c>
      <c r="AL9" s="447">
        <f>AM9</f>
        <v>38259.891858534997</v>
      </c>
      <c r="AM9" s="452">
        <f>AM38+AM53+AM69</f>
        <v>38259.891858534997</v>
      </c>
      <c r="AN9" s="444"/>
      <c r="AO9" s="444"/>
      <c r="AP9" s="953">
        <f>1465/AI9</f>
        <v>3.7361011935121903E-2</v>
      </c>
      <c r="AT9" s="156"/>
      <c r="BR9" s="444"/>
      <c r="BS9" s="444"/>
      <c r="BT9" s="444"/>
      <c r="BU9" s="444"/>
      <c r="BV9" s="444"/>
      <c r="BW9" s="444"/>
      <c r="BX9" s="444"/>
      <c r="BY9" s="154"/>
      <c r="BZ9" s="154"/>
      <c r="CA9" s="154"/>
      <c r="CB9" s="154"/>
      <c r="CC9" s="154"/>
      <c r="CD9" s="154"/>
      <c r="CE9" s="451">
        <v>40104.929461439999</v>
      </c>
      <c r="CF9" s="451"/>
      <c r="CG9" s="446"/>
      <c r="CH9" s="446"/>
      <c r="CI9" s="446"/>
      <c r="CJ9" s="446"/>
      <c r="CK9" s="445"/>
      <c r="CL9" s="444"/>
      <c r="CM9" s="444"/>
      <c r="CN9" s="444"/>
      <c r="CO9" s="444"/>
      <c r="CP9" s="444"/>
      <c r="CQ9" s="444"/>
      <c r="CR9" s="444"/>
      <c r="CS9" s="444"/>
      <c r="CT9" s="444"/>
      <c r="CU9" s="444"/>
      <c r="CV9" s="444"/>
      <c r="CW9" s="156">
        <v>40101.175851485001</v>
      </c>
      <c r="CX9" s="445"/>
      <c r="CY9" s="444"/>
      <c r="CZ9" s="444"/>
      <c r="DA9" s="447">
        <v>39262</v>
      </c>
    </row>
    <row r="10" spans="1:105">
      <c r="A10" s="154" t="s">
        <v>632</v>
      </c>
      <c r="B10" s="444">
        <v>34052</v>
      </c>
      <c r="C10" s="444"/>
      <c r="D10" s="444"/>
      <c r="E10" s="444"/>
      <c r="F10" s="444">
        <v>34259</v>
      </c>
      <c r="G10" s="444"/>
      <c r="H10" s="444"/>
      <c r="I10" s="444"/>
      <c r="J10" s="444">
        <v>36301</v>
      </c>
      <c r="K10" s="444"/>
      <c r="L10" s="444"/>
      <c r="M10" s="444"/>
      <c r="N10" s="444">
        <v>37652</v>
      </c>
      <c r="O10" s="451">
        <f>(N10+P10)/2</f>
        <v>39952.5</v>
      </c>
      <c r="P10" s="444">
        <v>42253</v>
      </c>
      <c r="Q10" s="444">
        <v>42512</v>
      </c>
      <c r="R10" s="444">
        <v>42864</v>
      </c>
      <c r="S10" s="444">
        <v>44233</v>
      </c>
      <c r="T10" s="444">
        <v>45487</v>
      </c>
      <c r="U10" s="444">
        <v>46045</v>
      </c>
      <c r="V10" s="444">
        <v>46414</v>
      </c>
      <c r="W10" s="444">
        <v>49643</v>
      </c>
      <c r="X10" s="444">
        <v>57381</v>
      </c>
      <c r="Y10" s="444">
        <v>57893</v>
      </c>
      <c r="Z10" s="444">
        <v>58573</v>
      </c>
      <c r="AA10" s="444">
        <v>58146</v>
      </c>
      <c r="AB10" s="444">
        <v>58447</v>
      </c>
      <c r="AC10" s="444">
        <v>59196</v>
      </c>
      <c r="AD10" s="444">
        <v>59727</v>
      </c>
      <c r="AE10" s="444">
        <v>59997</v>
      </c>
      <c r="AF10" s="444">
        <v>60382</v>
      </c>
      <c r="AG10" s="444">
        <v>60315</v>
      </c>
      <c r="AH10" s="444">
        <v>59343</v>
      </c>
      <c r="AI10" s="444">
        <v>59606</v>
      </c>
      <c r="AJ10" s="444">
        <v>59743</v>
      </c>
      <c r="AK10" s="447">
        <f>1.51*AK9</f>
        <v>59243.340000000004</v>
      </c>
      <c r="AL10" s="447">
        <f>AM10</f>
        <v>57891.163383503896</v>
      </c>
      <c r="AM10" s="452">
        <f>AM39+AM54+AM70</f>
        <v>57891.163383503896</v>
      </c>
      <c r="AN10" s="444"/>
      <c r="AO10" s="444"/>
      <c r="AT10" s="156"/>
      <c r="BR10" s="444"/>
      <c r="BS10" s="444"/>
      <c r="BT10" s="444"/>
      <c r="BU10" s="444"/>
      <c r="BV10" s="444"/>
      <c r="BW10" s="444"/>
      <c r="BX10" s="444"/>
      <c r="BY10" s="154"/>
      <c r="BZ10" s="154"/>
      <c r="CA10" s="154"/>
      <c r="CB10" s="154"/>
      <c r="CC10" s="154"/>
      <c r="CD10" s="154"/>
      <c r="CE10" s="451">
        <v>59613.621387381594</v>
      </c>
      <c r="CF10" s="451"/>
      <c r="CG10" s="446"/>
      <c r="CH10" s="446"/>
      <c r="CI10" s="446"/>
      <c r="CJ10" s="446"/>
      <c r="CK10" s="445"/>
      <c r="CL10" s="444"/>
      <c r="CM10" s="444"/>
      <c r="CN10" s="444"/>
      <c r="CO10" s="444"/>
      <c r="CP10" s="444"/>
      <c r="CQ10" s="444"/>
      <c r="CR10" s="444"/>
      <c r="CS10" s="444"/>
      <c r="CT10" s="444"/>
      <c r="CU10" s="444"/>
      <c r="CV10" s="444"/>
      <c r="CW10" s="156">
        <v>59903.342939820286</v>
      </c>
      <c r="CX10" s="445"/>
      <c r="CY10" s="444"/>
      <c r="CZ10" s="444"/>
      <c r="DA10" s="447">
        <v>59285.62</v>
      </c>
    </row>
    <row r="11" spans="1:105">
      <c r="A11" s="154" t="s">
        <v>1</v>
      </c>
      <c r="B11" s="448">
        <f>B10/B9</f>
        <v>1.518483835005574</v>
      </c>
      <c r="C11" s="448"/>
      <c r="D11" s="448"/>
      <c r="E11" s="448"/>
      <c r="F11" s="448">
        <f>F10/F9</f>
        <v>1.498578364900923</v>
      </c>
      <c r="G11" s="448"/>
      <c r="H11" s="448"/>
      <c r="I11" s="448"/>
      <c r="J11" s="448">
        <f>J10/J9</f>
        <v>1.5212253279135062</v>
      </c>
      <c r="K11" s="448"/>
      <c r="L11" s="448"/>
      <c r="M11" s="448"/>
      <c r="N11" s="448">
        <f t="shared" ref="N11:Z11" si="0">N10/N9</f>
        <v>1.5638810433626849</v>
      </c>
      <c r="O11" s="448">
        <f t="shared" si="0"/>
        <v>1.5500785660245591</v>
      </c>
      <c r="P11" s="448">
        <f t="shared" si="0"/>
        <v>1.5379827466967568</v>
      </c>
      <c r="Q11" s="448">
        <f t="shared" si="0"/>
        <v>1.5424134678180104</v>
      </c>
      <c r="R11" s="448">
        <f t="shared" si="0"/>
        <v>1.5414823605566943</v>
      </c>
      <c r="S11" s="448">
        <f t="shared" si="0"/>
        <v>1.5111543848860647</v>
      </c>
      <c r="T11" s="448">
        <f t="shared" si="0"/>
        <v>1.5058430165193499</v>
      </c>
      <c r="U11" s="448">
        <f t="shared" si="0"/>
        <v>1.5087322651463022</v>
      </c>
      <c r="V11" s="448">
        <f t="shared" si="0"/>
        <v>1.4951518860934832</v>
      </c>
      <c r="W11" s="448">
        <f t="shared" si="0"/>
        <v>1.491900826446281</v>
      </c>
      <c r="X11" s="448">
        <f t="shared" si="0"/>
        <v>1.469348560893168</v>
      </c>
      <c r="Y11" s="448">
        <f>Y10/Y9</f>
        <v>1.4694773713734548</v>
      </c>
      <c r="Z11" s="448">
        <f t="shared" si="0"/>
        <v>1.4771764349843639</v>
      </c>
      <c r="AA11" s="448">
        <f t="shared" ref="AA11:AD11" si="1">AA10/AA9</f>
        <v>1.4869578559738135</v>
      </c>
      <c r="AB11" s="448">
        <f t="shared" si="1"/>
        <v>1.4872767061936993</v>
      </c>
      <c r="AC11" s="448">
        <f t="shared" si="1"/>
        <v>1.4896197689926771</v>
      </c>
      <c r="AD11" s="448">
        <f t="shared" si="1"/>
        <v>1.4903805364940736</v>
      </c>
      <c r="AE11" s="448">
        <f t="shared" ref="AE11:AF11" si="2">AE10/AE9</f>
        <v>1.4895724713242962</v>
      </c>
      <c r="AF11" s="448">
        <f t="shared" si="2"/>
        <v>1.4971238718635327</v>
      </c>
      <c r="AG11" s="448">
        <f t="shared" ref="AG11:AJ11" si="3">AG10/AG9</f>
        <v>1.4837638376383764</v>
      </c>
      <c r="AH11" s="448">
        <f t="shared" si="3"/>
        <v>1.5127329271712253</v>
      </c>
      <c r="AI11" s="448">
        <f t="shared" si="3"/>
        <v>1.5200958890135672</v>
      </c>
      <c r="AJ11" s="448">
        <f t="shared" si="3"/>
        <v>1.5246784401796651</v>
      </c>
      <c r="AK11" s="1080">
        <f t="shared" ref="AK11:AM11" si="4">AK10/AK9</f>
        <v>1.51</v>
      </c>
      <c r="AL11" s="1080">
        <f t="shared" si="4"/>
        <v>1.5131031629037279</v>
      </c>
      <c r="AM11" s="449">
        <f t="shared" si="4"/>
        <v>1.5131031629037279</v>
      </c>
      <c r="AN11" s="448"/>
      <c r="AO11" s="448"/>
      <c r="AT11" s="448"/>
      <c r="BR11" s="448"/>
      <c r="BS11" s="448"/>
      <c r="BT11" s="448"/>
      <c r="BU11" s="448"/>
      <c r="BV11" s="448"/>
      <c r="BW11" s="448"/>
      <c r="BX11" s="448"/>
      <c r="BY11" s="154"/>
      <c r="BZ11" s="154"/>
      <c r="CA11" s="154"/>
      <c r="CB11" s="154"/>
      <c r="CC11" s="154"/>
      <c r="CD11" s="154"/>
      <c r="CE11" s="448">
        <v>1.4864412476949691</v>
      </c>
      <c r="CF11" s="448"/>
      <c r="CG11" s="155"/>
      <c r="CH11" s="155"/>
      <c r="CI11" s="155"/>
      <c r="CJ11" s="155"/>
      <c r="CK11" s="449"/>
      <c r="CL11" s="448"/>
      <c r="CM11" s="448"/>
      <c r="CN11" s="448"/>
      <c r="CO11" s="448"/>
      <c r="CP11" s="448"/>
      <c r="CQ11" s="448"/>
      <c r="CR11" s="448"/>
      <c r="CS11" s="448"/>
      <c r="CT11" s="448"/>
      <c r="CU11" s="448"/>
      <c r="CV11" s="448"/>
      <c r="CW11" s="448">
        <v>1.4938051482997097</v>
      </c>
      <c r="CX11" s="449"/>
      <c r="CY11" s="448"/>
      <c r="CZ11" s="448"/>
      <c r="DA11" s="1080">
        <v>1.51</v>
      </c>
    </row>
    <row r="12" spans="1:105">
      <c r="A12" s="154"/>
      <c r="B12" s="155"/>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I12" s="155"/>
      <c r="AJ12" s="155"/>
      <c r="AK12" s="1081"/>
      <c r="AL12" s="1081"/>
      <c r="AM12" s="408"/>
      <c r="AN12" s="155"/>
      <c r="AO12" s="155"/>
      <c r="AT12" s="155"/>
      <c r="BR12" s="155"/>
      <c r="BS12" s="155"/>
      <c r="BT12" s="155"/>
      <c r="BU12" s="155"/>
      <c r="BV12" s="155"/>
      <c r="BW12" s="155"/>
      <c r="BX12" s="155"/>
      <c r="BY12" s="154"/>
      <c r="BZ12" s="154"/>
      <c r="CA12" s="154"/>
      <c r="CB12" s="154"/>
      <c r="CC12" s="154"/>
      <c r="CD12" s="154"/>
      <c r="CE12" s="155"/>
      <c r="CF12" s="155"/>
      <c r="CG12" s="155"/>
      <c r="CH12" s="155"/>
      <c r="CI12" s="155"/>
      <c r="CJ12" s="155"/>
      <c r="CK12" s="408"/>
      <c r="CL12" s="155"/>
      <c r="CM12" s="155"/>
      <c r="CN12" s="155"/>
      <c r="CO12" s="155"/>
      <c r="CP12" s="155"/>
      <c r="CQ12" s="155"/>
      <c r="CR12" s="155"/>
      <c r="CS12" s="155"/>
      <c r="CT12" s="155"/>
      <c r="CU12" s="155"/>
      <c r="CV12" s="155"/>
      <c r="CW12" s="155"/>
      <c r="CX12" s="408"/>
      <c r="CY12" s="155"/>
      <c r="CZ12" s="155"/>
      <c r="DA12" s="1081"/>
    </row>
    <row r="13" spans="1:105">
      <c r="A13" s="154" t="s">
        <v>703</v>
      </c>
      <c r="B13" s="155"/>
      <c r="C13" s="155"/>
      <c r="D13" s="155"/>
      <c r="E13" s="155"/>
      <c r="F13" s="155"/>
      <c r="G13" s="155"/>
      <c r="H13" s="155"/>
      <c r="I13" s="155"/>
      <c r="J13" s="155"/>
      <c r="K13" s="155"/>
      <c r="L13" s="155"/>
      <c r="M13" s="155"/>
      <c r="N13" s="155"/>
      <c r="O13" s="156">
        <f t="shared" ref="O13:U13" si="5">O9-N9</f>
        <v>1698.5</v>
      </c>
      <c r="P13" s="156">
        <f t="shared" si="5"/>
        <v>1698.5</v>
      </c>
      <c r="Q13" s="156">
        <f t="shared" si="5"/>
        <v>89</v>
      </c>
      <c r="R13" s="156">
        <f t="shared" si="5"/>
        <v>245</v>
      </c>
      <c r="S13" s="156">
        <f t="shared" si="5"/>
        <v>1464</v>
      </c>
      <c r="T13" s="156">
        <f t="shared" si="5"/>
        <v>936</v>
      </c>
      <c r="U13" s="156">
        <f t="shared" si="5"/>
        <v>312</v>
      </c>
      <c r="V13" s="156">
        <f t="shared" ref="V13:Y14" si="6">V9-U9</f>
        <v>524</v>
      </c>
      <c r="W13" s="156">
        <f t="shared" si="6"/>
        <v>2232</v>
      </c>
      <c r="X13" s="156">
        <f t="shared" si="6"/>
        <v>5777</v>
      </c>
      <c r="Y13" s="156">
        <f t="shared" si="6"/>
        <v>345</v>
      </c>
      <c r="Z13" s="156">
        <f t="shared" ref="Z13:AF14" si="7">Z9-Y9</f>
        <v>255</v>
      </c>
      <c r="AA13" s="156">
        <f t="shared" si="7"/>
        <v>-548</v>
      </c>
      <c r="AB13" s="156">
        <f t="shared" si="7"/>
        <v>194</v>
      </c>
      <c r="AC13" s="156">
        <f t="shared" si="7"/>
        <v>441</v>
      </c>
      <c r="AD13" s="156">
        <f t="shared" si="7"/>
        <v>336</v>
      </c>
      <c r="AE13" s="156">
        <f t="shared" si="7"/>
        <v>203</v>
      </c>
      <c r="AF13" s="156">
        <f t="shared" si="7"/>
        <v>54</v>
      </c>
      <c r="AG13" s="156">
        <f t="shared" ref="AG13:AG14" si="8">AG9-AF9</f>
        <v>318</v>
      </c>
      <c r="AH13" s="156">
        <f t="shared" ref="AH13:AH14" si="9">AH9-AG9</f>
        <v>-1421</v>
      </c>
      <c r="AI13" s="156">
        <f t="shared" ref="AI13:AL14" si="10">AI9-AH9</f>
        <v>-17</v>
      </c>
      <c r="AJ13" s="156">
        <f t="shared" si="10"/>
        <v>-28</v>
      </c>
      <c r="AK13" s="1082">
        <f>AK9-AJ9</f>
        <v>50</v>
      </c>
      <c r="AL13" s="1082">
        <f t="shared" si="10"/>
        <v>-974.10814146500343</v>
      </c>
      <c r="AM13" s="450"/>
      <c r="AN13" s="156"/>
      <c r="AO13" s="156"/>
      <c r="AT13" s="156"/>
      <c r="BR13" s="156"/>
      <c r="BS13" s="156"/>
      <c r="BT13" s="156"/>
      <c r="BU13" s="156"/>
      <c r="BV13" s="156"/>
      <c r="BW13" s="156"/>
      <c r="BX13" s="156"/>
      <c r="BY13" s="154" t="s">
        <v>918</v>
      </c>
      <c r="BZ13" s="167">
        <f>AVERAGE(Z34:AC34)</f>
        <v>1271.75</v>
      </c>
      <c r="CA13" s="154"/>
      <c r="CB13" s="154"/>
      <c r="CC13" s="154"/>
      <c r="CD13" s="154"/>
      <c r="CE13" s="156">
        <v>365.9294614399987</v>
      </c>
      <c r="CF13" s="156"/>
      <c r="CG13" s="155"/>
      <c r="CH13" s="155"/>
      <c r="CI13" s="156"/>
      <c r="CJ13" s="155"/>
      <c r="CK13" s="450"/>
      <c r="CL13" s="156"/>
      <c r="CM13" s="156"/>
      <c r="CN13" s="156"/>
      <c r="CO13" s="156"/>
      <c r="CP13" s="156"/>
      <c r="CQ13" s="156"/>
      <c r="CR13" s="156"/>
      <c r="CS13" s="156"/>
      <c r="CT13" s="156"/>
      <c r="CU13" s="156"/>
      <c r="CV13" s="156"/>
      <c r="CW13" s="156">
        <v>-548.82414851499925</v>
      </c>
      <c r="CX13" s="450"/>
      <c r="CY13" s="156"/>
      <c r="CZ13" s="156"/>
      <c r="DA13" s="1082">
        <v>50</v>
      </c>
    </row>
    <row r="14" spans="1:105">
      <c r="A14" s="154" t="s">
        <v>704</v>
      </c>
      <c r="B14" s="155"/>
      <c r="C14" s="155"/>
      <c r="D14" s="155"/>
      <c r="E14" s="155"/>
      <c r="F14" s="155"/>
      <c r="G14" s="155"/>
      <c r="H14" s="155"/>
      <c r="I14" s="155"/>
      <c r="J14" s="155"/>
      <c r="K14" s="155"/>
      <c r="L14" s="155"/>
      <c r="M14" s="155"/>
      <c r="N14" s="155"/>
      <c r="O14" s="155"/>
      <c r="P14" s="155"/>
      <c r="Q14" s="156">
        <f>Q10-P10</f>
        <v>259</v>
      </c>
      <c r="R14" s="156">
        <f>R10-Q10</f>
        <v>352</v>
      </c>
      <c r="S14" s="156">
        <f>S10-R10</f>
        <v>1369</v>
      </c>
      <c r="T14" s="156">
        <f>T10-S10</f>
        <v>1254</v>
      </c>
      <c r="U14" s="156">
        <f>U10-T10</f>
        <v>558</v>
      </c>
      <c r="V14" s="156">
        <f t="shared" si="6"/>
        <v>369</v>
      </c>
      <c r="W14" s="156">
        <f t="shared" si="6"/>
        <v>3229</v>
      </c>
      <c r="X14" s="156">
        <f t="shared" si="6"/>
        <v>7738</v>
      </c>
      <c r="Y14" s="156">
        <f t="shared" si="6"/>
        <v>512</v>
      </c>
      <c r="Z14" s="156">
        <f t="shared" si="7"/>
        <v>680</v>
      </c>
      <c r="AA14" s="156">
        <f t="shared" si="7"/>
        <v>-427</v>
      </c>
      <c r="AB14" s="156">
        <f t="shared" si="7"/>
        <v>301</v>
      </c>
      <c r="AC14" s="156">
        <f t="shared" si="7"/>
        <v>749</v>
      </c>
      <c r="AD14" s="156">
        <f t="shared" si="7"/>
        <v>531</v>
      </c>
      <c r="AE14" s="156">
        <f t="shared" si="7"/>
        <v>270</v>
      </c>
      <c r="AF14" s="156">
        <f t="shared" si="7"/>
        <v>385</v>
      </c>
      <c r="AG14" s="156">
        <f t="shared" si="8"/>
        <v>-67</v>
      </c>
      <c r="AH14" s="156">
        <f t="shared" si="9"/>
        <v>-972</v>
      </c>
      <c r="AI14" s="156">
        <f t="shared" si="10"/>
        <v>263</v>
      </c>
      <c r="AJ14" s="156">
        <f t="shared" si="10"/>
        <v>137</v>
      </c>
      <c r="AK14" s="1082">
        <f>AK10-AJ10</f>
        <v>-499.65999999999622</v>
      </c>
      <c r="AL14" s="1082">
        <f t="shared" si="10"/>
        <v>-1352.1766164961082</v>
      </c>
      <c r="AM14" s="450"/>
      <c r="AN14" s="156"/>
      <c r="AO14" s="156"/>
      <c r="AT14" s="156"/>
      <c r="BR14" s="156"/>
      <c r="BS14" s="156"/>
      <c r="BT14" s="156"/>
      <c r="BU14" s="156"/>
      <c r="BV14" s="156"/>
      <c r="BW14" s="156"/>
      <c r="BX14" s="156"/>
      <c r="BY14" s="154" t="s">
        <v>919</v>
      </c>
      <c r="BZ14" s="154">
        <f>AVERAGE(Z35:AC35)</f>
        <v>14.25</v>
      </c>
      <c r="CA14" s="154"/>
      <c r="CB14" s="154"/>
      <c r="CC14" s="154"/>
      <c r="CD14" s="154"/>
      <c r="CE14" s="156">
        <v>417.6213873815941</v>
      </c>
      <c r="CF14" s="156"/>
      <c r="CG14" s="155"/>
      <c r="CH14" s="155"/>
      <c r="CI14" s="156"/>
      <c r="CJ14" s="155"/>
      <c r="CK14" s="450"/>
      <c r="CL14" s="156"/>
      <c r="CM14" s="156"/>
      <c r="CN14" s="156"/>
      <c r="CO14" s="156"/>
      <c r="CP14" s="156"/>
      <c r="CQ14" s="156"/>
      <c r="CR14" s="156"/>
      <c r="CS14" s="156"/>
      <c r="CT14" s="156"/>
      <c r="CU14" s="156"/>
      <c r="CV14" s="156"/>
      <c r="CW14" s="156">
        <v>-411.65706017971388</v>
      </c>
      <c r="CX14" s="450"/>
      <c r="CY14" s="156"/>
      <c r="CZ14" s="156"/>
      <c r="DA14" s="1082">
        <v>-320.37999999999738</v>
      </c>
    </row>
    <row r="15" spans="1:105">
      <c r="A15" s="154"/>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6"/>
      <c r="AB15" s="156"/>
      <c r="AC15" s="156"/>
      <c r="AD15" s="156"/>
      <c r="AE15" s="156"/>
      <c r="AF15" s="156"/>
      <c r="AG15" s="156"/>
      <c r="AH15" s="156"/>
      <c r="AI15" s="156"/>
      <c r="AJ15" s="156"/>
      <c r="AK15" s="1082"/>
      <c r="AL15" s="1082"/>
      <c r="AM15" s="408"/>
      <c r="AN15" s="155"/>
      <c r="AO15" s="155"/>
      <c r="AT15" s="156"/>
      <c r="BR15" s="155"/>
      <c r="BS15" s="155"/>
      <c r="BT15" s="155"/>
      <c r="BU15" s="155"/>
      <c r="BV15" s="155"/>
      <c r="BW15" s="155"/>
      <c r="BX15" s="155"/>
      <c r="BY15" s="154"/>
      <c r="BZ15" s="154"/>
      <c r="CA15" s="154"/>
      <c r="CB15" s="154"/>
      <c r="CC15" s="154"/>
      <c r="CD15" s="154"/>
      <c r="CE15" s="156"/>
      <c r="CF15" s="156"/>
      <c r="CG15" s="155"/>
      <c r="CH15" s="155"/>
      <c r="CI15" s="155"/>
      <c r="CJ15" s="155"/>
      <c r="CK15" s="408"/>
      <c r="CL15" s="156"/>
      <c r="CM15" s="155"/>
      <c r="CN15" s="155"/>
      <c r="CO15" s="155"/>
      <c r="CP15" s="155"/>
      <c r="CQ15" s="156"/>
      <c r="CR15" s="155"/>
      <c r="CS15" s="155"/>
      <c r="CT15" s="155"/>
      <c r="CU15" s="155"/>
      <c r="CV15" s="155"/>
      <c r="CW15" s="156"/>
      <c r="CX15" s="408"/>
      <c r="CY15" s="155"/>
      <c r="CZ15" s="155"/>
      <c r="DA15" s="1082"/>
    </row>
    <row r="16" spans="1:105" hidden="1" outlineLevel="1">
      <c r="A16" s="154" t="s">
        <v>837</v>
      </c>
      <c r="B16" s="155"/>
      <c r="C16" s="155"/>
      <c r="D16" s="155"/>
      <c r="E16" s="155"/>
      <c r="F16" s="155"/>
      <c r="G16" s="155"/>
      <c r="H16" s="155"/>
      <c r="I16" s="155"/>
      <c r="J16" s="155"/>
      <c r="K16" s="155"/>
      <c r="L16" s="155"/>
      <c r="M16" s="155"/>
      <c r="N16" s="155"/>
      <c r="O16" s="155"/>
      <c r="P16" s="155"/>
      <c r="Q16" s="155"/>
      <c r="R16" s="155"/>
      <c r="S16" s="155"/>
      <c r="T16" s="155"/>
      <c r="U16" s="155"/>
      <c r="V16" s="155"/>
      <c r="W16" s="444">
        <v>2115</v>
      </c>
      <c r="X16" s="444">
        <v>5691</v>
      </c>
      <c r="Y16" s="444"/>
      <c r="Z16" s="444"/>
      <c r="AA16" s="444"/>
      <c r="AB16" s="444"/>
      <c r="AC16" s="444"/>
      <c r="AD16" s="444"/>
      <c r="AE16" s="444"/>
      <c r="AF16" s="444"/>
      <c r="AG16" s="444"/>
      <c r="AH16" s="444"/>
      <c r="AI16" s="444"/>
      <c r="AJ16" s="444"/>
      <c r="AK16" s="1079"/>
      <c r="AL16" s="1079"/>
      <c r="AM16" s="445"/>
      <c r="AN16" s="444"/>
      <c r="AO16" s="444"/>
      <c r="AT16" s="444"/>
      <c r="BR16" s="444"/>
      <c r="BS16" s="444"/>
      <c r="BT16" s="444"/>
      <c r="BU16" s="444"/>
      <c r="BV16" s="444"/>
      <c r="BW16" s="444"/>
      <c r="BX16" s="444"/>
      <c r="BY16" s="154"/>
      <c r="BZ16" s="154"/>
      <c r="CA16" s="154"/>
      <c r="CB16" s="154"/>
      <c r="CC16" s="154"/>
      <c r="CD16" s="154"/>
      <c r="CE16" s="444"/>
      <c r="CF16" s="444"/>
      <c r="CG16" s="155"/>
      <c r="CH16" s="155"/>
      <c r="CI16" s="155"/>
      <c r="CJ16" s="155"/>
      <c r="CK16" s="445"/>
      <c r="CL16" s="444"/>
      <c r="CM16" s="444"/>
      <c r="CN16" s="444"/>
      <c r="CO16" s="444"/>
      <c r="CP16" s="444"/>
      <c r="CQ16" s="444"/>
      <c r="CR16" s="444"/>
      <c r="CS16" s="444"/>
      <c r="CT16" s="444"/>
      <c r="CU16" s="444"/>
      <c r="CV16" s="444"/>
      <c r="CW16" s="444"/>
      <c r="CX16" s="445"/>
      <c r="CY16" s="444"/>
      <c r="CZ16" s="444"/>
      <c r="DA16" s="1079"/>
    </row>
    <row r="17" spans="1:105" hidden="1" outlineLevel="1">
      <c r="A17" s="154" t="s">
        <v>745</v>
      </c>
      <c r="B17" s="155"/>
      <c r="C17" s="155"/>
      <c r="D17" s="155"/>
      <c r="E17" s="155"/>
      <c r="F17" s="155"/>
      <c r="G17" s="155"/>
      <c r="H17" s="155"/>
      <c r="I17" s="155"/>
      <c r="J17" s="155"/>
      <c r="K17" s="155"/>
      <c r="L17" s="155"/>
      <c r="M17" s="155"/>
      <c r="N17" s="155"/>
      <c r="O17" s="155"/>
      <c r="P17" s="155"/>
      <c r="Q17" s="155"/>
      <c r="R17" s="155"/>
      <c r="S17" s="155"/>
      <c r="T17" s="155"/>
      <c r="U17" s="155"/>
      <c r="V17" s="155"/>
      <c r="W17" s="156">
        <f>W9-W16</f>
        <v>31160</v>
      </c>
      <c r="X17" s="156">
        <f>X9-X16</f>
        <v>33361</v>
      </c>
      <c r="Y17" s="156"/>
      <c r="Z17" s="156"/>
      <c r="AA17" s="156"/>
      <c r="AB17" s="156"/>
      <c r="AC17" s="156"/>
      <c r="AD17" s="156"/>
      <c r="AE17" s="156"/>
      <c r="AF17" s="156"/>
      <c r="AG17" s="156"/>
      <c r="AH17" s="156"/>
      <c r="AI17" s="156"/>
      <c r="AJ17" s="156"/>
      <c r="AK17" s="1082"/>
      <c r="AL17" s="1082"/>
      <c r="AM17" s="450"/>
      <c r="AN17" s="156"/>
      <c r="AO17" s="156"/>
      <c r="AT17" s="156"/>
      <c r="BR17" s="156"/>
      <c r="BS17" s="156"/>
      <c r="BT17" s="156"/>
      <c r="BU17" s="156"/>
      <c r="BV17" s="156"/>
      <c r="BW17" s="156"/>
      <c r="BX17" s="156"/>
      <c r="BY17" s="154"/>
      <c r="BZ17" s="154"/>
      <c r="CA17" s="154"/>
      <c r="CB17" s="154"/>
      <c r="CC17" s="154"/>
      <c r="CD17" s="154"/>
      <c r="CE17" s="156"/>
      <c r="CF17" s="156"/>
      <c r="CG17" s="155"/>
      <c r="CH17" s="155"/>
      <c r="CI17" s="155"/>
      <c r="CJ17" s="155"/>
      <c r="CK17" s="450"/>
      <c r="CL17" s="156"/>
      <c r="CM17" s="156"/>
      <c r="CN17" s="156"/>
      <c r="CO17" s="156"/>
      <c r="CP17" s="156"/>
      <c r="CQ17" s="156"/>
      <c r="CR17" s="156"/>
      <c r="CS17" s="156"/>
      <c r="CT17" s="156"/>
      <c r="CU17" s="156"/>
      <c r="CV17" s="156"/>
      <c r="CW17" s="156"/>
      <c r="CX17" s="450"/>
      <c r="CY17" s="156"/>
      <c r="CZ17" s="156"/>
      <c r="DA17" s="1082"/>
    </row>
    <row r="18" spans="1:105" hidden="1" outlineLevel="1">
      <c r="A18" s="154" t="s">
        <v>839</v>
      </c>
      <c r="B18" s="155"/>
      <c r="C18" s="155"/>
      <c r="D18" s="155"/>
      <c r="E18" s="155"/>
      <c r="F18" s="155"/>
      <c r="G18" s="155"/>
      <c r="H18" s="155"/>
      <c r="I18" s="155"/>
      <c r="J18" s="155"/>
      <c r="K18" s="155"/>
      <c r="L18" s="155"/>
      <c r="M18" s="155"/>
      <c r="N18" s="155"/>
      <c r="O18" s="155"/>
      <c r="P18" s="155"/>
      <c r="Q18" s="155"/>
      <c r="R18" s="155"/>
      <c r="S18" s="155"/>
      <c r="T18" s="155"/>
      <c r="U18" s="155"/>
      <c r="V18" s="155"/>
      <c r="W18" s="156">
        <f>W17-V9</f>
        <v>117</v>
      </c>
      <c r="X18" s="156">
        <f>X17-W9</f>
        <v>86</v>
      </c>
      <c r="Y18" s="156"/>
      <c r="Z18" s="156"/>
      <c r="AA18" s="156"/>
      <c r="AB18" s="156"/>
      <c r="AC18" s="156"/>
      <c r="AD18" s="156"/>
      <c r="AE18" s="156"/>
      <c r="AF18" s="156"/>
      <c r="AG18" s="156"/>
      <c r="AH18" s="156"/>
      <c r="AI18" s="156"/>
      <c r="AJ18" s="156"/>
      <c r="AK18" s="1082"/>
      <c r="AL18" s="1082"/>
      <c r="AM18" s="450"/>
      <c r="AN18" s="156"/>
      <c r="AO18" s="156"/>
      <c r="AT18" s="156"/>
      <c r="BR18" s="156"/>
      <c r="BS18" s="156"/>
      <c r="BT18" s="156"/>
      <c r="BU18" s="156"/>
      <c r="BV18" s="156"/>
      <c r="BW18" s="156"/>
      <c r="BX18" s="156"/>
      <c r="BY18" s="154"/>
      <c r="BZ18" s="154"/>
      <c r="CA18" s="154"/>
      <c r="CB18" s="154"/>
      <c r="CC18" s="154"/>
      <c r="CD18" s="154"/>
      <c r="CE18" s="156"/>
      <c r="CF18" s="156"/>
      <c r="CG18" s="155"/>
      <c r="CH18" s="155"/>
      <c r="CI18" s="155"/>
      <c r="CJ18" s="155"/>
      <c r="CK18" s="450"/>
      <c r="CL18" s="156"/>
      <c r="CM18" s="156"/>
      <c r="CN18" s="156"/>
      <c r="CO18" s="156"/>
      <c r="CP18" s="156"/>
      <c r="CQ18" s="156"/>
      <c r="CR18" s="156"/>
      <c r="CS18" s="156"/>
      <c r="CT18" s="156"/>
      <c r="CU18" s="156"/>
      <c r="CV18" s="156"/>
      <c r="CW18" s="156"/>
      <c r="CX18" s="450"/>
      <c r="CY18" s="156"/>
      <c r="CZ18" s="156"/>
      <c r="DA18" s="1082"/>
    </row>
    <row r="19" spans="1:105" hidden="1" outlineLevel="1">
      <c r="A19" s="154"/>
      <c r="B19" s="155"/>
      <c r="C19" s="155"/>
      <c r="D19" s="155"/>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078"/>
      <c r="AL19" s="1078"/>
      <c r="AM19" s="408"/>
      <c r="AN19" s="155"/>
      <c r="AO19" s="155"/>
      <c r="AT19" s="155"/>
      <c r="BR19" s="155"/>
      <c r="BS19" s="155"/>
      <c r="BT19" s="155"/>
      <c r="BU19" s="155"/>
      <c r="BV19" s="155"/>
      <c r="BW19" s="155"/>
      <c r="BX19" s="155"/>
      <c r="BY19" s="154"/>
      <c r="BZ19" s="154"/>
      <c r="CA19" s="154"/>
      <c r="CB19" s="154"/>
      <c r="CC19" s="154"/>
      <c r="CD19" s="154"/>
      <c r="CE19" s="155"/>
      <c r="CF19" s="155"/>
      <c r="CG19" s="155"/>
      <c r="CH19" s="155"/>
      <c r="CI19" s="155"/>
      <c r="CJ19" s="155"/>
      <c r="CK19" s="408"/>
      <c r="CL19" s="155"/>
      <c r="CM19" s="155"/>
      <c r="CN19" s="155"/>
      <c r="CO19" s="155"/>
      <c r="CP19" s="155"/>
      <c r="CQ19" s="155"/>
      <c r="CR19" s="155"/>
      <c r="CS19" s="155"/>
      <c r="CT19" s="155"/>
      <c r="CU19" s="155"/>
      <c r="CV19" s="155"/>
      <c r="CW19" s="155"/>
      <c r="CX19" s="408"/>
      <c r="CY19" s="155"/>
      <c r="CZ19" s="155"/>
      <c r="DA19" s="1078"/>
    </row>
    <row r="20" spans="1:105" hidden="1" outlineLevel="1">
      <c r="A20" s="154" t="s">
        <v>838</v>
      </c>
      <c r="B20" s="155"/>
      <c r="C20" s="155"/>
      <c r="D20" s="155"/>
      <c r="E20" s="155"/>
      <c r="F20" s="155"/>
      <c r="G20" s="155"/>
      <c r="H20" s="155"/>
      <c r="I20" s="155"/>
      <c r="J20" s="155"/>
      <c r="K20" s="155"/>
      <c r="L20" s="155"/>
      <c r="M20" s="155"/>
      <c r="N20" s="155"/>
      <c r="O20" s="155"/>
      <c r="P20" s="155"/>
      <c r="Q20" s="155"/>
      <c r="R20" s="155"/>
      <c r="S20" s="155"/>
      <c r="T20" s="155"/>
      <c r="U20" s="155"/>
      <c r="V20" s="155"/>
      <c r="W20" s="451">
        <f>Latam!B113</f>
        <v>2961</v>
      </c>
      <c r="X20" s="451">
        <f>1.2*X16</f>
        <v>6829.2</v>
      </c>
      <c r="Y20" s="451"/>
      <c r="Z20" s="451"/>
      <c r="AA20" s="451"/>
      <c r="AB20" s="451"/>
      <c r="AC20" s="451"/>
      <c r="AD20" s="451"/>
      <c r="AE20" s="451"/>
      <c r="AF20" s="451"/>
      <c r="AG20" s="451"/>
      <c r="AH20" s="451"/>
      <c r="AI20" s="451"/>
      <c r="AJ20" s="451"/>
      <c r="AK20" s="447"/>
      <c r="AL20" s="447"/>
      <c r="AM20" s="452"/>
      <c r="AN20" s="451"/>
      <c r="AO20" s="451"/>
      <c r="AT20" s="451"/>
      <c r="BR20" s="451"/>
      <c r="BS20" s="451"/>
      <c r="BT20" s="451"/>
      <c r="BU20" s="451"/>
      <c r="BV20" s="451"/>
      <c r="BW20" s="451"/>
      <c r="BX20" s="451"/>
      <c r="BY20" s="154"/>
      <c r="BZ20" s="154"/>
      <c r="CA20" s="154"/>
      <c r="CB20" s="154"/>
      <c r="CC20" s="154"/>
      <c r="CD20" s="154"/>
      <c r="CE20" s="451"/>
      <c r="CF20" s="451"/>
      <c r="CG20" s="155"/>
      <c r="CH20" s="155"/>
      <c r="CI20" s="155"/>
      <c r="CJ20" s="155"/>
      <c r="CK20" s="452"/>
      <c r="CL20" s="451"/>
      <c r="CM20" s="451"/>
      <c r="CN20" s="451"/>
      <c r="CO20" s="451"/>
      <c r="CP20" s="451"/>
      <c r="CQ20" s="451"/>
      <c r="CR20" s="451"/>
      <c r="CS20" s="451"/>
      <c r="CT20" s="451"/>
      <c r="CU20" s="451"/>
      <c r="CV20" s="451"/>
      <c r="CW20" s="451"/>
      <c r="CX20" s="452"/>
      <c r="CY20" s="451"/>
      <c r="CZ20" s="451"/>
      <c r="DA20" s="447"/>
    </row>
    <row r="21" spans="1:105" hidden="1" outlineLevel="1">
      <c r="A21" s="154" t="s">
        <v>746</v>
      </c>
      <c r="B21" s="155"/>
      <c r="C21" s="155"/>
      <c r="D21" s="155"/>
      <c r="E21" s="155"/>
      <c r="F21" s="155"/>
      <c r="G21" s="155"/>
      <c r="H21" s="155"/>
      <c r="I21" s="155"/>
      <c r="J21" s="155"/>
      <c r="K21" s="155"/>
      <c r="L21" s="155"/>
      <c r="M21" s="155"/>
      <c r="N21" s="155"/>
      <c r="O21" s="155"/>
      <c r="P21" s="155"/>
      <c r="Q21" s="155"/>
      <c r="R21" s="155"/>
      <c r="S21" s="155"/>
      <c r="T21" s="155"/>
      <c r="U21" s="155"/>
      <c r="V21" s="155"/>
      <c r="W21" s="156">
        <f>W10-W20</f>
        <v>46682</v>
      </c>
      <c r="X21" s="156">
        <f>X10-X20</f>
        <v>50551.8</v>
      </c>
      <c r="Y21" s="156"/>
      <c r="Z21" s="156"/>
      <c r="AA21" s="156"/>
      <c r="AB21" s="156"/>
      <c r="AC21" s="156"/>
      <c r="AD21" s="156"/>
      <c r="AE21" s="156"/>
      <c r="AF21" s="156"/>
      <c r="AG21" s="156"/>
      <c r="AH21" s="156"/>
      <c r="AI21" s="156"/>
      <c r="AJ21" s="156"/>
      <c r="AK21" s="1082"/>
      <c r="AL21" s="1082"/>
      <c r="AM21" s="450"/>
      <c r="AN21" s="156"/>
      <c r="AO21" s="156"/>
      <c r="AT21" s="156"/>
      <c r="BR21" s="156"/>
      <c r="BS21" s="156"/>
      <c r="BT21" s="156"/>
      <c r="BU21" s="156"/>
      <c r="BV21" s="156"/>
      <c r="BW21" s="156"/>
      <c r="BX21" s="156"/>
      <c r="BY21" s="154"/>
      <c r="BZ21" s="154"/>
      <c r="CA21" s="154"/>
      <c r="CB21" s="154"/>
      <c r="CC21" s="154"/>
      <c r="CD21" s="154"/>
      <c r="CE21" s="156"/>
      <c r="CF21" s="156"/>
      <c r="CG21" s="155"/>
      <c r="CH21" s="155"/>
      <c r="CI21" s="155"/>
      <c r="CJ21" s="155"/>
      <c r="CK21" s="450"/>
      <c r="CL21" s="156"/>
      <c r="CM21" s="156"/>
      <c r="CN21" s="156"/>
      <c r="CO21" s="156"/>
      <c r="CP21" s="156"/>
      <c r="CQ21" s="156"/>
      <c r="CR21" s="156"/>
      <c r="CS21" s="156"/>
      <c r="CT21" s="156"/>
      <c r="CU21" s="156"/>
      <c r="CV21" s="156"/>
      <c r="CW21" s="156"/>
      <c r="CX21" s="450"/>
      <c r="CY21" s="156"/>
      <c r="CZ21" s="156"/>
      <c r="DA21" s="1082"/>
    </row>
    <row r="22" spans="1:105" hidden="1" outlineLevel="1">
      <c r="A22" s="154" t="s">
        <v>839</v>
      </c>
      <c r="B22" s="155"/>
      <c r="C22" s="155"/>
      <c r="D22" s="155"/>
      <c r="E22" s="155"/>
      <c r="F22" s="155"/>
      <c r="G22" s="155"/>
      <c r="H22" s="155"/>
      <c r="I22" s="155"/>
      <c r="J22" s="155"/>
      <c r="K22" s="155"/>
      <c r="L22" s="155"/>
      <c r="M22" s="155"/>
      <c r="N22" s="155"/>
      <c r="O22" s="155"/>
      <c r="P22" s="155"/>
      <c r="Q22" s="155"/>
      <c r="R22" s="155"/>
      <c r="S22" s="155"/>
      <c r="T22" s="155"/>
      <c r="U22" s="155"/>
      <c r="V22" s="155"/>
      <c r="W22" s="156">
        <f>W21-V10</f>
        <v>268</v>
      </c>
      <c r="X22" s="156">
        <f>X21-W10</f>
        <v>908.80000000000291</v>
      </c>
      <c r="Y22" s="156"/>
      <c r="Z22" s="156"/>
      <c r="AA22" s="156"/>
      <c r="AB22" s="156"/>
      <c r="AC22" s="156"/>
      <c r="AD22" s="156"/>
      <c r="AE22" s="156"/>
      <c r="AF22" s="156"/>
      <c r="AG22" s="156"/>
      <c r="AH22" s="156"/>
      <c r="AI22" s="156"/>
      <c r="AJ22" s="156"/>
      <c r="AK22" s="1082"/>
      <c r="AL22" s="1082"/>
      <c r="AM22" s="450"/>
      <c r="AN22" s="156"/>
      <c r="AO22" s="156"/>
      <c r="AT22" s="156"/>
      <c r="BR22" s="156"/>
      <c r="BS22" s="156"/>
      <c r="BT22" s="156"/>
      <c r="BU22" s="156"/>
      <c r="BV22" s="156"/>
      <c r="BW22" s="156"/>
      <c r="BX22" s="156"/>
      <c r="BY22" s="154"/>
      <c r="BZ22" s="154"/>
      <c r="CA22" s="154"/>
      <c r="CB22" s="154"/>
      <c r="CC22" s="154"/>
      <c r="CD22" s="154"/>
      <c r="CE22" s="156"/>
      <c r="CF22" s="156"/>
      <c r="CG22" s="155"/>
      <c r="CH22" s="155"/>
      <c r="CI22" s="155"/>
      <c r="CJ22" s="155"/>
      <c r="CK22" s="450"/>
      <c r="CL22" s="156"/>
      <c r="CM22" s="156"/>
      <c r="CN22" s="156"/>
      <c r="CO22" s="156"/>
      <c r="CP22" s="156"/>
      <c r="CQ22" s="156"/>
      <c r="CR22" s="156"/>
      <c r="CS22" s="156"/>
      <c r="CT22" s="156"/>
      <c r="CU22" s="156"/>
      <c r="CV22" s="156"/>
      <c r="CW22" s="156"/>
      <c r="CX22" s="450"/>
      <c r="CY22" s="156"/>
      <c r="CZ22" s="156"/>
      <c r="DA22" s="1082"/>
    </row>
    <row r="23" spans="1:105" hidden="1" outlineLevel="1">
      <c r="A23" s="154"/>
      <c r="B23" s="155"/>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078"/>
      <c r="AL23" s="1078"/>
      <c r="AM23" s="408"/>
      <c r="AN23" s="155"/>
      <c r="AO23" s="155"/>
      <c r="AT23" s="155"/>
      <c r="BR23" s="155"/>
      <c r="BS23" s="155"/>
      <c r="BT23" s="155"/>
      <c r="BU23" s="155"/>
      <c r="BV23" s="155"/>
      <c r="BW23" s="155"/>
      <c r="BX23" s="155"/>
      <c r="BY23" s="154"/>
      <c r="BZ23" s="154"/>
      <c r="CA23" s="154"/>
      <c r="CB23" s="154"/>
      <c r="CC23" s="154"/>
      <c r="CD23" s="154"/>
      <c r="CE23" s="155"/>
      <c r="CF23" s="155"/>
      <c r="CG23" s="155"/>
      <c r="CH23" s="155"/>
      <c r="CI23" s="155"/>
      <c r="CJ23" s="155"/>
      <c r="CK23" s="408"/>
      <c r="CL23" s="155"/>
      <c r="CM23" s="155"/>
      <c r="CN23" s="155"/>
      <c r="CO23" s="155"/>
      <c r="CP23" s="155"/>
      <c r="CQ23" s="155"/>
      <c r="CR23" s="155"/>
      <c r="CS23" s="155"/>
      <c r="CT23" s="155"/>
      <c r="CU23" s="155"/>
      <c r="CV23" s="155"/>
      <c r="CW23" s="155"/>
      <c r="CX23" s="408"/>
      <c r="CY23" s="155"/>
      <c r="CZ23" s="155"/>
      <c r="DA23" s="1078"/>
    </row>
    <row r="24" spans="1:105" hidden="1" outlineLevel="1">
      <c r="A24" s="154" t="s">
        <v>840</v>
      </c>
      <c r="B24" s="155"/>
      <c r="C24" s="155"/>
      <c r="D24" s="155"/>
      <c r="E24" s="155"/>
      <c r="F24" s="155"/>
      <c r="G24" s="155"/>
      <c r="H24" s="155"/>
      <c r="I24" s="155"/>
      <c r="J24" s="155"/>
      <c r="K24" s="155"/>
      <c r="L24" s="155"/>
      <c r="M24" s="155"/>
      <c r="N24" s="155"/>
      <c r="O24" s="155"/>
      <c r="P24" s="155"/>
      <c r="Q24" s="155"/>
      <c r="R24" s="155"/>
      <c r="S24" s="155"/>
      <c r="T24" s="155"/>
      <c r="U24" s="155"/>
      <c r="V24" s="155"/>
      <c r="W24" s="448">
        <f>W21/W17</f>
        <v>1.4981386392811296</v>
      </c>
      <c r="X24" s="448">
        <f>X21/X17</f>
        <v>1.5152963040676239</v>
      </c>
      <c r="Y24" s="448"/>
      <c r="Z24" s="448"/>
      <c r="AA24" s="448"/>
      <c r="AB24" s="448"/>
      <c r="AC24" s="448"/>
      <c r="AD24" s="448"/>
      <c r="AE24" s="448"/>
      <c r="AF24" s="448"/>
      <c r="AG24" s="448"/>
      <c r="AH24" s="448"/>
      <c r="AI24" s="448"/>
      <c r="AJ24" s="448"/>
      <c r="AK24" s="1080"/>
      <c r="AL24" s="1080"/>
      <c r="AM24" s="449"/>
      <c r="AN24" s="448"/>
      <c r="AO24" s="448"/>
      <c r="AT24" s="448"/>
      <c r="BR24" s="448"/>
      <c r="BS24" s="448"/>
      <c r="BT24" s="448"/>
      <c r="BU24" s="448"/>
      <c r="BV24" s="448"/>
      <c r="BW24" s="448"/>
      <c r="BX24" s="448"/>
      <c r="BY24" s="154"/>
      <c r="BZ24" s="154"/>
      <c r="CA24" s="154"/>
      <c r="CB24" s="154"/>
      <c r="CC24" s="154"/>
      <c r="CD24" s="154"/>
      <c r="CE24" s="448"/>
      <c r="CF24" s="448"/>
      <c r="CG24" s="155"/>
      <c r="CH24" s="155"/>
      <c r="CI24" s="155"/>
      <c r="CJ24" s="155"/>
      <c r="CK24" s="449"/>
      <c r="CL24" s="448"/>
      <c r="CM24" s="448"/>
      <c r="CN24" s="448"/>
      <c r="CO24" s="448"/>
      <c r="CP24" s="448"/>
      <c r="CQ24" s="448"/>
      <c r="CR24" s="448"/>
      <c r="CS24" s="448"/>
      <c r="CT24" s="448"/>
      <c r="CU24" s="448"/>
      <c r="CV24" s="448"/>
      <c r="CW24" s="448"/>
      <c r="CX24" s="449"/>
      <c r="CY24" s="448"/>
      <c r="CZ24" s="448"/>
      <c r="DA24" s="1080"/>
    </row>
    <row r="25" spans="1:105" hidden="1" outlineLevel="1">
      <c r="A25" s="154"/>
      <c r="B25" s="155"/>
      <c r="C25" s="155"/>
      <c r="D25" s="155"/>
      <c r="E25" s="155"/>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078"/>
      <c r="AL25" s="1078"/>
      <c r="AM25" s="408"/>
      <c r="AN25" s="155"/>
      <c r="AO25" s="155"/>
      <c r="AT25" s="155"/>
      <c r="BR25" s="155"/>
      <c r="BS25" s="155"/>
      <c r="BT25" s="155"/>
      <c r="BU25" s="155"/>
      <c r="BV25" s="155"/>
      <c r="BW25" s="155"/>
      <c r="BX25" s="155"/>
      <c r="BY25" s="154"/>
      <c r="BZ25" s="154"/>
      <c r="CA25" s="154"/>
      <c r="CB25" s="154"/>
      <c r="CC25" s="154"/>
      <c r="CD25" s="154"/>
      <c r="CE25" s="155"/>
      <c r="CF25" s="155"/>
      <c r="CG25" s="155"/>
      <c r="CH25" s="155"/>
      <c r="CI25" s="155"/>
      <c r="CJ25" s="155"/>
      <c r="CK25" s="408"/>
      <c r="CL25" s="155"/>
      <c r="CM25" s="155"/>
      <c r="CN25" s="155"/>
      <c r="CO25" s="155"/>
      <c r="CP25" s="155"/>
      <c r="CQ25" s="155"/>
      <c r="CR25" s="155"/>
      <c r="CS25" s="155"/>
      <c r="CT25" s="155"/>
      <c r="CU25" s="155"/>
      <c r="CV25" s="155"/>
      <c r="CW25" s="155"/>
      <c r="CX25" s="408"/>
      <c r="CY25" s="155"/>
      <c r="CZ25" s="155"/>
      <c r="DA25" s="1078"/>
    </row>
    <row r="26" spans="1:105" collapsed="1">
      <c r="A26" s="154" t="s">
        <v>1185</v>
      </c>
      <c r="B26" s="155"/>
      <c r="C26" s="155"/>
      <c r="D26" s="155"/>
      <c r="E26" s="155"/>
      <c r="F26" s="155"/>
      <c r="G26" s="155"/>
      <c r="H26" s="155"/>
      <c r="I26" s="155"/>
      <c r="J26" s="155"/>
      <c r="K26" s="155"/>
      <c r="L26" s="155"/>
      <c r="M26" s="155"/>
      <c r="N26" s="155"/>
      <c r="O26" s="451">
        <f t="shared" ref="O26:AF26" si="11">O99*1000000/AVERAGE(N10:O10)/3</f>
        <v>2857.1281304563527</v>
      </c>
      <c r="P26" s="451">
        <f t="shared" si="11"/>
        <v>2692.4394758663752</v>
      </c>
      <c r="Q26" s="451">
        <f t="shared" si="11"/>
        <v>2894.2763326058321</v>
      </c>
      <c r="R26" s="451">
        <f t="shared" si="11"/>
        <v>2896.9890054972511</v>
      </c>
      <c r="S26" s="451">
        <f t="shared" si="11"/>
        <v>2768.1780084273855</v>
      </c>
      <c r="T26" s="451">
        <f t="shared" si="11"/>
        <v>2987.0708872046366</v>
      </c>
      <c r="U26" s="451">
        <f t="shared" si="11"/>
        <v>2920.654343107693</v>
      </c>
      <c r="V26" s="451">
        <f t="shared" si="11"/>
        <v>2999.5277185923846</v>
      </c>
      <c r="W26" s="451">
        <f t="shared" si="11"/>
        <v>3096.0783701343994</v>
      </c>
      <c r="X26" s="451">
        <f t="shared" si="11"/>
        <v>2915.2339662131858</v>
      </c>
      <c r="Y26" s="451">
        <f t="shared" si="11"/>
        <v>3013.1107911006238</v>
      </c>
      <c r="Z26" s="451">
        <f t="shared" si="11"/>
        <v>3010.8930217116299</v>
      </c>
      <c r="AA26" s="451">
        <f t="shared" si="11"/>
        <v>3444.1693297577945</v>
      </c>
      <c r="AB26" s="451">
        <f t="shared" si="11"/>
        <v>3123.1148811106445</v>
      </c>
      <c r="AC26" s="451">
        <f t="shared" si="11"/>
        <v>2646.5549728132287</v>
      </c>
      <c r="AD26" s="451">
        <f t="shared" si="11"/>
        <v>2857.8716200118283</v>
      </c>
      <c r="AE26" s="451">
        <f t="shared" si="11"/>
        <v>2327.5756462085019</v>
      </c>
      <c r="AF26" s="451">
        <f t="shared" si="11"/>
        <v>2409.0580582992047</v>
      </c>
      <c r="AG26" s="451">
        <f>AG99*1000000/AVERAGE(AF10:AG10)/3</f>
        <v>2321.4164395138237</v>
      </c>
      <c r="AH26" s="451">
        <f t="shared" ref="AH26" si="12">AH99*1000000/AVERAGE(AG10:AH10)/3</f>
        <v>2439.1738677452963</v>
      </c>
      <c r="AI26" s="451">
        <f>AI99*1000000/AVERAGE(AH10:AI10)/3</f>
        <v>2463.8010127589696</v>
      </c>
      <c r="AJ26" s="451">
        <f>AJ99*1000000/AVERAGE(AI10:AJ10)/3</f>
        <v>2418.6768776166259</v>
      </c>
      <c r="AK26" s="447">
        <f>AK99*1000000/AVERAGE(AJ10:AK10)/3</f>
        <v>2437.2545621623458</v>
      </c>
      <c r="AL26" s="447">
        <f>AL99*1000000/AVERAGE(AK10:AL10)/3</f>
        <v>2375.4898768145508</v>
      </c>
      <c r="AM26" s="452"/>
      <c r="AN26" s="451"/>
      <c r="AO26" s="451"/>
      <c r="AT26" s="451"/>
      <c r="BR26" s="451"/>
      <c r="BS26" s="451"/>
      <c r="BT26" s="451"/>
      <c r="BU26" s="451"/>
      <c r="BV26" s="451"/>
      <c r="BW26" s="451"/>
      <c r="BX26" s="451"/>
      <c r="BY26" s="154"/>
      <c r="BZ26" s="154"/>
      <c r="CA26" s="154"/>
      <c r="CB26" s="154"/>
      <c r="CC26" s="154"/>
      <c r="CD26" s="154"/>
      <c r="CE26" s="451">
        <v>2645.9830439838438</v>
      </c>
      <c r="CF26" s="451"/>
      <c r="CG26" s="155"/>
      <c r="CH26" s="155"/>
      <c r="CI26" s="155"/>
      <c r="CJ26" s="155"/>
      <c r="CK26" s="452"/>
      <c r="CL26" s="451"/>
      <c r="CM26" s="451"/>
      <c r="CN26" s="451"/>
      <c r="CO26" s="451"/>
      <c r="CP26" s="451"/>
      <c r="CQ26" s="451"/>
      <c r="CR26" s="451"/>
      <c r="CS26" s="451"/>
      <c r="CT26" s="451"/>
      <c r="CU26" s="451"/>
      <c r="CV26" s="451"/>
      <c r="CW26" s="451">
        <v>2315.5568373217443</v>
      </c>
      <c r="CX26" s="452"/>
      <c r="CY26" s="451"/>
      <c r="CZ26" s="451"/>
      <c r="DA26" s="447">
        <v>2377.5154772612796</v>
      </c>
    </row>
    <row r="27" spans="1:105">
      <c r="A27" s="154" t="s">
        <v>633</v>
      </c>
      <c r="B27" s="155"/>
      <c r="C27" s="155"/>
      <c r="D27" s="155"/>
      <c r="E27" s="155"/>
      <c r="F27" s="155"/>
      <c r="G27" s="155"/>
      <c r="H27" s="155"/>
      <c r="I27" s="155"/>
      <c r="J27" s="155"/>
      <c r="K27" s="155"/>
      <c r="L27" s="155"/>
      <c r="M27" s="155"/>
      <c r="N27" s="155"/>
      <c r="O27" s="155"/>
      <c r="P27" s="155"/>
      <c r="Q27" s="155"/>
      <c r="R27" s="155"/>
      <c r="S27" s="446">
        <f t="shared" ref="S27:AF27" si="13">S26/O26-1</f>
        <v>-3.113270317868444E-2</v>
      </c>
      <c r="T27" s="446">
        <f t="shared" si="13"/>
        <v>0.10942916785286494</v>
      </c>
      <c r="U27" s="446">
        <f t="shared" si="13"/>
        <v>9.113853506210301E-3</v>
      </c>
      <c r="V27" s="446">
        <f t="shared" si="13"/>
        <v>3.5394926560148754E-2</v>
      </c>
      <c r="W27" s="446">
        <f t="shared" si="13"/>
        <v>0.11845349565987462</v>
      </c>
      <c r="X27" s="446">
        <f t="shared" si="13"/>
        <v>-2.4049285639376694E-2</v>
      </c>
      <c r="Y27" s="446">
        <f t="shared" si="13"/>
        <v>3.1656073308063304E-2</v>
      </c>
      <c r="Z27" s="446">
        <f t="shared" si="13"/>
        <v>3.7890308693593333E-3</v>
      </c>
      <c r="AA27" s="446">
        <f t="shared" si="13"/>
        <v>0.11242963452772181</v>
      </c>
      <c r="AB27" s="446">
        <f t="shared" si="13"/>
        <v>7.1308484089697588E-2</v>
      </c>
      <c r="AC27" s="446">
        <f t="shared" si="13"/>
        <v>-0.12165361438750821</v>
      </c>
      <c r="AD27" s="446">
        <f t="shared" si="13"/>
        <v>-5.0822596683562038E-2</v>
      </c>
      <c r="AE27" s="446">
        <f t="shared" si="13"/>
        <v>-0.32419825410494996</v>
      </c>
      <c r="AF27" s="446">
        <f t="shared" si="13"/>
        <v>-0.2286361052967435</v>
      </c>
      <c r="AG27" s="446">
        <f t="shared" ref="AG27" si="14">AG26/AC26-1</f>
        <v>-0.12285349695713677</v>
      </c>
      <c r="AH27" s="446">
        <f t="shared" ref="AH27" si="15">AH26/AD26-1</f>
        <v>-0.14650684423144211</v>
      </c>
      <c r="AI27" s="446">
        <f>AI26/AE26-1</f>
        <v>5.8526719323761522E-2</v>
      </c>
      <c r="AJ27" s="446">
        <f t="shared" ref="AJ27" si="16">AJ26/AF26-1</f>
        <v>3.9927718986614291E-3</v>
      </c>
      <c r="AK27" s="1083">
        <f>AK26/AG26-1</f>
        <v>4.9899759765973828E-2</v>
      </c>
      <c r="AL27" s="1083">
        <f>AL26/AH26-1</f>
        <v>-2.6108836181330974E-2</v>
      </c>
      <c r="AM27" s="453"/>
      <c r="AN27" s="446"/>
      <c r="AO27" s="446"/>
      <c r="AT27" s="446"/>
      <c r="BR27" s="446"/>
      <c r="BS27" s="446"/>
      <c r="BT27" s="446"/>
      <c r="BU27" s="446"/>
      <c r="BV27" s="446"/>
      <c r="BW27" s="446"/>
      <c r="BX27" s="446"/>
      <c r="BY27" s="154"/>
      <c r="BZ27" s="154"/>
      <c r="CA27" s="154"/>
      <c r="CB27" s="154"/>
      <c r="CC27" s="154"/>
      <c r="CD27" s="154"/>
      <c r="CE27" s="446">
        <v>-0.12119659353434697</v>
      </c>
      <c r="CF27" s="446"/>
      <c r="CG27" s="155"/>
      <c r="CH27" s="155"/>
      <c r="CI27" s="155"/>
      <c r="CJ27" s="155"/>
      <c r="CK27" s="453"/>
      <c r="CL27" s="446"/>
      <c r="CM27" s="446"/>
      <c r="CN27" s="446"/>
      <c r="CO27" s="446"/>
      <c r="CP27" s="446"/>
      <c r="CQ27" s="446"/>
      <c r="CR27" s="446"/>
      <c r="CS27" s="446"/>
      <c r="CT27" s="446"/>
      <c r="CU27" s="446"/>
      <c r="CV27" s="446"/>
      <c r="CW27" s="446">
        <v>-0.19007951245642996</v>
      </c>
      <c r="CX27" s="453"/>
      <c r="CY27" s="446"/>
      <c r="CZ27" s="446"/>
      <c r="DA27" s="1083">
        <v>-1.309332538884278E-2</v>
      </c>
    </row>
    <row r="28" spans="1:105">
      <c r="A28" s="154"/>
      <c r="B28" s="155"/>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078"/>
      <c r="AL28" s="1078"/>
      <c r="AM28" s="408"/>
      <c r="AN28" s="155"/>
      <c r="AO28" s="155"/>
      <c r="AT28" s="155"/>
      <c r="BR28" s="155"/>
      <c r="BS28" s="155"/>
      <c r="BT28" s="155"/>
      <c r="BU28" s="155"/>
      <c r="BV28" s="155"/>
      <c r="BW28" s="155"/>
      <c r="BX28" s="155"/>
      <c r="BY28" s="154"/>
      <c r="BZ28" s="154"/>
      <c r="CA28" s="154"/>
      <c r="CB28" s="154"/>
      <c r="CC28" s="154"/>
      <c r="CD28" s="154"/>
      <c r="CE28" s="155"/>
      <c r="CF28" s="155"/>
      <c r="CG28" s="155"/>
      <c r="CH28" s="155"/>
      <c r="CI28" s="155"/>
      <c r="CJ28" s="155"/>
      <c r="CK28" s="408"/>
      <c r="CL28" s="155"/>
      <c r="CM28" s="155"/>
      <c r="CN28" s="155"/>
      <c r="CO28" s="155"/>
      <c r="CP28" s="155"/>
      <c r="CQ28" s="155"/>
      <c r="CR28" s="155"/>
      <c r="CS28" s="155"/>
      <c r="CT28" s="155"/>
      <c r="CU28" s="155"/>
      <c r="CV28" s="155"/>
      <c r="CW28" s="155"/>
      <c r="CX28" s="408"/>
      <c r="CY28" s="155"/>
      <c r="CZ28" s="155"/>
      <c r="DA28" s="1078"/>
    </row>
    <row r="29" spans="1:105">
      <c r="A29" s="154" t="s">
        <v>726</v>
      </c>
      <c r="B29" s="155"/>
      <c r="C29" s="155"/>
      <c r="D29" s="155"/>
      <c r="E29" s="155"/>
      <c r="F29" s="155"/>
      <c r="G29" s="155"/>
      <c r="H29" s="155"/>
      <c r="I29" s="155"/>
      <c r="J29" s="155"/>
      <c r="K29" s="155"/>
      <c r="L29" s="155"/>
      <c r="M29" s="155"/>
      <c r="N29" s="155"/>
      <c r="O29" s="451">
        <f t="shared" ref="O29:AF29" si="17">O99*1000000/AVERAGE(N9:O9)/3</f>
        <v>4447.8189787464516</v>
      </c>
      <c r="P29" s="451">
        <f t="shared" si="17"/>
        <v>4156.6896724415856</v>
      </c>
      <c r="Q29" s="451">
        <f t="shared" si="17"/>
        <v>4457.7692983253082</v>
      </c>
      <c r="R29" s="451">
        <f t="shared" si="17"/>
        <v>4467.000186626693</v>
      </c>
      <c r="S29" s="451">
        <f t="shared" si="17"/>
        <v>4224.0442902694558</v>
      </c>
      <c r="T29" s="451">
        <f t="shared" si="17"/>
        <v>4505.8677157940756</v>
      </c>
      <c r="U29" s="451">
        <f t="shared" si="17"/>
        <v>4402.287872300717</v>
      </c>
      <c r="V29" s="451">
        <f t="shared" si="17"/>
        <v>4504.9435257680607</v>
      </c>
      <c r="W29" s="451">
        <f t="shared" si="17"/>
        <v>4623.8999968904509</v>
      </c>
      <c r="X29" s="451">
        <f t="shared" si="17"/>
        <v>4313.7417561906341</v>
      </c>
      <c r="Y29" s="451">
        <f t="shared" si="17"/>
        <v>4427.5049182696193</v>
      </c>
      <c r="Z29" s="451">
        <f t="shared" si="17"/>
        <v>4436.0670807558181</v>
      </c>
      <c r="AA29" s="451">
        <f t="shared" si="17"/>
        <v>5104.3730001523691</v>
      </c>
      <c r="AB29" s="451">
        <f t="shared" si="17"/>
        <v>4644.4393425337794</v>
      </c>
      <c r="AC29" s="451">
        <f t="shared" si="17"/>
        <v>3939.2773848535076</v>
      </c>
      <c r="AD29" s="451">
        <f t="shared" si="17"/>
        <v>4258.2337267480225</v>
      </c>
      <c r="AE29" s="451">
        <f t="shared" si="17"/>
        <v>3468.0306480985982</v>
      </c>
      <c r="AF29" s="451">
        <f t="shared" si="17"/>
        <v>3597.5685398833889</v>
      </c>
      <c r="AG29" s="451">
        <f t="shared" ref="AG29" si="18">AG99*1000000/AVERAGE(AF9:AG9)/3</f>
        <v>3459.8799733274063</v>
      </c>
      <c r="AH29" s="451">
        <f t="shared" ref="AH29" si="19">AH99*1000000/AVERAGE(AG9:AH9)/3</f>
        <v>3653.8597962751996</v>
      </c>
      <c r="AI29" s="451">
        <f>AI99*1000000/AVERAGE(AH9:AI9)/3</f>
        <v>3736.1413886445439</v>
      </c>
      <c r="AJ29" s="451">
        <f t="shared" ref="AJ29" si="20">AJ99*1000000/AVERAGE(AI9:AJ9)/3</f>
        <v>3682.1606544551591</v>
      </c>
      <c r="AK29" s="447">
        <f>AK99*1000000/AVERAGE(AJ9:AK9)/3</f>
        <v>3698.1305312555792</v>
      </c>
      <c r="AL29" s="447">
        <f>AL99*1000000/AVERAGE(AK9:AL9)/3</f>
        <v>3590.6291494710526</v>
      </c>
      <c r="AM29" s="452"/>
      <c r="AN29" s="451"/>
      <c r="AO29" s="451"/>
      <c r="AT29" s="451"/>
      <c r="BR29" s="451"/>
      <c r="BS29" s="451"/>
      <c r="BT29" s="451"/>
      <c r="BU29" s="451"/>
      <c r="BV29" s="451"/>
      <c r="BW29" s="451"/>
      <c r="BX29" s="451"/>
      <c r="BY29" s="154"/>
      <c r="BZ29" s="154"/>
      <c r="CA29" s="154"/>
      <c r="CB29" s="154"/>
      <c r="CC29" s="154"/>
      <c r="CD29" s="154"/>
      <c r="CE29" s="451">
        <v>3937.2842215258665</v>
      </c>
      <c r="CF29" s="451"/>
      <c r="CG29" s="155"/>
      <c r="CH29" s="155"/>
      <c r="CI29" s="155"/>
      <c r="CJ29" s="155"/>
      <c r="CK29" s="452"/>
      <c r="CL29" s="451"/>
      <c r="CM29" s="451"/>
      <c r="CN29" s="451"/>
      <c r="CO29" s="451"/>
      <c r="CP29" s="451"/>
      <c r="CQ29" s="451"/>
      <c r="CR29" s="451"/>
      <c r="CS29" s="451"/>
      <c r="CT29" s="451"/>
      <c r="CU29" s="451"/>
      <c r="CV29" s="451"/>
      <c r="CW29" s="451">
        <v>3447.2860986911796</v>
      </c>
      <c r="CX29" s="452"/>
      <c r="CY29" s="451"/>
      <c r="CZ29" s="451"/>
      <c r="DA29" s="447">
        <v>3602.0422900153767</v>
      </c>
    </row>
    <row r="30" spans="1:105">
      <c r="A30" s="154" t="s">
        <v>633</v>
      </c>
      <c r="B30" s="155"/>
      <c r="C30" s="155"/>
      <c r="D30" s="155"/>
      <c r="E30" s="155"/>
      <c r="F30" s="155"/>
      <c r="G30" s="155"/>
      <c r="H30" s="155"/>
      <c r="I30" s="155"/>
      <c r="J30" s="155"/>
      <c r="K30" s="155"/>
      <c r="L30" s="155"/>
      <c r="M30" s="155"/>
      <c r="N30" s="155"/>
      <c r="O30" s="155"/>
      <c r="P30" s="155"/>
      <c r="Q30" s="155"/>
      <c r="R30" s="155"/>
      <c r="S30" s="446">
        <f t="shared" ref="S30:AF30" si="21">S29/O29-1</f>
        <v>-5.0311105183525995E-2</v>
      </c>
      <c r="T30" s="446">
        <f t="shared" si="21"/>
        <v>8.4003875888908341E-2</v>
      </c>
      <c r="U30" s="446">
        <f t="shared" si="21"/>
        <v>-1.2446006581236624E-2</v>
      </c>
      <c r="V30" s="446">
        <f t="shared" si="21"/>
        <v>8.4941431735243711E-3</v>
      </c>
      <c r="W30" s="446">
        <f t="shared" si="21"/>
        <v>9.4661816766956175E-2</v>
      </c>
      <c r="X30" s="446">
        <f t="shared" si="21"/>
        <v>-4.2639059049602634E-2</v>
      </c>
      <c r="Y30" s="446">
        <f t="shared" si="21"/>
        <v>5.7281683298286978E-3</v>
      </c>
      <c r="Z30" s="446">
        <f t="shared" si="21"/>
        <v>-1.5289080677320932E-2</v>
      </c>
      <c r="AA30" s="446">
        <f t="shared" si="21"/>
        <v>0.10391076874176219</v>
      </c>
      <c r="AB30" s="446">
        <f t="shared" si="21"/>
        <v>7.6661424126412303E-2</v>
      </c>
      <c r="AC30" s="446">
        <f t="shared" si="21"/>
        <v>-0.11027148302003997</v>
      </c>
      <c r="AD30" s="446">
        <f t="shared" si="21"/>
        <v>-4.0088066922896126E-2</v>
      </c>
      <c r="AE30" s="446">
        <f t="shared" si="21"/>
        <v>-0.32057656288145964</v>
      </c>
      <c r="AF30" s="446">
        <f t="shared" si="21"/>
        <v>-0.22540305200310118</v>
      </c>
      <c r="AG30" s="446">
        <f t="shared" ref="AG30" si="22">AG29/AC29-1</f>
        <v>-0.12169678971310338</v>
      </c>
      <c r="AH30" s="446">
        <f t="shared" ref="AH30" si="23">AH29/AD29-1</f>
        <v>-0.14193066169112756</v>
      </c>
      <c r="AI30" s="446">
        <f>AI29/AE29-1</f>
        <v>7.7309218905819543E-2</v>
      </c>
      <c r="AJ30" s="446">
        <f t="shared" ref="AJ30" si="24">AJ29/AF29-1</f>
        <v>2.3513690881484139E-2</v>
      </c>
      <c r="AK30" s="1083">
        <f>AK29/AG29-1</f>
        <v>6.8860931525045022E-2</v>
      </c>
      <c r="AL30" s="1083">
        <f>AL29/AH29-1</f>
        <v>-1.7305165039065096E-2</v>
      </c>
      <c r="AM30" s="453"/>
      <c r="AN30" s="446"/>
      <c r="AO30" s="446"/>
      <c r="AT30" s="446"/>
      <c r="BR30" s="446"/>
      <c r="BS30" s="446"/>
      <c r="BT30" s="446"/>
      <c r="BU30" s="446"/>
      <c r="BV30" s="446"/>
      <c r="BW30" s="446"/>
      <c r="BX30" s="446"/>
      <c r="BY30" s="154" t="s">
        <v>4</v>
      </c>
      <c r="BZ30" s="154">
        <v>3950</v>
      </c>
      <c r="CA30" s="154"/>
      <c r="CB30" s="154"/>
      <c r="CC30" s="154"/>
      <c r="CD30" s="154"/>
      <c r="CE30" s="446">
        <v>-0.1124380786290925</v>
      </c>
      <c r="CF30" s="446"/>
      <c r="CG30" s="155"/>
      <c r="CH30" s="155"/>
      <c r="CI30" s="155"/>
      <c r="CJ30" s="155"/>
      <c r="CK30" s="453"/>
      <c r="CL30" s="446"/>
      <c r="CM30" s="446"/>
      <c r="CN30" s="446"/>
      <c r="CO30" s="446"/>
      <c r="CP30" s="446"/>
      <c r="CQ30" s="446"/>
      <c r="CR30" s="446"/>
      <c r="CS30" s="446"/>
      <c r="CT30" s="446"/>
      <c r="CU30" s="446"/>
      <c r="CV30" s="446"/>
      <c r="CW30" s="446">
        <v>-0.19075972740900649</v>
      </c>
      <c r="CX30" s="453"/>
      <c r="CY30" s="446"/>
      <c r="CZ30" s="446"/>
      <c r="DA30" s="1083">
        <v>1.2435482694466149E-3</v>
      </c>
    </row>
    <row r="31" spans="1:105">
      <c r="A31" s="154"/>
      <c r="B31" s="155"/>
      <c r="C31" s="155"/>
      <c r="D31" s="155"/>
      <c r="E31" s="155"/>
      <c r="F31" s="155"/>
      <c r="G31" s="155"/>
      <c r="H31" s="155"/>
      <c r="I31" s="155"/>
      <c r="J31" s="155"/>
      <c r="K31" s="155"/>
      <c r="L31" s="155"/>
      <c r="M31" s="155"/>
      <c r="N31" s="155"/>
      <c r="O31" s="155"/>
      <c r="P31" s="155"/>
      <c r="Q31" s="155"/>
      <c r="R31" s="155"/>
      <c r="S31" s="156"/>
      <c r="T31" s="156"/>
      <c r="U31" s="156"/>
      <c r="V31" s="156"/>
      <c r="W31" s="156"/>
      <c r="X31" s="156"/>
      <c r="Y31" s="156"/>
      <c r="Z31" s="156"/>
      <c r="AA31" s="156"/>
      <c r="AB31" s="156"/>
      <c r="AC31" s="156"/>
      <c r="AD31" s="156"/>
      <c r="AE31" s="156"/>
      <c r="AF31" s="156"/>
      <c r="AG31" s="156"/>
      <c r="AH31" s="156"/>
      <c r="AI31" s="156"/>
      <c r="AJ31" s="156"/>
      <c r="AK31" s="1082"/>
      <c r="AL31" s="1082"/>
      <c r="AM31" s="408"/>
      <c r="AN31" s="155"/>
      <c r="AO31" s="155"/>
      <c r="AT31" s="156"/>
      <c r="BR31" s="155"/>
      <c r="BS31" s="155"/>
      <c r="BT31" s="155"/>
      <c r="BU31" s="155"/>
      <c r="BV31" s="155"/>
      <c r="BW31" s="155"/>
      <c r="BX31" s="155"/>
      <c r="BY31" s="154" t="s">
        <v>915</v>
      </c>
      <c r="BZ31" s="154">
        <v>2500</v>
      </c>
      <c r="CA31" s="154"/>
      <c r="CB31" s="154"/>
      <c r="CC31" s="154"/>
      <c r="CD31" s="154"/>
      <c r="CE31" s="155"/>
      <c r="CF31" s="155"/>
      <c r="CG31" s="155"/>
      <c r="CH31" s="155"/>
      <c r="CI31" s="155"/>
      <c r="CJ31" s="155"/>
      <c r="CK31" s="408"/>
      <c r="CL31" s="156"/>
      <c r="CM31" s="155"/>
      <c r="CN31" s="155"/>
      <c r="CO31" s="155"/>
      <c r="CP31" s="155"/>
      <c r="CQ31" s="156"/>
      <c r="CR31" s="155"/>
      <c r="CS31" s="155"/>
      <c r="CT31" s="155"/>
      <c r="CU31" s="155"/>
      <c r="CV31" s="155"/>
      <c r="CW31" s="156"/>
      <c r="CX31" s="408"/>
      <c r="CY31" s="155"/>
      <c r="CZ31" s="155"/>
      <c r="DA31" s="1082"/>
    </row>
    <row r="32" spans="1:105">
      <c r="A32" s="154" t="s">
        <v>743</v>
      </c>
      <c r="B32" s="155"/>
      <c r="C32" s="155"/>
      <c r="D32" s="155"/>
      <c r="E32" s="155"/>
      <c r="F32" s="155"/>
      <c r="G32" s="155"/>
      <c r="H32" s="155"/>
      <c r="I32" s="155"/>
      <c r="J32" s="155"/>
      <c r="K32" s="155"/>
      <c r="L32" s="155"/>
      <c r="M32" s="155"/>
      <c r="N32" s="155"/>
      <c r="O32" s="155"/>
      <c r="P32" s="155"/>
      <c r="Q32" s="155"/>
      <c r="R32" s="155"/>
      <c r="S32" s="444">
        <v>20387</v>
      </c>
      <c r="T32" s="444">
        <v>21478</v>
      </c>
      <c r="U32" s="444">
        <v>26419</v>
      </c>
      <c r="V32" s="444">
        <v>27124</v>
      </c>
      <c r="W32" s="444">
        <v>28517</v>
      </c>
      <c r="X32" s="444">
        <v>30670</v>
      </c>
      <c r="Y32" s="444">
        <f>30169</f>
        <v>30169</v>
      </c>
      <c r="Z32" s="444">
        <v>31674</v>
      </c>
      <c r="AA32" s="444">
        <v>33038</v>
      </c>
      <c r="AB32" s="444">
        <v>34234</v>
      </c>
      <c r="AC32" s="444">
        <v>35256</v>
      </c>
      <c r="AD32" s="444">
        <v>36603</v>
      </c>
      <c r="AE32" s="444">
        <v>37126</v>
      </c>
      <c r="AF32" s="444">
        <v>38692</v>
      </c>
      <c r="AG32" s="444">
        <v>39389</v>
      </c>
      <c r="AH32" s="444">
        <v>39671</v>
      </c>
      <c r="AI32" s="444">
        <v>39705</v>
      </c>
      <c r="AJ32" s="444">
        <v>40078</v>
      </c>
      <c r="AK32" s="1079"/>
      <c r="AL32" s="1079"/>
      <c r="AM32" s="445"/>
      <c r="AN32" s="444"/>
      <c r="AO32" s="444"/>
      <c r="AS32">
        <v>274.5</v>
      </c>
      <c r="AT32" s="444"/>
      <c r="BR32" s="444"/>
      <c r="BS32" s="444"/>
      <c r="BT32" s="444"/>
      <c r="BU32" s="444"/>
      <c r="BV32" s="444"/>
      <c r="BW32" s="444"/>
      <c r="BX32" s="444"/>
      <c r="BY32" s="154"/>
      <c r="BZ32" s="154">
        <f>BZ30-BZ31</f>
        <v>1450</v>
      </c>
      <c r="CA32" s="154"/>
      <c r="CB32" s="154"/>
      <c r="CC32" s="154"/>
      <c r="CD32" s="154"/>
      <c r="CE32" s="444"/>
      <c r="CF32" s="444"/>
      <c r="CG32" s="155"/>
      <c r="CH32" s="155"/>
      <c r="CI32" s="155"/>
      <c r="CJ32" s="155"/>
      <c r="CK32" s="445"/>
      <c r="CL32" s="444"/>
      <c r="CM32" s="444"/>
      <c r="CN32" s="444"/>
      <c r="CO32" s="444"/>
      <c r="CP32" s="444"/>
      <c r="CQ32" s="444"/>
      <c r="CR32" s="444"/>
      <c r="CS32" s="444"/>
      <c r="CT32" s="444"/>
      <c r="CU32" s="444"/>
      <c r="CV32" s="444"/>
      <c r="CW32" s="444"/>
      <c r="CX32" s="445"/>
      <c r="CY32" s="444"/>
      <c r="CZ32" s="444"/>
      <c r="DA32" s="1079"/>
    </row>
    <row r="33" spans="1:105">
      <c r="A33" s="154" t="s">
        <v>633</v>
      </c>
      <c r="B33" s="155"/>
      <c r="C33" s="155"/>
      <c r="D33" s="155"/>
      <c r="E33" s="155"/>
      <c r="F33" s="155"/>
      <c r="G33" s="155"/>
      <c r="H33" s="155"/>
      <c r="I33" s="155"/>
      <c r="J33" s="155"/>
      <c r="K33" s="155"/>
      <c r="L33" s="155"/>
      <c r="M33" s="155"/>
      <c r="N33" s="155"/>
      <c r="O33" s="155"/>
      <c r="P33" s="155"/>
      <c r="Q33" s="155"/>
      <c r="R33" s="155"/>
      <c r="S33" s="155"/>
      <c r="T33" s="155"/>
      <c r="U33" s="155"/>
      <c r="V33" s="155"/>
      <c r="W33" s="162">
        <f t="shared" ref="W33:AJ33" si="25">W32/S32-1</f>
        <v>0.39878353852945514</v>
      </c>
      <c r="X33" s="162">
        <f t="shared" si="25"/>
        <v>0.42797280938634885</v>
      </c>
      <c r="Y33" s="162">
        <f t="shared" si="25"/>
        <v>0.14194329838373898</v>
      </c>
      <c r="Z33" s="162">
        <f t="shared" si="25"/>
        <v>0.16774811974635018</v>
      </c>
      <c r="AA33" s="162">
        <f t="shared" si="25"/>
        <v>0.15853701300978362</v>
      </c>
      <c r="AB33" s="162">
        <f t="shared" si="25"/>
        <v>0.11620476035213567</v>
      </c>
      <c r="AC33" s="162">
        <f t="shared" si="25"/>
        <v>0.16861679207133151</v>
      </c>
      <c r="AD33" s="162">
        <f t="shared" si="25"/>
        <v>0.15561659405190387</v>
      </c>
      <c r="AE33" s="162">
        <f t="shared" si="25"/>
        <v>0.12373630365034205</v>
      </c>
      <c r="AF33" s="162">
        <f t="shared" si="25"/>
        <v>0.13022141730443426</v>
      </c>
      <c r="AG33" s="162">
        <f t="shared" si="25"/>
        <v>0.11722827320172446</v>
      </c>
      <c r="AH33" s="162">
        <f t="shared" si="25"/>
        <v>8.3818266262328134E-2</v>
      </c>
      <c r="AI33" s="162">
        <f>AI32/AE32-1</f>
        <v>6.9466142326132685E-2</v>
      </c>
      <c r="AJ33" s="162">
        <f t="shared" si="25"/>
        <v>3.5821358420345284E-2</v>
      </c>
      <c r="AK33" s="1084"/>
      <c r="AL33" s="1084"/>
      <c r="AM33" s="454"/>
      <c r="AN33" s="162"/>
      <c r="AO33" s="162"/>
      <c r="AS33">
        <v>8.3000000000000007</v>
      </c>
      <c r="AT33" s="162"/>
      <c r="AU33">
        <f>Valuation!I70</f>
        <v>5.5958598852627137</v>
      </c>
      <c r="AV33">
        <f>AS33-AU33</f>
        <v>2.704140114737287</v>
      </c>
      <c r="BR33" s="162"/>
      <c r="BS33" s="162"/>
      <c r="BT33" s="162"/>
      <c r="BU33" s="162"/>
      <c r="BV33" s="162"/>
      <c r="BW33" s="162"/>
      <c r="BX33" s="162"/>
      <c r="BY33" s="154" t="s">
        <v>916</v>
      </c>
      <c r="BZ33" s="154">
        <f>CA33*BZ32</f>
        <v>362.5</v>
      </c>
      <c r="CA33" s="165">
        <v>0.25</v>
      </c>
      <c r="CB33" s="154"/>
      <c r="CC33" s="154"/>
      <c r="CD33" s="154"/>
      <c r="CE33" s="162"/>
      <c r="CF33" s="162"/>
      <c r="CG33" s="155"/>
      <c r="CH33" s="155"/>
      <c r="CI33" s="155"/>
      <c r="CJ33" s="155"/>
      <c r="CK33" s="454"/>
      <c r="CL33" s="162"/>
      <c r="CM33" s="162"/>
      <c r="CN33" s="162"/>
      <c r="CO33" s="162"/>
      <c r="CP33" s="162"/>
      <c r="CQ33" s="162"/>
      <c r="CR33" s="162"/>
      <c r="CS33" s="162"/>
      <c r="CT33" s="162"/>
      <c r="CU33" s="162"/>
      <c r="CV33" s="162"/>
      <c r="CW33" s="162"/>
      <c r="CX33" s="454"/>
      <c r="CY33" s="162"/>
      <c r="CZ33" s="162"/>
      <c r="DA33" s="1084"/>
    </row>
    <row r="34" spans="1:105">
      <c r="A34" s="154" t="s">
        <v>1027</v>
      </c>
      <c r="B34" s="155"/>
      <c r="C34" s="155"/>
      <c r="D34" s="155"/>
      <c r="E34" s="155"/>
      <c r="F34" s="155"/>
      <c r="G34" s="155"/>
      <c r="H34" s="155"/>
      <c r="I34" s="155"/>
      <c r="J34" s="155"/>
      <c r="K34" s="155"/>
      <c r="L34" s="155"/>
      <c r="M34" s="155"/>
      <c r="N34" s="155"/>
      <c r="O34" s="155"/>
      <c r="P34" s="155"/>
      <c r="Q34" s="155"/>
      <c r="R34" s="155"/>
      <c r="S34" s="155"/>
      <c r="T34" s="451">
        <f t="shared" ref="T34:AJ34" si="26">T32-S32</f>
        <v>1091</v>
      </c>
      <c r="U34" s="451">
        <f t="shared" si="26"/>
        <v>4941</v>
      </c>
      <c r="V34" s="451">
        <f t="shared" si="26"/>
        <v>705</v>
      </c>
      <c r="W34" s="451">
        <f t="shared" si="26"/>
        <v>1393</v>
      </c>
      <c r="X34" s="451">
        <f t="shared" si="26"/>
        <v>2153</v>
      </c>
      <c r="Y34" s="451">
        <f t="shared" si="26"/>
        <v>-501</v>
      </c>
      <c r="Z34" s="451">
        <f t="shared" si="26"/>
        <v>1505</v>
      </c>
      <c r="AA34" s="451">
        <f t="shared" si="26"/>
        <v>1364</v>
      </c>
      <c r="AB34" s="451">
        <f t="shared" si="26"/>
        <v>1196</v>
      </c>
      <c r="AC34" s="451">
        <f t="shared" si="26"/>
        <v>1022</v>
      </c>
      <c r="AD34" s="451">
        <f t="shared" si="26"/>
        <v>1347</v>
      </c>
      <c r="AE34" s="451">
        <f t="shared" si="26"/>
        <v>523</v>
      </c>
      <c r="AF34" s="451">
        <f t="shared" si="26"/>
        <v>1566</v>
      </c>
      <c r="AG34" s="451">
        <f t="shared" si="26"/>
        <v>697</v>
      </c>
      <c r="AH34" s="451">
        <f t="shared" si="26"/>
        <v>282</v>
      </c>
      <c r="AI34" s="451">
        <f>AI32-AH32</f>
        <v>34</v>
      </c>
      <c r="AJ34" s="451">
        <f t="shared" si="26"/>
        <v>373</v>
      </c>
      <c r="AK34" s="447"/>
      <c r="AL34" s="447"/>
      <c r="AM34" s="454"/>
      <c r="AN34" s="162"/>
      <c r="AO34" s="162"/>
      <c r="AS34">
        <f>AS32/AS33</f>
        <v>33.072289156626503</v>
      </c>
      <c r="AT34" s="1070" t="s">
        <v>640</v>
      </c>
      <c r="AW34" s="46">
        <f>AS34/Consolidation!K68</f>
        <v>4.4131099997109444E-2</v>
      </c>
      <c r="BR34" s="162"/>
      <c r="BS34" s="162"/>
      <c r="BT34" s="162"/>
      <c r="BU34" s="162"/>
      <c r="BV34" s="162"/>
      <c r="BW34" s="162"/>
      <c r="BX34" s="162"/>
      <c r="BY34" s="154" t="s">
        <v>917</v>
      </c>
      <c r="BZ34" s="154">
        <f>CA34*BZ32</f>
        <v>1087.5</v>
      </c>
      <c r="CA34" s="165">
        <f>1-CA33</f>
        <v>0.75</v>
      </c>
      <c r="CB34" s="154"/>
      <c r="CC34" s="154"/>
      <c r="CD34" s="154"/>
      <c r="CE34" s="162"/>
      <c r="CF34" s="162"/>
      <c r="CG34" s="155"/>
      <c r="CH34" s="155"/>
      <c r="CI34" s="155"/>
      <c r="CJ34" s="155"/>
      <c r="CK34" s="454"/>
      <c r="CL34" s="451"/>
      <c r="CM34" s="162"/>
      <c r="CN34" s="162"/>
      <c r="CO34" s="162"/>
      <c r="CP34" s="162"/>
      <c r="CQ34" s="451"/>
      <c r="CR34" s="162"/>
      <c r="CS34" s="162"/>
      <c r="CT34" s="162"/>
      <c r="CU34" s="162"/>
      <c r="CV34" s="162"/>
      <c r="CW34" s="451"/>
      <c r="CX34" s="454"/>
      <c r="CY34" s="162"/>
      <c r="CZ34" s="162"/>
      <c r="DA34" s="447"/>
    </row>
    <row r="35" spans="1:105">
      <c r="A35" s="154"/>
      <c r="B35" s="155"/>
      <c r="C35" s="155"/>
      <c r="D35" s="155"/>
      <c r="E35" s="155"/>
      <c r="F35" s="155"/>
      <c r="G35" s="155"/>
      <c r="H35" s="155"/>
      <c r="I35" s="155"/>
      <c r="J35" s="155"/>
      <c r="K35" s="155"/>
      <c r="L35" s="155"/>
      <c r="M35" s="155"/>
      <c r="N35" s="155"/>
      <c r="O35" s="155"/>
      <c r="P35" s="155"/>
      <c r="Q35" s="155"/>
      <c r="R35" s="155"/>
      <c r="S35" s="155"/>
      <c r="T35" s="155"/>
      <c r="U35" s="155"/>
      <c r="V35" s="155"/>
      <c r="W35" s="155">
        <v>9</v>
      </c>
      <c r="X35" s="155">
        <v>14</v>
      </c>
      <c r="Y35" s="155">
        <v>8</v>
      </c>
      <c r="Z35" s="155">
        <f>43-W35-X35-Y35</f>
        <v>12</v>
      </c>
      <c r="AA35" s="155">
        <v>20</v>
      </c>
      <c r="AB35" s="155">
        <v>13</v>
      </c>
      <c r="AC35" s="155">
        <v>12</v>
      </c>
      <c r="AD35" s="155" t="s">
        <v>914</v>
      </c>
      <c r="AE35" s="155">
        <v>20</v>
      </c>
      <c r="AF35" s="155">
        <v>20</v>
      </c>
      <c r="AG35" s="155"/>
      <c r="AH35" s="155"/>
      <c r="AI35" s="155">
        <v>20</v>
      </c>
      <c r="AJ35" s="155"/>
      <c r="AK35" s="1078"/>
      <c r="AL35" s="1078"/>
      <c r="AM35" s="408"/>
      <c r="AN35" s="155"/>
      <c r="AO35" s="155"/>
      <c r="AT35" s="155"/>
      <c r="BR35" s="155"/>
      <c r="BS35" s="155"/>
      <c r="BT35" s="155"/>
      <c r="BU35" s="155"/>
      <c r="BV35" s="155"/>
      <c r="BW35" s="155"/>
      <c r="BX35" s="155"/>
      <c r="BY35" s="154"/>
      <c r="BZ35" s="154">
        <f>BZ34/BZ13</f>
        <v>0.85512089640259481</v>
      </c>
      <c r="CA35" s="154"/>
      <c r="CB35" s="154"/>
      <c r="CC35" s="154"/>
      <c r="CD35" s="154"/>
      <c r="CE35" s="162"/>
      <c r="CF35" s="162"/>
      <c r="CG35" s="155"/>
      <c r="CH35" s="155"/>
      <c r="CI35" s="155"/>
      <c r="CJ35" s="155"/>
      <c r="CK35" s="408"/>
      <c r="CL35" s="155"/>
      <c r="CM35" s="155"/>
      <c r="CN35" s="155"/>
      <c r="CO35" s="155"/>
      <c r="CP35" s="155"/>
      <c r="CQ35" s="155"/>
      <c r="CR35" s="155"/>
      <c r="CS35" s="155"/>
      <c r="CT35" s="155"/>
      <c r="CU35" s="155"/>
      <c r="CV35" s="155"/>
      <c r="CW35" s="155"/>
      <c r="CX35" s="408"/>
      <c r="CY35" s="155"/>
      <c r="CZ35" s="155"/>
      <c r="DA35" s="1078"/>
    </row>
    <row r="36" spans="1:105">
      <c r="A36" s="154"/>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6">
        <f>AVERAGE(W34:AC34)</f>
        <v>1161.7142857142858</v>
      </c>
      <c r="AD36" s="155"/>
      <c r="AE36" s="155"/>
      <c r="AF36" s="155"/>
      <c r="AG36" s="155"/>
      <c r="AH36" s="155"/>
      <c r="AI36" s="155"/>
      <c r="AJ36" s="155"/>
      <c r="AK36" s="1078"/>
      <c r="AL36" s="1078"/>
      <c r="AM36" s="408"/>
      <c r="AN36" s="155"/>
      <c r="AO36" s="155"/>
      <c r="AS36" s="1071">
        <v>0.2</v>
      </c>
      <c r="AT36" s="155"/>
      <c r="BR36" s="155"/>
      <c r="BS36" s="155"/>
      <c r="BT36" s="155"/>
      <c r="BU36" s="155"/>
      <c r="BV36" s="155"/>
      <c r="BW36" s="155"/>
      <c r="BX36" s="155"/>
      <c r="BY36" s="154"/>
      <c r="BZ36" s="672">
        <f>BZ35*BZ14</f>
        <v>12.185472773736976</v>
      </c>
      <c r="CA36" s="154"/>
      <c r="CB36" s="154"/>
      <c r="CC36" s="154"/>
      <c r="CD36" s="154"/>
      <c r="CE36" s="155" t="s">
        <v>914</v>
      </c>
      <c r="CF36" s="155"/>
      <c r="CG36" s="155"/>
      <c r="CH36" s="155"/>
      <c r="CI36" s="155"/>
      <c r="CJ36" s="155"/>
      <c r="CK36" s="408"/>
      <c r="CL36" s="155"/>
      <c r="CM36" s="155"/>
      <c r="CN36" s="155"/>
      <c r="CO36" s="155"/>
      <c r="CP36" s="155"/>
      <c r="CQ36" s="155"/>
      <c r="CR36" s="155"/>
      <c r="CS36" s="155"/>
      <c r="CT36" s="155"/>
      <c r="CU36" s="155"/>
      <c r="CV36" s="155"/>
      <c r="CW36" s="155"/>
      <c r="CX36" s="408"/>
      <c r="CY36" s="155"/>
      <c r="CZ36" s="155"/>
      <c r="DA36" s="1078"/>
    </row>
    <row r="37" spans="1:105">
      <c r="A37" s="443" t="s">
        <v>714</v>
      </c>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456">
        <f>AVERAGE(W35:AC35)</f>
        <v>12.571428571428571</v>
      </c>
      <c r="AD37" s="155"/>
      <c r="AE37" s="155"/>
      <c r="AF37" s="155"/>
      <c r="AG37" s="155"/>
      <c r="AH37" s="155"/>
      <c r="AI37" s="155"/>
      <c r="AJ37" s="155"/>
      <c r="AK37" s="1078"/>
      <c r="AL37" s="1078"/>
      <c r="AM37" s="408"/>
      <c r="AN37" s="155"/>
      <c r="AO37" s="155"/>
      <c r="AS37">
        <f>1.2*AS34</f>
        <v>39.6867469879518</v>
      </c>
      <c r="AT37" s="155"/>
      <c r="AW37" s="46">
        <f>AS37/Consolidation!K32</f>
        <v>3.9740058395784879E-2</v>
      </c>
      <c r="BR37" s="155"/>
      <c r="BS37" s="155"/>
      <c r="BT37" s="155"/>
      <c r="BU37" s="155"/>
      <c r="BV37" s="155"/>
      <c r="BW37" s="155"/>
      <c r="BX37" s="155"/>
      <c r="BY37" s="154"/>
      <c r="BZ37" s="154"/>
      <c r="CA37" s="154"/>
      <c r="CB37" s="154"/>
      <c r="CC37" s="154"/>
      <c r="CD37" s="154"/>
      <c r="CE37" s="155"/>
      <c r="CF37" s="155"/>
      <c r="CG37" s="155"/>
      <c r="CH37" s="155"/>
      <c r="CI37" s="155"/>
      <c r="CJ37" s="155"/>
      <c r="CK37" s="408"/>
      <c r="CL37" s="155"/>
      <c r="CM37" s="155"/>
      <c r="CN37" s="155"/>
      <c r="CO37" s="155"/>
      <c r="CP37" s="155"/>
      <c r="CQ37" s="155"/>
      <c r="CR37" s="155"/>
      <c r="CS37" s="155"/>
      <c r="CT37" s="155"/>
      <c r="CU37" s="155"/>
      <c r="CV37" s="155"/>
      <c r="CW37" s="155"/>
      <c r="CX37" s="408"/>
      <c r="CY37" s="155"/>
      <c r="CZ37" s="155"/>
      <c r="DA37" s="1078"/>
    </row>
    <row r="38" spans="1:105">
      <c r="A38" s="154" t="s">
        <v>162</v>
      </c>
      <c r="B38" s="444"/>
      <c r="C38" s="444"/>
      <c r="D38" s="444"/>
      <c r="E38" s="444"/>
      <c r="F38" s="444"/>
      <c r="G38" s="444"/>
      <c r="H38" s="444"/>
      <c r="I38" s="444"/>
      <c r="J38" s="444">
        <v>16390</v>
      </c>
      <c r="K38" s="444"/>
      <c r="L38" s="444"/>
      <c r="M38" s="444"/>
      <c r="N38" s="444">
        <v>16499</v>
      </c>
      <c r="O38" s="451">
        <f>(N38+P38)/2</f>
        <v>16490</v>
      </c>
      <c r="P38" s="444">
        <v>16481</v>
      </c>
      <c r="Q38" s="444">
        <v>16499</v>
      </c>
      <c r="R38" s="444">
        <v>16537</v>
      </c>
      <c r="S38" s="444">
        <v>16612</v>
      </c>
      <c r="T38" s="444">
        <v>16522</v>
      </c>
      <c r="U38" s="444">
        <v>16618</v>
      </c>
      <c r="V38" s="444">
        <v>16854</v>
      </c>
      <c r="W38" s="444">
        <v>16856</v>
      </c>
      <c r="X38" s="444">
        <v>16738</v>
      </c>
      <c r="Y38" s="444">
        <v>16906</v>
      </c>
      <c r="Z38" s="444">
        <v>16995</v>
      </c>
      <c r="AA38" s="444">
        <v>16372</v>
      </c>
      <c r="AB38" s="444">
        <v>16398</v>
      </c>
      <c r="AC38" s="444">
        <v>16400</v>
      </c>
      <c r="AD38" s="444">
        <v>16395</v>
      </c>
      <c r="AE38" s="444">
        <v>16409</v>
      </c>
      <c r="AF38" s="444">
        <v>16345</v>
      </c>
      <c r="AG38" s="444">
        <v>16488</v>
      </c>
      <c r="AH38" s="444">
        <v>16495</v>
      </c>
      <c r="AI38" s="444">
        <v>16398</v>
      </c>
      <c r="AJ38" s="444">
        <v>16224</v>
      </c>
      <c r="AK38" s="1129">
        <f>AJ38+50</f>
        <v>16274</v>
      </c>
      <c r="AL38" s="1129">
        <f>AM38</f>
        <v>16536.237499999999</v>
      </c>
      <c r="AM38" s="452">
        <f>Nigeria!L20</f>
        <v>16536.237499999999</v>
      </c>
      <c r="AN38" s="451"/>
      <c r="AO38" s="451"/>
      <c r="AS38">
        <f>AS32/AS37</f>
        <v>6.9166666666666679</v>
      </c>
      <c r="AT38" s="451"/>
      <c r="AU38">
        <f>Valuation!I69</f>
        <v>5.2687085683351231</v>
      </c>
      <c r="AV38">
        <f>AS38-AU38</f>
        <v>1.6479580983315447</v>
      </c>
      <c r="BR38" s="451"/>
      <c r="BS38" s="451"/>
      <c r="BT38" s="451"/>
      <c r="BU38" s="451"/>
      <c r="BV38" s="451"/>
      <c r="BW38" s="451"/>
      <c r="BX38" s="451"/>
      <c r="BY38" s="154"/>
      <c r="BZ38" s="154"/>
      <c r="CA38" s="154"/>
      <c r="CB38" s="154"/>
      <c r="CC38" s="154"/>
      <c r="CD38" s="154"/>
      <c r="CE38" s="447">
        <v>16429.066500000001</v>
      </c>
      <c r="CF38" s="451"/>
      <c r="CG38" s="446"/>
      <c r="CH38" s="446"/>
      <c r="CI38" s="446"/>
      <c r="CJ38" s="446"/>
      <c r="CK38" s="452">
        <f>Nigeria!J20</f>
        <v>16395</v>
      </c>
      <c r="CL38" s="444"/>
      <c r="CM38" s="451"/>
      <c r="CN38" s="451"/>
      <c r="CO38" s="451"/>
      <c r="CP38" s="451"/>
      <c r="CQ38" s="444"/>
      <c r="CR38" s="451"/>
      <c r="CS38" s="451"/>
      <c r="CT38" s="451"/>
      <c r="CU38" s="451"/>
      <c r="CV38" s="451"/>
      <c r="CW38" s="451">
        <v>15821.174999999999</v>
      </c>
      <c r="CX38" s="452">
        <f>Nigeria!K20</f>
        <v>16495</v>
      </c>
      <c r="CY38" s="451"/>
      <c r="CZ38" s="451"/>
      <c r="DA38" s="447">
        <v>16448</v>
      </c>
    </row>
    <row r="39" spans="1:105">
      <c r="A39" s="154" t="s">
        <v>632</v>
      </c>
      <c r="B39" s="444"/>
      <c r="C39" s="444"/>
      <c r="D39" s="444"/>
      <c r="E39" s="444"/>
      <c r="F39" s="444"/>
      <c r="G39" s="444"/>
      <c r="H39" s="444"/>
      <c r="I39" s="444"/>
      <c r="J39" s="444">
        <v>23090</v>
      </c>
      <c r="K39" s="444"/>
      <c r="L39" s="444"/>
      <c r="M39" s="444"/>
      <c r="N39" s="444">
        <v>24196</v>
      </c>
      <c r="O39" s="451">
        <f>(N39+P39)/2</f>
        <v>24364</v>
      </c>
      <c r="P39" s="444">
        <v>24532</v>
      </c>
      <c r="Q39" s="444">
        <v>24712</v>
      </c>
      <c r="R39" s="444">
        <v>24834</v>
      </c>
      <c r="S39" s="444">
        <v>24628</v>
      </c>
      <c r="T39" s="444">
        <v>24602</v>
      </c>
      <c r="U39" s="444">
        <v>25260</v>
      </c>
      <c r="V39" s="444">
        <v>25621</v>
      </c>
      <c r="W39" s="444">
        <v>25690</v>
      </c>
      <c r="X39" s="444">
        <v>25685</v>
      </c>
      <c r="Y39" s="444">
        <v>25861</v>
      </c>
      <c r="Z39" s="444">
        <v>26210</v>
      </c>
      <c r="AA39" s="444">
        <v>25650</v>
      </c>
      <c r="AB39" s="444">
        <v>25798</v>
      </c>
      <c r="AC39" s="444">
        <v>25927</v>
      </c>
      <c r="AD39" s="444">
        <v>26009</v>
      </c>
      <c r="AE39" s="444">
        <v>26129</v>
      </c>
      <c r="AF39" s="444">
        <v>26196</v>
      </c>
      <c r="AG39" s="444">
        <v>25648</v>
      </c>
      <c r="AH39" s="444">
        <v>25740</v>
      </c>
      <c r="AI39" s="444">
        <v>25709</v>
      </c>
      <c r="AJ39" s="444">
        <v>25508</v>
      </c>
      <c r="AK39" s="447">
        <f>1.58*AK38</f>
        <v>25712.920000000002</v>
      </c>
      <c r="AL39" s="447">
        <f>AM39</f>
        <v>26127.255249999998</v>
      </c>
      <c r="AM39" s="452">
        <f>Nigeria!L39</f>
        <v>26127.255249999998</v>
      </c>
      <c r="AN39" s="451"/>
      <c r="AO39" s="451"/>
      <c r="AT39" s="451"/>
      <c r="BR39" s="451"/>
      <c r="BS39" s="451"/>
      <c r="BT39" s="451"/>
      <c r="BU39" s="451"/>
      <c r="BV39" s="451"/>
      <c r="BW39" s="451"/>
      <c r="BX39" s="451"/>
      <c r="BY39" s="154"/>
      <c r="BZ39" s="154"/>
      <c r="CA39" s="154"/>
      <c r="CB39" s="154"/>
      <c r="CC39" s="154"/>
      <c r="CD39" s="154"/>
      <c r="CE39" s="447">
        <v>25977.639949799999</v>
      </c>
      <c r="CF39" s="451"/>
      <c r="CG39" s="446"/>
      <c r="CH39" s="446"/>
      <c r="CI39" s="446"/>
      <c r="CJ39" s="446"/>
      <c r="CK39" s="452">
        <f>Nigeria!J39</f>
        <v>26009</v>
      </c>
      <c r="CL39" s="444"/>
      <c r="CM39" s="451"/>
      <c r="CN39" s="451"/>
      <c r="CO39" s="451"/>
      <c r="CP39" s="451"/>
      <c r="CQ39" s="444"/>
      <c r="CR39" s="451"/>
      <c r="CS39" s="451"/>
      <c r="CT39" s="451"/>
      <c r="CU39" s="451"/>
      <c r="CV39" s="451"/>
      <c r="CW39" s="451">
        <v>25234.774125</v>
      </c>
      <c r="CX39" s="452">
        <f>Nigeria!K39</f>
        <v>25740</v>
      </c>
      <c r="CY39" s="451"/>
      <c r="CZ39" s="451"/>
      <c r="DA39" s="447">
        <v>25987.84</v>
      </c>
    </row>
    <row r="40" spans="1:105">
      <c r="A40" s="154" t="s">
        <v>1</v>
      </c>
      <c r="B40" s="448"/>
      <c r="C40" s="448"/>
      <c r="D40" s="448"/>
      <c r="E40" s="448"/>
      <c r="F40" s="448"/>
      <c r="G40" s="448"/>
      <c r="H40" s="448"/>
      <c r="I40" s="448"/>
      <c r="J40" s="448">
        <f t="shared" ref="J40:U40" si="27">J39/J38</f>
        <v>1.4087858450274557</v>
      </c>
      <c r="K40" s="448"/>
      <c r="L40" s="448"/>
      <c r="M40" s="448"/>
      <c r="N40" s="448"/>
      <c r="O40" s="448">
        <f t="shared" si="27"/>
        <v>1.4775015160703457</v>
      </c>
      <c r="P40" s="448">
        <f t="shared" si="27"/>
        <v>1.4885019112917905</v>
      </c>
      <c r="Q40" s="448">
        <f t="shared" si="27"/>
        <v>1.4977877447118007</v>
      </c>
      <c r="R40" s="448">
        <f t="shared" si="27"/>
        <v>1.5017234081151358</v>
      </c>
      <c r="S40" s="448">
        <f t="shared" si="27"/>
        <v>1.482542740187816</v>
      </c>
      <c r="T40" s="448">
        <f t="shared" si="27"/>
        <v>1.4890449098172134</v>
      </c>
      <c r="U40" s="448">
        <f t="shared" si="27"/>
        <v>1.5200385124563727</v>
      </c>
      <c r="V40" s="448">
        <f t="shared" ref="V40:AA40" si="28">V39/V38</f>
        <v>1.5201732526403229</v>
      </c>
      <c r="W40" s="448">
        <f t="shared" si="28"/>
        <v>1.5240863787375416</v>
      </c>
      <c r="X40" s="448">
        <f t="shared" si="28"/>
        <v>1.5345322021746923</v>
      </c>
      <c r="Y40" s="448">
        <f t="shared" si="28"/>
        <v>1.5296935999053591</v>
      </c>
      <c r="Z40" s="448">
        <f t="shared" si="28"/>
        <v>1.542218299499853</v>
      </c>
      <c r="AA40" s="448">
        <f t="shared" si="28"/>
        <v>1.5666992426093329</v>
      </c>
      <c r="AB40" s="448">
        <f t="shared" ref="AB40:AC40" si="29">AB39/AB38</f>
        <v>1.5732406391023295</v>
      </c>
      <c r="AC40" s="448">
        <f t="shared" si="29"/>
        <v>1.5809146341463414</v>
      </c>
      <c r="AD40" s="448">
        <f t="shared" ref="AD40:AE40" si="30">AD39/AD38</f>
        <v>1.5863982921622446</v>
      </c>
      <c r="AE40" s="448">
        <f t="shared" si="30"/>
        <v>1.5923578523980741</v>
      </c>
      <c r="AF40" s="448">
        <f t="shared" ref="AF40:AH40" si="31">AF39/AF38</f>
        <v>1.602691954726216</v>
      </c>
      <c r="AG40" s="890">
        <f t="shared" si="31"/>
        <v>1.5555555555555556</v>
      </c>
      <c r="AH40" s="448">
        <f t="shared" si="31"/>
        <v>1.5604728705668385</v>
      </c>
      <c r="AI40" s="448">
        <f>AI39/AI38</f>
        <v>1.5678131479448714</v>
      </c>
      <c r="AJ40" s="448">
        <f t="shared" ref="AJ40" si="32">AJ39/AJ38</f>
        <v>1.5722386587771202</v>
      </c>
      <c r="AK40" s="1080">
        <f t="shared" ref="AK40:AL40" si="33">AK39/AK38</f>
        <v>1.58</v>
      </c>
      <c r="AL40" s="1080">
        <f t="shared" si="33"/>
        <v>1.58</v>
      </c>
      <c r="AM40" s="449">
        <f>Nigeria!L30</f>
        <v>1.58</v>
      </c>
      <c r="AN40" s="448"/>
      <c r="AO40" s="448"/>
      <c r="AT40" s="890"/>
      <c r="BR40" s="448"/>
      <c r="BS40" s="448"/>
      <c r="BT40" s="448"/>
      <c r="BU40" s="448"/>
      <c r="BV40" s="448"/>
      <c r="BW40" s="448"/>
      <c r="BX40" s="448"/>
      <c r="BY40" s="154"/>
      <c r="BZ40" s="154"/>
      <c r="CA40" s="154"/>
      <c r="CB40" s="154"/>
      <c r="CC40" s="154"/>
      <c r="CD40" s="154"/>
      <c r="CE40" s="448">
        <v>1.5811999999999999</v>
      </c>
      <c r="CF40" s="448"/>
      <c r="CG40" s="155"/>
      <c r="CH40" s="155"/>
      <c r="CI40" s="155"/>
      <c r="CJ40" s="155"/>
      <c r="CK40" s="449">
        <f>Nigeria!J30</f>
        <v>1.5863982921622446</v>
      </c>
      <c r="CL40" s="448"/>
      <c r="CM40" s="448"/>
      <c r="CN40" s="448"/>
      <c r="CO40" s="448"/>
      <c r="CP40" s="448"/>
      <c r="CQ40" s="448"/>
      <c r="CR40" s="448"/>
      <c r="CS40" s="448"/>
      <c r="CT40" s="448"/>
      <c r="CU40" s="448"/>
      <c r="CV40" s="448"/>
      <c r="CW40" s="448">
        <v>1.595</v>
      </c>
      <c r="CX40" s="449">
        <f>Nigeria!K30</f>
        <v>1.5604728705668385</v>
      </c>
      <c r="CY40" s="448"/>
      <c r="CZ40" s="448"/>
      <c r="DA40" s="1080">
        <v>1.58</v>
      </c>
    </row>
    <row r="41" spans="1:105">
      <c r="A41" s="154"/>
      <c r="B41" s="448"/>
      <c r="C41" s="448"/>
      <c r="D41" s="448"/>
      <c r="E41" s="448"/>
      <c r="F41" s="448"/>
      <c r="G41" s="448"/>
      <c r="H41" s="448"/>
      <c r="I41" s="448"/>
      <c r="J41" s="448"/>
      <c r="K41" s="448"/>
      <c r="L41" s="448"/>
      <c r="M41" s="448"/>
      <c r="N41" s="448"/>
      <c r="O41" s="448"/>
      <c r="P41" s="448"/>
      <c r="Q41" s="448"/>
      <c r="R41" s="448"/>
      <c r="S41" s="455"/>
      <c r="T41" s="455"/>
      <c r="U41" s="455"/>
      <c r="V41" s="455"/>
      <c r="W41" s="455"/>
      <c r="X41" s="455"/>
      <c r="Y41" s="455"/>
      <c r="Z41" s="455"/>
      <c r="AA41" s="455"/>
      <c r="AB41" s="455"/>
      <c r="AC41" s="455"/>
      <c r="AD41" s="455"/>
      <c r="AE41" s="455"/>
      <c r="AF41" s="455"/>
      <c r="AG41" s="891"/>
      <c r="AH41" s="455"/>
      <c r="AI41" s="455"/>
      <c r="AJ41" s="455"/>
      <c r="AK41" s="1085"/>
      <c r="AL41" s="1085"/>
      <c r="AM41" s="449"/>
      <c r="AN41" s="448"/>
      <c r="AO41" s="448"/>
      <c r="AT41" s="1065"/>
      <c r="BR41" s="448"/>
      <c r="BS41" s="448"/>
      <c r="BT41" s="448"/>
      <c r="BU41" s="448"/>
      <c r="BV41" s="448"/>
      <c r="BW41" s="448"/>
      <c r="BX41" s="448"/>
      <c r="BY41" s="154"/>
      <c r="BZ41" s="154"/>
      <c r="CA41" s="154"/>
      <c r="CB41" s="154">
        <v>2024</v>
      </c>
      <c r="CC41" s="154">
        <v>2025</v>
      </c>
      <c r="CD41" s="154"/>
      <c r="CE41" s="455"/>
      <c r="CF41" s="570"/>
      <c r="CG41" s="155"/>
      <c r="CH41" s="155"/>
      <c r="CI41" s="155"/>
      <c r="CJ41" s="155"/>
      <c r="CK41" s="449"/>
      <c r="CL41" s="455"/>
      <c r="CM41" s="448"/>
      <c r="CN41" s="448"/>
      <c r="CO41" s="448"/>
      <c r="CP41" s="448"/>
      <c r="CQ41" s="455"/>
      <c r="CR41" s="448"/>
      <c r="CS41" s="448"/>
      <c r="CT41" s="448"/>
      <c r="CU41" s="448"/>
      <c r="CV41" s="448"/>
      <c r="CW41" s="455"/>
      <c r="CX41" s="449"/>
      <c r="CY41" s="448"/>
      <c r="CZ41" s="448"/>
      <c r="DA41" s="1085"/>
    </row>
    <row r="42" spans="1:105">
      <c r="A42" s="154" t="s">
        <v>703</v>
      </c>
      <c r="B42" s="448"/>
      <c r="C42" s="448"/>
      <c r="D42" s="448"/>
      <c r="E42" s="448"/>
      <c r="F42" s="448"/>
      <c r="G42" s="448"/>
      <c r="H42" s="448"/>
      <c r="I42" s="448"/>
      <c r="J42" s="448"/>
      <c r="K42" s="448"/>
      <c r="L42" s="448"/>
      <c r="M42" s="448"/>
      <c r="N42" s="448"/>
      <c r="O42" s="451"/>
      <c r="P42" s="451"/>
      <c r="Q42" s="451">
        <f t="shared" ref="Q42:W42" si="34">Q38-P38</f>
        <v>18</v>
      </c>
      <c r="R42" s="451">
        <f t="shared" si="34"/>
        <v>38</v>
      </c>
      <c r="S42" s="451">
        <f t="shared" si="34"/>
        <v>75</v>
      </c>
      <c r="T42" s="451">
        <f t="shared" si="34"/>
        <v>-90</v>
      </c>
      <c r="U42" s="451">
        <f t="shared" si="34"/>
        <v>96</v>
      </c>
      <c r="V42" s="451">
        <f t="shared" si="34"/>
        <v>236</v>
      </c>
      <c r="W42" s="451">
        <f t="shared" si="34"/>
        <v>2</v>
      </c>
      <c r="X42" s="451">
        <f>X38-W38</f>
        <v>-118</v>
      </c>
      <c r="Y42" s="451">
        <f>Y38-X38</f>
        <v>168</v>
      </c>
      <c r="Z42" s="451">
        <f>Z38-Y38</f>
        <v>89</v>
      </c>
      <c r="AA42" s="451">
        <f>AA38-Z38</f>
        <v>-623</v>
      </c>
      <c r="AB42" s="451">
        <f>AB38-AA38</f>
        <v>26</v>
      </c>
      <c r="AC42" s="451">
        <f t="shared" ref="AC42:AD42" si="35">AC38-AB38</f>
        <v>2</v>
      </c>
      <c r="AD42" s="451">
        <f t="shared" si="35"/>
        <v>-5</v>
      </c>
      <c r="AE42" s="451">
        <f t="shared" ref="AE42:AJ43" si="36">AE38-AD38</f>
        <v>14</v>
      </c>
      <c r="AF42" s="451">
        <f t="shared" si="36"/>
        <v>-64</v>
      </c>
      <c r="AG42" s="451">
        <f t="shared" si="36"/>
        <v>143</v>
      </c>
      <c r="AH42" s="451">
        <f t="shared" si="36"/>
        <v>7</v>
      </c>
      <c r="AI42" s="451">
        <f>AI38-AH38</f>
        <v>-97</v>
      </c>
      <c r="AJ42" s="451">
        <f t="shared" si="36"/>
        <v>-174</v>
      </c>
      <c r="AK42" s="447">
        <f>AK38-AJ38</f>
        <v>50</v>
      </c>
      <c r="AL42" s="447">
        <f t="shared" ref="AL42" si="37">AL38-AK38</f>
        <v>262.23749999999927</v>
      </c>
      <c r="AM42" s="449"/>
      <c r="AN42" s="448"/>
      <c r="AO42" s="448"/>
      <c r="AT42" s="451"/>
      <c r="BR42" s="448"/>
      <c r="BS42" s="448"/>
      <c r="BT42" s="448"/>
      <c r="BU42" s="448"/>
      <c r="BV42" s="448"/>
      <c r="BW42" s="448"/>
      <c r="BX42" s="448"/>
      <c r="BY42" s="167"/>
      <c r="BZ42" s="154"/>
      <c r="CA42" s="154"/>
      <c r="CB42" s="154"/>
      <c r="CC42" s="154"/>
      <c r="CD42" s="154"/>
      <c r="CE42" s="451">
        <v>29.066500000000815</v>
      </c>
      <c r="CF42" s="451"/>
      <c r="CG42" s="155"/>
      <c r="CH42" s="155"/>
      <c r="CI42" s="451"/>
      <c r="CJ42" s="155"/>
      <c r="CK42" s="449"/>
      <c r="CL42" s="451"/>
      <c r="CM42" s="448"/>
      <c r="CN42" s="448"/>
      <c r="CO42" s="448"/>
      <c r="CP42" s="448"/>
      <c r="CQ42" s="451"/>
      <c r="CR42" s="448"/>
      <c r="CS42" s="448"/>
      <c r="CT42" s="448"/>
      <c r="CU42" s="448"/>
      <c r="CV42" s="448"/>
      <c r="CW42" s="451">
        <v>-666.82500000000073</v>
      </c>
      <c r="CX42" s="449"/>
      <c r="CY42" s="448"/>
      <c r="CZ42" s="448"/>
      <c r="DA42" s="447">
        <v>50</v>
      </c>
    </row>
    <row r="43" spans="1:105">
      <c r="A43" s="154" t="s">
        <v>704</v>
      </c>
      <c r="B43" s="448"/>
      <c r="C43" s="448"/>
      <c r="D43" s="448"/>
      <c r="E43" s="448"/>
      <c r="F43" s="448"/>
      <c r="G43" s="448"/>
      <c r="H43" s="448"/>
      <c r="I43" s="448"/>
      <c r="J43" s="448"/>
      <c r="K43" s="448"/>
      <c r="L43" s="448"/>
      <c r="M43" s="448"/>
      <c r="N43" s="448"/>
      <c r="O43" s="451"/>
      <c r="P43" s="451"/>
      <c r="Q43" s="451">
        <f t="shared" ref="Q43:Y43" si="38">Q39-P39</f>
        <v>180</v>
      </c>
      <c r="R43" s="451">
        <f t="shared" si="38"/>
        <v>122</v>
      </c>
      <c r="S43" s="451">
        <f t="shared" si="38"/>
        <v>-206</v>
      </c>
      <c r="T43" s="451">
        <f t="shared" si="38"/>
        <v>-26</v>
      </c>
      <c r="U43" s="451">
        <f t="shared" si="38"/>
        <v>658</v>
      </c>
      <c r="V43" s="451">
        <f t="shared" si="38"/>
        <v>361</v>
      </c>
      <c r="W43" s="451">
        <f t="shared" si="38"/>
        <v>69</v>
      </c>
      <c r="X43" s="451">
        <f t="shared" si="38"/>
        <v>-5</v>
      </c>
      <c r="Y43" s="451">
        <f t="shared" si="38"/>
        <v>176</v>
      </c>
      <c r="Z43" s="451">
        <f>Z39-Y39</f>
        <v>349</v>
      </c>
      <c r="AA43" s="451">
        <f>AA39-Z39</f>
        <v>-560</v>
      </c>
      <c r="AB43" s="451">
        <f t="shared" ref="AB43" si="39">AB39-AA39</f>
        <v>148</v>
      </c>
      <c r="AC43" s="451">
        <f t="shared" ref="AC43:AD43" si="40">AC39-AB39</f>
        <v>129</v>
      </c>
      <c r="AD43" s="451">
        <f t="shared" si="40"/>
        <v>82</v>
      </c>
      <c r="AE43" s="451">
        <f t="shared" si="36"/>
        <v>120</v>
      </c>
      <c r="AF43" s="451">
        <f t="shared" si="36"/>
        <v>67</v>
      </c>
      <c r="AG43" s="451">
        <f t="shared" si="36"/>
        <v>-548</v>
      </c>
      <c r="AH43" s="451">
        <f t="shared" si="36"/>
        <v>92</v>
      </c>
      <c r="AI43" s="451">
        <f>AI39-AH39</f>
        <v>-31</v>
      </c>
      <c r="AJ43" s="451">
        <f t="shared" si="36"/>
        <v>-201</v>
      </c>
      <c r="AK43" s="447">
        <f>AK39-AJ39</f>
        <v>204.92000000000189</v>
      </c>
      <c r="AL43" s="447">
        <f t="shared" ref="AL43" si="41">AL39-AK39</f>
        <v>414.33524999999645</v>
      </c>
      <c r="AM43" s="449"/>
      <c r="AN43" s="448"/>
      <c r="AO43" s="448"/>
      <c r="AT43" s="451"/>
      <c r="BR43" s="448"/>
      <c r="BS43" s="448"/>
      <c r="BT43" s="448"/>
      <c r="BU43" s="448"/>
      <c r="BV43" s="448"/>
      <c r="BW43" s="448"/>
      <c r="BX43" s="448"/>
      <c r="BY43" s="154"/>
      <c r="BZ43" s="154"/>
      <c r="CA43" s="154"/>
      <c r="CB43" s="154"/>
      <c r="CC43" s="154"/>
      <c r="CD43" s="154"/>
      <c r="CE43" s="451">
        <v>50.639949799999158</v>
      </c>
      <c r="CF43" s="451"/>
      <c r="CG43" s="155"/>
      <c r="CH43" s="155"/>
      <c r="CI43" s="451"/>
      <c r="CJ43" s="155"/>
      <c r="CK43" s="449"/>
      <c r="CL43" s="451"/>
      <c r="CM43" s="448"/>
      <c r="CN43" s="448"/>
      <c r="CO43" s="448"/>
      <c r="CP43" s="448"/>
      <c r="CQ43" s="451"/>
      <c r="CR43" s="448"/>
      <c r="CS43" s="448"/>
      <c r="CT43" s="448"/>
      <c r="CU43" s="448"/>
      <c r="CV43" s="448"/>
      <c r="CW43" s="451">
        <v>-413.22587500000009</v>
      </c>
      <c r="CX43" s="449"/>
      <c r="CY43" s="448"/>
      <c r="CZ43" s="448"/>
      <c r="DA43" s="447">
        <v>278.84000000000015</v>
      </c>
    </row>
    <row r="44" spans="1:105">
      <c r="A44" s="154" t="s">
        <v>786</v>
      </c>
      <c r="B44" s="448"/>
      <c r="C44" s="448"/>
      <c r="D44" s="448"/>
      <c r="E44" s="448"/>
      <c r="F44" s="448"/>
      <c r="G44" s="448"/>
      <c r="H44" s="448"/>
      <c r="I44" s="448"/>
      <c r="J44" s="448"/>
      <c r="K44" s="448"/>
      <c r="L44" s="448"/>
      <c r="M44" s="448"/>
      <c r="N44" s="448"/>
      <c r="O44" s="448"/>
      <c r="P44" s="448"/>
      <c r="Q44" s="448"/>
      <c r="R44" s="456"/>
      <c r="S44" s="456"/>
      <c r="T44" s="456">
        <f t="shared" ref="T44:AB44" si="42">SUM(Q43:T43)</f>
        <v>70</v>
      </c>
      <c r="U44" s="456">
        <f t="shared" si="42"/>
        <v>548</v>
      </c>
      <c r="V44" s="456">
        <f t="shared" si="42"/>
        <v>787</v>
      </c>
      <c r="W44" s="456">
        <f t="shared" si="42"/>
        <v>1062</v>
      </c>
      <c r="X44" s="456">
        <f t="shared" si="42"/>
        <v>1083</v>
      </c>
      <c r="Y44" s="456">
        <f t="shared" si="42"/>
        <v>601</v>
      </c>
      <c r="Z44" s="456">
        <f t="shared" si="42"/>
        <v>589</v>
      </c>
      <c r="AA44" s="456">
        <f t="shared" si="42"/>
        <v>-40</v>
      </c>
      <c r="AB44" s="456">
        <f t="shared" si="42"/>
        <v>113</v>
      </c>
      <c r="AC44" s="456">
        <f t="shared" ref="AC44" si="43">SUM(Z43:AC43)</f>
        <v>66</v>
      </c>
      <c r="AD44" s="456">
        <f t="shared" ref="AD44" si="44">SUM(AA43:AD43)</f>
        <v>-201</v>
      </c>
      <c r="AE44" s="456">
        <f t="shared" ref="AE44:AJ44" si="45">SUM(AB43:AE43)</f>
        <v>479</v>
      </c>
      <c r="AF44" s="456">
        <f t="shared" si="45"/>
        <v>398</v>
      </c>
      <c r="AG44" s="892">
        <f t="shared" si="45"/>
        <v>-279</v>
      </c>
      <c r="AH44" s="456">
        <f t="shared" si="45"/>
        <v>-269</v>
      </c>
      <c r="AI44" s="456">
        <f>SUM(AF43:AI43)</f>
        <v>-420</v>
      </c>
      <c r="AJ44" s="456">
        <f t="shared" si="45"/>
        <v>-688</v>
      </c>
      <c r="AK44" s="1086">
        <f>SUM(AH43:AK43)</f>
        <v>64.920000000001892</v>
      </c>
      <c r="AL44" s="1086">
        <f>SUM(AI43:AL43)</f>
        <v>387.25524999999834</v>
      </c>
      <c r="AM44" s="449"/>
      <c r="AN44" s="448"/>
      <c r="AO44" s="448"/>
      <c r="AT44" s="892"/>
      <c r="BR44" s="448"/>
      <c r="BS44" s="448"/>
      <c r="BT44" s="448"/>
      <c r="BU44" s="448"/>
      <c r="BV44" s="448"/>
      <c r="BW44" s="448"/>
      <c r="BX44" s="448"/>
      <c r="BY44" s="154">
        <v>2500</v>
      </c>
      <c r="BZ44" s="154"/>
      <c r="CA44" s="154">
        <v>2500</v>
      </c>
      <c r="CB44" s="154"/>
      <c r="CC44" s="154"/>
      <c r="CD44" s="154"/>
      <c r="CE44" s="456">
        <v>-232.36005020000084</v>
      </c>
      <c r="CF44" s="456"/>
      <c r="CG44" s="155"/>
      <c r="CH44" s="155"/>
      <c r="CI44" s="155"/>
      <c r="CJ44" s="155"/>
      <c r="CK44" s="449"/>
      <c r="CL44" s="456"/>
      <c r="CM44" s="448"/>
      <c r="CN44" s="448"/>
      <c r="CO44" s="448"/>
      <c r="CP44" s="448"/>
      <c r="CQ44" s="456"/>
      <c r="CR44" s="448"/>
      <c r="CS44" s="448"/>
      <c r="CT44" s="448"/>
      <c r="CU44" s="448"/>
      <c r="CV44" s="448"/>
      <c r="CW44" s="456">
        <v>-774.22587500000009</v>
      </c>
      <c r="CX44" s="449"/>
      <c r="CY44" s="448"/>
      <c r="CZ44" s="448"/>
      <c r="DA44" s="1086">
        <v>-208.15999999999985</v>
      </c>
    </row>
    <row r="45" spans="1:105">
      <c r="A45" s="154"/>
      <c r="B45" s="448"/>
      <c r="C45" s="448"/>
      <c r="D45" s="448"/>
      <c r="E45" s="448"/>
      <c r="F45" s="448"/>
      <c r="G45" s="448"/>
      <c r="H45" s="448"/>
      <c r="I45" s="448"/>
      <c r="J45" s="448"/>
      <c r="K45" s="448"/>
      <c r="L45" s="448"/>
      <c r="M45" s="448"/>
      <c r="N45" s="448"/>
      <c r="O45" s="448"/>
      <c r="P45" s="448"/>
      <c r="Q45" s="448"/>
      <c r="R45" s="456"/>
      <c r="S45" s="456"/>
      <c r="T45" s="456"/>
      <c r="U45" s="456"/>
      <c r="V45" s="456"/>
      <c r="W45" s="456"/>
      <c r="X45" s="456"/>
      <c r="Y45" s="456"/>
      <c r="Z45" s="456"/>
      <c r="AA45" s="456"/>
      <c r="AB45" s="456"/>
      <c r="AC45" s="456"/>
      <c r="AD45" s="456"/>
      <c r="AE45" s="456"/>
      <c r="AF45" s="456"/>
      <c r="AG45" s="892"/>
      <c r="AH45" s="456"/>
      <c r="AI45" s="456"/>
      <c r="AJ45" s="456"/>
      <c r="AK45" s="1086"/>
      <c r="AL45" s="1086"/>
      <c r="AM45" s="449"/>
      <c r="AN45" s="448"/>
      <c r="AO45" s="448"/>
      <c r="AT45" s="892"/>
      <c r="BR45" s="448"/>
      <c r="BS45" s="448"/>
      <c r="BT45" s="448"/>
      <c r="BU45" s="448"/>
      <c r="BV45" s="448"/>
      <c r="BW45" s="448"/>
      <c r="BX45" s="448"/>
      <c r="BY45" s="154">
        <v>25900</v>
      </c>
      <c r="BZ45" s="154"/>
      <c r="CA45" s="154"/>
      <c r="CB45" s="154"/>
      <c r="CC45" s="154"/>
      <c r="CD45" s="154"/>
      <c r="CE45" s="456"/>
      <c r="CF45" s="456"/>
      <c r="CG45" s="155"/>
      <c r="CH45" s="155"/>
      <c r="CI45" s="155"/>
      <c r="CJ45" s="155"/>
      <c r="CK45" s="449"/>
      <c r="CL45" s="456"/>
      <c r="CM45" s="448"/>
      <c r="CN45" s="448"/>
      <c r="CO45" s="448"/>
      <c r="CP45" s="448"/>
      <c r="CQ45" s="456"/>
      <c r="CR45" s="448"/>
      <c r="CS45" s="448"/>
      <c r="CT45" s="448"/>
      <c r="CU45" s="448"/>
      <c r="CV45" s="448"/>
      <c r="CW45" s="456"/>
      <c r="CX45" s="449"/>
      <c r="CY45" s="448"/>
      <c r="CZ45" s="448"/>
      <c r="DA45" s="1086"/>
    </row>
    <row r="46" spans="1:105">
      <c r="A46" s="154" t="s">
        <v>725</v>
      </c>
      <c r="B46" s="155"/>
      <c r="C46" s="155"/>
      <c r="D46" s="155"/>
      <c r="E46" s="155"/>
      <c r="F46" s="155"/>
      <c r="G46" s="155"/>
      <c r="H46" s="155"/>
      <c r="I46" s="155"/>
      <c r="J46" s="155"/>
      <c r="K46" s="155"/>
      <c r="L46" s="155"/>
      <c r="M46" s="155"/>
      <c r="N46" s="155"/>
      <c r="O46" s="451">
        <f t="shared" ref="O46:AJ46" si="46">O110*1000000/AVERAGE(N39:O39)/3</f>
        <v>3415.595826468973</v>
      </c>
      <c r="P46" s="451">
        <f t="shared" si="46"/>
        <v>3299.520069808028</v>
      </c>
      <c r="Q46" s="451">
        <f t="shared" si="46"/>
        <v>3709.4197601061383</v>
      </c>
      <c r="R46" s="451">
        <f t="shared" si="46"/>
        <v>3676.1528007642719</v>
      </c>
      <c r="S46" s="451">
        <f t="shared" si="46"/>
        <v>3521.2621136764924</v>
      </c>
      <c r="T46" s="451">
        <f t="shared" si="46"/>
        <v>4021.9378427787938</v>
      </c>
      <c r="U46" s="451">
        <f t="shared" si="46"/>
        <v>3863.9979677242522</v>
      </c>
      <c r="V46" s="451">
        <f t="shared" si="46"/>
        <v>3927.4254305798509</v>
      </c>
      <c r="W46" s="451">
        <f t="shared" si="46"/>
        <v>4170.6456705189921</v>
      </c>
      <c r="X46" s="451">
        <f t="shared" si="46"/>
        <v>4165.4501216545013</v>
      </c>
      <c r="Y46" s="451">
        <f t="shared" si="46"/>
        <v>4591.368227731864</v>
      </c>
      <c r="Z46" s="451">
        <f t="shared" si="46"/>
        <v>4545.0762740616983</v>
      </c>
      <c r="AA46" s="451">
        <f t="shared" si="46"/>
        <v>5463.4271757295282</v>
      </c>
      <c r="AB46" s="451">
        <f t="shared" si="46"/>
        <v>4729.694707925154</v>
      </c>
      <c r="AC46" s="451">
        <f t="shared" si="46"/>
        <v>3497.9088126309002</v>
      </c>
      <c r="AD46" s="451">
        <f t="shared" si="46"/>
        <v>4120.4559457794212</v>
      </c>
      <c r="AE46" s="451">
        <f t="shared" si="46"/>
        <v>2915.3400590739961</v>
      </c>
      <c r="AF46" s="451">
        <f t="shared" si="46"/>
        <v>3434.9418697244782</v>
      </c>
      <c r="AG46" s="451">
        <f t="shared" si="46"/>
        <v>3115.6289380963403</v>
      </c>
      <c r="AH46" s="451">
        <f t="shared" si="46"/>
        <v>3360.0581199242365</v>
      </c>
      <c r="AI46" s="451">
        <f>AI110*1000000/AVERAGE(AH39:AI39)/3</f>
        <v>3515.4554348319048</v>
      </c>
      <c r="AJ46" s="451">
        <f t="shared" si="46"/>
        <v>3389.4995802175054</v>
      </c>
      <c r="AK46" s="447">
        <f>AK110*1000000/AVERAGE(AJ39:AK39)/3</f>
        <v>3384.0339715361097</v>
      </c>
      <c r="AL46" s="447">
        <f t="shared" ref="AL46" si="47">AL110*1000000/AVERAGE(AK39:AL39)/3</f>
        <v>3370.4527329225534</v>
      </c>
      <c r="AM46" s="452"/>
      <c r="AN46" s="451"/>
      <c r="AO46" s="451"/>
      <c r="AT46" s="451"/>
      <c r="BR46" s="451"/>
      <c r="BS46" s="451"/>
      <c r="BT46" s="451"/>
      <c r="BU46" s="451"/>
      <c r="BV46" s="451"/>
      <c r="BW46" s="451"/>
      <c r="BX46" s="451"/>
      <c r="BY46" s="157">
        <f>BY44/BY45</f>
        <v>9.6525096525096526E-2</v>
      </c>
      <c r="BZ46" s="154"/>
      <c r="CA46" s="154"/>
      <c r="CB46" s="154"/>
      <c r="CC46" s="154"/>
      <c r="CD46" s="154"/>
      <c r="CE46" s="451">
        <v>3383.9614027318926</v>
      </c>
      <c r="CF46" s="451"/>
      <c r="CG46" s="155"/>
      <c r="CH46" s="155"/>
      <c r="CI46" s="155"/>
      <c r="CJ46" s="155"/>
      <c r="CK46" s="452"/>
      <c r="CL46" s="451"/>
      <c r="CM46" s="451"/>
      <c r="CN46" s="451"/>
      <c r="CO46" s="451"/>
      <c r="CP46" s="451"/>
      <c r="CQ46" s="451"/>
      <c r="CR46" s="451"/>
      <c r="CS46" s="451"/>
      <c r="CT46" s="451"/>
      <c r="CU46" s="451"/>
      <c r="CV46" s="451"/>
      <c r="CW46" s="451">
        <v>2779.9384948423317</v>
      </c>
      <c r="CX46" s="452"/>
      <c r="CY46" s="451"/>
      <c r="CZ46" s="451"/>
      <c r="DA46" s="447">
        <v>3288.40215378735</v>
      </c>
    </row>
    <row r="47" spans="1:105">
      <c r="A47" s="154" t="s">
        <v>633</v>
      </c>
      <c r="B47" s="155"/>
      <c r="C47" s="155"/>
      <c r="D47" s="155"/>
      <c r="E47" s="155"/>
      <c r="F47" s="155"/>
      <c r="G47" s="155"/>
      <c r="H47" s="155"/>
      <c r="I47" s="155"/>
      <c r="J47" s="155"/>
      <c r="K47" s="155"/>
      <c r="L47" s="155"/>
      <c r="M47" s="155"/>
      <c r="N47" s="155"/>
      <c r="O47" s="155"/>
      <c r="P47" s="155"/>
      <c r="Q47" s="155"/>
      <c r="R47" s="155"/>
      <c r="S47" s="446">
        <f t="shared" ref="S47:AJ47" si="48">S46/O46-1</f>
        <v>3.0936414194169037E-2</v>
      </c>
      <c r="T47" s="446">
        <f t="shared" si="48"/>
        <v>0.21894631876350346</v>
      </c>
      <c r="U47" s="446">
        <f t="shared" si="48"/>
        <v>4.1671802496056953E-2</v>
      </c>
      <c r="V47" s="446">
        <f t="shared" si="48"/>
        <v>6.8352063538637209E-2</v>
      </c>
      <c r="W47" s="446">
        <f t="shared" si="48"/>
        <v>0.18441784106906178</v>
      </c>
      <c r="X47" s="446">
        <f t="shared" si="48"/>
        <v>3.5682371156823711E-2</v>
      </c>
      <c r="Y47" s="446">
        <f t="shared" si="48"/>
        <v>0.18824291991954767</v>
      </c>
      <c r="Z47" s="446">
        <f t="shared" si="48"/>
        <v>0.15726609057238217</v>
      </c>
      <c r="AA47" s="446">
        <f t="shared" si="48"/>
        <v>0.30997155053204595</v>
      </c>
      <c r="AB47" s="446">
        <f t="shared" si="48"/>
        <v>0.13545825055913441</v>
      </c>
      <c r="AC47" s="446">
        <f t="shared" si="48"/>
        <v>-0.23815546060898996</v>
      </c>
      <c r="AD47" s="446">
        <f t="shared" si="48"/>
        <v>-9.3424246960506108E-2</v>
      </c>
      <c r="AE47" s="446">
        <f t="shared" si="48"/>
        <v>-0.46638987483443262</v>
      </c>
      <c r="AF47" s="446">
        <f t="shared" si="48"/>
        <v>-0.27374976994417144</v>
      </c>
      <c r="AG47" s="468">
        <f t="shared" si="48"/>
        <v>-0.10928811899102475</v>
      </c>
      <c r="AH47" s="446">
        <f t="shared" si="48"/>
        <v>-0.18454215646548999</v>
      </c>
      <c r="AI47" s="446">
        <f>AI46/AE46-1</f>
        <v>0.2058474701399069</v>
      </c>
      <c r="AJ47" s="446">
        <f t="shared" si="48"/>
        <v>-1.3229420243614731E-2</v>
      </c>
      <c r="AK47" s="1083">
        <f>AK46/AG46-1</f>
        <v>8.6147945975802109E-2</v>
      </c>
      <c r="AL47" s="1083">
        <f>AL46/AH46-1</f>
        <v>3.0935813094064013E-3</v>
      </c>
      <c r="AM47" s="453"/>
      <c r="AN47" s="446"/>
      <c r="AO47" s="446"/>
      <c r="AT47" s="468"/>
      <c r="BR47" s="446"/>
      <c r="BS47" s="446"/>
      <c r="BT47" s="446"/>
      <c r="BU47" s="446"/>
      <c r="BV47" s="446"/>
      <c r="BW47" s="446"/>
      <c r="BX47" s="446"/>
      <c r="BY47" s="154"/>
      <c r="BZ47" s="154"/>
      <c r="CA47" s="154"/>
      <c r="CB47" s="154"/>
      <c r="CC47" s="154"/>
      <c r="CD47" s="154"/>
      <c r="CE47" s="446">
        <v>-0.25546653154231402</v>
      </c>
      <c r="CF47" s="446"/>
      <c r="CG47" s="155"/>
      <c r="CH47" s="155"/>
      <c r="CI47" s="155"/>
      <c r="CJ47" s="155"/>
      <c r="CK47" s="453"/>
      <c r="CL47" s="446"/>
      <c r="CM47" s="446"/>
      <c r="CN47" s="446"/>
      <c r="CO47" s="446"/>
      <c r="CP47" s="446"/>
      <c r="CQ47" s="446"/>
      <c r="CR47" s="446"/>
      <c r="CS47" s="446"/>
      <c r="CT47" s="446"/>
      <c r="CU47" s="446"/>
      <c r="CV47" s="446"/>
      <c r="CW47" s="446">
        <v>-0.32533230996200313</v>
      </c>
      <c r="CX47" s="453"/>
      <c r="CY47" s="446"/>
      <c r="CZ47" s="446"/>
      <c r="DA47" s="1083">
        <v>-4.4079762794871802E-2</v>
      </c>
    </row>
    <row r="48" spans="1:105">
      <c r="A48" s="154" t="s">
        <v>726</v>
      </c>
      <c r="B48" s="155"/>
      <c r="C48" s="155"/>
      <c r="D48" s="155"/>
      <c r="E48" s="155"/>
      <c r="F48" s="155"/>
      <c r="G48" s="155"/>
      <c r="H48" s="155"/>
      <c r="I48" s="155"/>
      <c r="J48" s="155"/>
      <c r="K48" s="155"/>
      <c r="L48" s="155"/>
      <c r="M48" s="155"/>
      <c r="N48" s="155"/>
      <c r="O48" s="451">
        <f t="shared" ref="O48:AJ48" si="49">O110*1000000/AVERAGE(N38:O38)/3</f>
        <v>5027.7769357462594</v>
      </c>
      <c r="P48" s="451">
        <f t="shared" si="49"/>
        <v>4893.1889640391046</v>
      </c>
      <c r="Q48" s="451">
        <f t="shared" si="49"/>
        <v>5538.710329492621</v>
      </c>
      <c r="R48" s="451">
        <f t="shared" si="49"/>
        <v>5513.3389837349141</v>
      </c>
      <c r="S48" s="451">
        <f t="shared" si="49"/>
        <v>5254.1152573732743</v>
      </c>
      <c r="T48" s="451">
        <f t="shared" si="49"/>
        <v>5975.7348946701277</v>
      </c>
      <c r="U48" s="451">
        <f t="shared" si="49"/>
        <v>5813.7195735264531</v>
      </c>
      <c r="V48" s="451">
        <f t="shared" si="49"/>
        <v>5970.1043658381141</v>
      </c>
      <c r="W48" s="451">
        <f t="shared" si="49"/>
        <v>6348.2646099080384</v>
      </c>
      <c r="X48" s="451">
        <f t="shared" si="49"/>
        <v>6370.1851521104954</v>
      </c>
      <c r="Y48" s="451">
        <f t="shared" si="49"/>
        <v>7034.4390282566483</v>
      </c>
      <c r="Z48" s="451">
        <f t="shared" si="49"/>
        <v>6981.1116682890379</v>
      </c>
      <c r="AA48" s="451">
        <f t="shared" si="49"/>
        <v>8491.4236621012769</v>
      </c>
      <c r="AB48" s="451">
        <f t="shared" si="49"/>
        <v>7425.4907944257966</v>
      </c>
      <c r="AC48" s="451">
        <f t="shared" si="49"/>
        <v>5516.4745817834419</v>
      </c>
      <c r="AD48" s="451">
        <f t="shared" si="49"/>
        <v>6525.3849672206125</v>
      </c>
      <c r="AE48" s="451">
        <f t="shared" si="49"/>
        <v>4633.5812705767594</v>
      </c>
      <c r="AF48" s="451">
        <f t="shared" si="49"/>
        <v>5487.3704992774428</v>
      </c>
      <c r="AG48" s="451">
        <f t="shared" si="49"/>
        <v>4919.6438542523274</v>
      </c>
      <c r="AH48" s="451">
        <f t="shared" si="49"/>
        <v>5235.0200608394225</v>
      </c>
      <c r="AI48" s="451">
        <f>AI110*1000000/AVERAGE(AH38:AI38)/3</f>
        <v>5498.6369946999866</v>
      </c>
      <c r="AJ48" s="451">
        <f t="shared" si="49"/>
        <v>5321.5621359818524</v>
      </c>
      <c r="AK48" s="447">
        <f>AK110*1000000/AVERAGE(AJ38:AK38)/3</f>
        <v>5333.6615586600201</v>
      </c>
      <c r="AL48" s="447">
        <f t="shared" ref="AL48" si="50">AL110*1000000/AVERAGE(AK38:AL38)/3</f>
        <v>5325.3153180176341</v>
      </c>
      <c r="AM48" s="452"/>
      <c r="AN48" s="451"/>
      <c r="AO48" s="451"/>
      <c r="AT48" s="451"/>
      <c r="BR48" s="451"/>
      <c r="BS48" s="451"/>
      <c r="BT48" s="451"/>
      <c r="BU48" s="451"/>
      <c r="BV48" s="451"/>
      <c r="BW48" s="451"/>
      <c r="BX48" s="451"/>
      <c r="BY48" s="154"/>
      <c r="BZ48" s="154"/>
      <c r="CA48" s="154"/>
      <c r="CB48" s="154"/>
      <c r="CC48" s="154"/>
      <c r="CD48" s="154"/>
      <c r="CE48" s="451">
        <v>5350.2373639780162</v>
      </c>
      <c r="CF48" s="451"/>
      <c r="CG48" s="155"/>
      <c r="CH48" s="155"/>
      <c r="CI48" s="155"/>
      <c r="CJ48" s="155"/>
      <c r="CK48" s="452"/>
      <c r="CL48" s="451"/>
      <c r="CM48" s="451"/>
      <c r="CN48" s="451"/>
      <c r="CO48" s="451"/>
      <c r="CP48" s="451"/>
      <c r="CQ48" s="451"/>
      <c r="CR48" s="451"/>
      <c r="CS48" s="451"/>
      <c r="CT48" s="451"/>
      <c r="CU48" s="451"/>
      <c r="CV48" s="451"/>
      <c r="CW48" s="451">
        <v>4378.0437759384085</v>
      </c>
      <c r="CX48" s="452"/>
      <c r="CY48" s="451"/>
      <c r="CZ48" s="451"/>
      <c r="DA48" s="447">
        <v>5175.6682701089931</v>
      </c>
    </row>
    <row r="49" spans="1:105">
      <c r="A49" s="154" t="s">
        <v>633</v>
      </c>
      <c r="B49" s="155"/>
      <c r="C49" s="155"/>
      <c r="D49" s="155"/>
      <c r="E49" s="155"/>
      <c r="F49" s="155"/>
      <c r="G49" s="155"/>
      <c r="H49" s="155"/>
      <c r="I49" s="155"/>
      <c r="J49" s="155"/>
      <c r="K49" s="155"/>
      <c r="L49" s="155"/>
      <c r="M49" s="155"/>
      <c r="N49" s="155"/>
      <c r="O49" s="155"/>
      <c r="P49" s="155"/>
      <c r="Q49" s="155"/>
      <c r="R49" s="155"/>
      <c r="S49" s="446">
        <f t="shared" ref="S49:AJ49" si="51">S48/O48-1</f>
        <v>4.5017574271802863E-2</v>
      </c>
      <c r="T49" s="446">
        <f t="shared" si="51"/>
        <v>0.22123525957955859</v>
      </c>
      <c r="U49" s="446">
        <f t="shared" si="51"/>
        <v>4.9652216431947727E-2</v>
      </c>
      <c r="V49" s="446">
        <f t="shared" si="51"/>
        <v>8.2847324180631565E-2</v>
      </c>
      <c r="W49" s="446">
        <f t="shared" si="51"/>
        <v>0.20824616494647841</v>
      </c>
      <c r="X49" s="446">
        <f t="shared" si="51"/>
        <v>6.6008660757723048E-2</v>
      </c>
      <c r="Y49" s="446">
        <f t="shared" si="51"/>
        <v>0.20997219409909351</v>
      </c>
      <c r="Z49" s="446">
        <f t="shared" si="51"/>
        <v>0.16934499641849943</v>
      </c>
      <c r="AA49" s="446">
        <f t="shared" si="51"/>
        <v>0.33759762453006581</v>
      </c>
      <c r="AB49" s="446">
        <f t="shared" si="51"/>
        <v>0.16566326050439351</v>
      </c>
      <c r="AC49" s="446">
        <f t="shared" si="51"/>
        <v>-0.21579040494568125</v>
      </c>
      <c r="AD49" s="446">
        <f t="shared" si="51"/>
        <v>-6.5279961519383201E-2</v>
      </c>
      <c r="AE49" s="446">
        <f t="shared" si="51"/>
        <v>-0.4543222132164656</v>
      </c>
      <c r="AF49" s="446">
        <f t="shared" si="51"/>
        <v>-0.26100904961100635</v>
      </c>
      <c r="AG49" s="468">
        <f t="shared" si="51"/>
        <v>-0.10819060591740515</v>
      </c>
      <c r="AH49" s="446">
        <f t="shared" si="51"/>
        <v>-0.19774540703164079</v>
      </c>
      <c r="AI49" s="446">
        <f>AI48/AE48-1</f>
        <v>0.18669268404038375</v>
      </c>
      <c r="AJ49" s="446">
        <f t="shared" si="51"/>
        <v>-3.0216360152357735E-2</v>
      </c>
      <c r="AK49" s="1083">
        <f>AK48/AG48-1</f>
        <v>8.4156031752142813E-2</v>
      </c>
      <c r="AL49" s="1083">
        <f>AL48/AH48-1</f>
        <v>1.7248311587889642E-2</v>
      </c>
      <c r="AM49" s="453"/>
      <c r="AN49" s="446"/>
      <c r="AO49" s="446"/>
      <c r="AT49" s="468"/>
      <c r="BR49" s="446"/>
      <c r="BS49" s="446"/>
      <c r="BT49" s="446"/>
      <c r="BU49" s="446"/>
      <c r="BV49" s="446"/>
      <c r="BW49" s="446"/>
      <c r="BX49" s="446"/>
      <c r="BY49" s="154">
        <v>2500</v>
      </c>
      <c r="BZ49" s="154"/>
      <c r="CA49" s="154"/>
      <c r="CB49" s="154"/>
      <c r="CC49" s="154"/>
      <c r="CD49" s="154"/>
      <c r="CE49" s="446">
        <v>-0.23361240756527302</v>
      </c>
      <c r="CF49" s="446"/>
      <c r="CG49" s="155"/>
      <c r="CH49" s="155"/>
      <c r="CI49" s="155"/>
      <c r="CJ49" s="155"/>
      <c r="CK49" s="453"/>
      <c r="CL49" s="446"/>
      <c r="CM49" s="446"/>
      <c r="CN49" s="446"/>
      <c r="CO49" s="446"/>
      <c r="CP49" s="446"/>
      <c r="CQ49" s="446"/>
      <c r="CR49" s="446"/>
      <c r="CS49" s="446"/>
      <c r="CT49" s="446"/>
      <c r="CU49" s="446"/>
      <c r="CV49" s="446"/>
      <c r="CW49" s="446">
        <v>-0.32907502041168168</v>
      </c>
      <c r="CX49" s="453"/>
      <c r="CY49" s="446"/>
      <c r="CZ49" s="446"/>
      <c r="DA49" s="1083">
        <v>-5.8200897115833539E-2</v>
      </c>
    </row>
    <row r="50" spans="1:105">
      <c r="A50" s="154"/>
      <c r="B50" s="155"/>
      <c r="C50" s="155"/>
      <c r="D50" s="155"/>
      <c r="E50" s="155"/>
      <c r="F50" s="155"/>
      <c r="G50" s="155"/>
      <c r="H50" s="155"/>
      <c r="I50" s="155"/>
      <c r="J50" s="155"/>
      <c r="K50" s="155"/>
      <c r="L50" s="155"/>
      <c r="M50" s="155"/>
      <c r="N50" s="155"/>
      <c r="O50" s="155"/>
      <c r="P50" s="155"/>
      <c r="Q50" s="155"/>
      <c r="R50" s="156"/>
      <c r="S50" s="156"/>
      <c r="T50" s="156"/>
      <c r="U50" s="156"/>
      <c r="V50" s="156"/>
      <c r="W50" s="156"/>
      <c r="X50" s="156"/>
      <c r="Y50" s="156"/>
      <c r="Z50" s="156"/>
      <c r="AA50" s="156"/>
      <c r="AB50" s="156"/>
      <c r="AC50" s="156"/>
      <c r="AD50" s="156"/>
      <c r="AE50" s="156"/>
      <c r="AF50" s="156"/>
      <c r="AG50" s="156"/>
      <c r="AH50" s="156"/>
      <c r="AI50" s="156"/>
      <c r="AJ50" s="156"/>
      <c r="AK50" s="1082"/>
      <c r="AL50" s="1082"/>
      <c r="AM50" s="450"/>
      <c r="AN50" s="156"/>
      <c r="AO50" s="156"/>
      <c r="AT50" s="156"/>
      <c r="BR50" s="156"/>
      <c r="BS50" s="156"/>
      <c r="BT50" s="156"/>
      <c r="BU50" s="156"/>
      <c r="BV50" s="156"/>
      <c r="BW50" s="156"/>
      <c r="BX50" s="156"/>
      <c r="BY50" s="154">
        <f>BY49/AB39</f>
        <v>9.6906736956353212E-2</v>
      </c>
      <c r="BZ50" s="154"/>
      <c r="CA50" s="154"/>
      <c r="CB50" s="154"/>
      <c r="CC50" s="154"/>
      <c r="CD50" s="154"/>
      <c r="CE50" s="156"/>
      <c r="CF50" s="156"/>
      <c r="CG50" s="155"/>
      <c r="CH50" s="155"/>
      <c r="CI50" s="155"/>
      <c r="CJ50" s="155"/>
      <c r="CK50" s="450"/>
      <c r="CL50" s="156"/>
      <c r="CM50" s="156"/>
      <c r="CN50" s="156"/>
      <c r="CO50" s="156"/>
      <c r="CP50" s="156"/>
      <c r="CQ50" s="156"/>
      <c r="CR50" s="156"/>
      <c r="CS50" s="156"/>
      <c r="CT50" s="156"/>
      <c r="CU50" s="156"/>
      <c r="CV50" s="156"/>
      <c r="CW50" s="156"/>
      <c r="CX50" s="450"/>
      <c r="CY50" s="156"/>
      <c r="CZ50" s="156"/>
      <c r="DA50" s="1082"/>
    </row>
    <row r="51" spans="1:105">
      <c r="A51" s="154"/>
      <c r="B51" s="155"/>
      <c r="C51" s="155"/>
      <c r="D51" s="155"/>
      <c r="E51" s="155"/>
      <c r="F51" s="155"/>
      <c r="G51" s="155"/>
      <c r="H51" s="155"/>
      <c r="I51" s="155"/>
      <c r="J51" s="155"/>
      <c r="K51" s="155"/>
      <c r="L51" s="155"/>
      <c r="M51" s="155"/>
      <c r="N51" s="155"/>
      <c r="O51" s="155"/>
      <c r="P51" s="155"/>
      <c r="Q51" s="155"/>
      <c r="R51" s="156"/>
      <c r="S51" s="156"/>
      <c r="T51" s="156"/>
      <c r="U51" s="156"/>
      <c r="V51" s="156"/>
      <c r="W51" s="156"/>
      <c r="X51" s="156"/>
      <c r="Y51" s="156"/>
      <c r="Z51" s="156"/>
      <c r="AA51" s="156"/>
      <c r="AB51" s="156"/>
      <c r="AC51" s="156"/>
      <c r="AD51" s="156"/>
      <c r="AE51" s="156"/>
      <c r="AF51" s="156"/>
      <c r="AG51" s="156"/>
      <c r="AH51" s="156"/>
      <c r="AI51" s="156"/>
      <c r="AJ51" s="156"/>
      <c r="AK51" s="1082"/>
      <c r="AL51" s="1082"/>
      <c r="AM51" s="450"/>
      <c r="AN51" s="156"/>
      <c r="AO51" s="156"/>
      <c r="AT51" s="156"/>
      <c r="BR51" s="156"/>
      <c r="BS51" s="156"/>
      <c r="BT51" s="156"/>
      <c r="BU51" s="156"/>
      <c r="BV51" s="156"/>
      <c r="BW51" s="156"/>
      <c r="BX51" s="156"/>
      <c r="BY51" s="154"/>
      <c r="BZ51" s="154"/>
      <c r="CA51" s="154"/>
      <c r="CB51" s="154"/>
      <c r="CC51" s="154"/>
      <c r="CD51" s="154"/>
      <c r="CE51" s="156"/>
      <c r="CF51" s="156"/>
      <c r="CG51" s="155"/>
      <c r="CH51" s="155"/>
      <c r="CI51" s="155"/>
      <c r="CJ51" s="155"/>
      <c r="CK51" s="450"/>
      <c r="CL51" s="156"/>
      <c r="CM51" s="156"/>
      <c r="CN51" s="156"/>
      <c r="CO51" s="156"/>
      <c r="CP51" s="156"/>
      <c r="CQ51" s="156"/>
      <c r="CR51" s="156"/>
      <c r="CS51" s="156"/>
      <c r="CT51" s="156"/>
      <c r="CU51" s="156"/>
      <c r="CV51" s="156"/>
      <c r="CW51" s="156"/>
      <c r="CX51" s="450"/>
      <c r="CY51" s="156"/>
      <c r="CZ51" s="156"/>
      <c r="DA51" s="1082"/>
    </row>
    <row r="52" spans="1:105">
      <c r="A52" s="443" t="s">
        <v>713</v>
      </c>
      <c r="B52" s="155"/>
      <c r="C52" s="155"/>
      <c r="D52" s="155"/>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078"/>
      <c r="AL52" s="1078"/>
      <c r="AM52" s="408"/>
      <c r="AN52" s="155"/>
      <c r="AO52" s="155"/>
      <c r="AT52" s="155"/>
      <c r="BR52" s="155"/>
      <c r="BS52" s="155"/>
      <c r="BT52" s="155"/>
      <c r="BU52" s="155"/>
      <c r="BV52" s="155"/>
      <c r="BW52" s="155"/>
      <c r="BX52" s="155"/>
      <c r="BY52" s="154"/>
      <c r="BZ52" s="154"/>
      <c r="CA52" s="154"/>
      <c r="CB52" s="154"/>
      <c r="CC52" s="154"/>
      <c r="CD52" s="154"/>
      <c r="CE52" s="155"/>
      <c r="CF52" s="155"/>
      <c r="CG52" s="155"/>
      <c r="CH52" s="155"/>
      <c r="CI52" s="155"/>
      <c r="CJ52" s="155"/>
      <c r="CK52" s="408"/>
      <c r="CL52" s="155"/>
      <c r="CM52" s="155"/>
      <c r="CN52" s="155"/>
      <c r="CO52" s="155"/>
      <c r="CP52" s="155"/>
      <c r="CQ52" s="155"/>
      <c r="CR52" s="155"/>
      <c r="CS52" s="155"/>
      <c r="CT52" s="155"/>
      <c r="CU52" s="155"/>
      <c r="CV52" s="155"/>
      <c r="CW52" s="155"/>
      <c r="CX52" s="408"/>
      <c r="CY52" s="155"/>
      <c r="CZ52" s="155"/>
      <c r="DA52" s="1078"/>
    </row>
    <row r="53" spans="1:105">
      <c r="A53" s="154" t="s">
        <v>162</v>
      </c>
      <c r="B53" s="444"/>
      <c r="C53" s="444"/>
      <c r="D53" s="444"/>
      <c r="E53" s="444"/>
      <c r="F53" s="444"/>
      <c r="G53" s="444"/>
      <c r="H53" s="444"/>
      <c r="I53" s="444"/>
      <c r="J53" s="444"/>
      <c r="K53" s="444"/>
      <c r="L53" s="444"/>
      <c r="M53" s="444"/>
      <c r="N53" s="444"/>
      <c r="O53" s="444"/>
      <c r="P53" s="444">
        <v>7627</v>
      </c>
      <c r="Q53" s="444">
        <v>7631</v>
      </c>
      <c r="R53" s="444">
        <v>7627</v>
      </c>
      <c r="S53" s="444">
        <v>7631</v>
      </c>
      <c r="T53" s="444">
        <v>7827</v>
      </c>
      <c r="U53" s="444">
        <v>7860</v>
      </c>
      <c r="V53" s="444">
        <v>7878</v>
      </c>
      <c r="W53" s="444">
        <v>7930</v>
      </c>
      <c r="X53" s="444">
        <v>13729</v>
      </c>
      <c r="Y53" s="444">
        <v>13788</v>
      </c>
      <c r="Z53" s="444">
        <v>13850</v>
      </c>
      <c r="AA53" s="444">
        <v>13889</v>
      </c>
      <c r="AB53" s="444">
        <v>13932</v>
      </c>
      <c r="AC53" s="444">
        <v>14005</v>
      </c>
      <c r="AD53" s="444">
        <v>14056</v>
      </c>
      <c r="AE53" s="444">
        <v>14090</v>
      </c>
      <c r="AF53" s="444">
        <v>14117</v>
      </c>
      <c r="AG53" s="444">
        <v>14133</v>
      </c>
      <c r="AH53" s="444">
        <v>14155</v>
      </c>
      <c r="AI53" s="444">
        <v>14161</v>
      </c>
      <c r="AJ53" s="444">
        <v>14166</v>
      </c>
      <c r="AK53" s="447">
        <f>AJ53+10</f>
        <v>14176</v>
      </c>
      <c r="AL53" s="447">
        <f>AM53</f>
        <v>12720.670662785</v>
      </c>
      <c r="AM53" s="452">
        <f>SSA!L53</f>
        <v>12720.670662785</v>
      </c>
      <c r="AN53" s="444"/>
      <c r="AO53" s="444"/>
      <c r="AT53" s="156"/>
      <c r="BR53" s="444"/>
      <c r="BS53" s="444"/>
      <c r="BT53" s="444"/>
      <c r="BU53" s="444"/>
      <c r="BV53" s="444"/>
      <c r="BW53" s="444"/>
      <c r="BX53" s="444"/>
      <c r="BY53" s="154"/>
      <c r="BZ53" s="154"/>
      <c r="CA53" s="154"/>
      <c r="CB53" s="154"/>
      <c r="CC53" s="154"/>
      <c r="CD53" s="154"/>
      <c r="CE53" s="447">
        <v>14047.038648000002</v>
      </c>
      <c r="CF53" s="451"/>
      <c r="CG53" s="446"/>
      <c r="CH53" s="446"/>
      <c r="CI53" s="446"/>
      <c r="CJ53" s="446"/>
      <c r="CK53" s="452">
        <f>SSA!J53</f>
        <v>14056</v>
      </c>
      <c r="CL53" s="444"/>
      <c r="CM53" s="444"/>
      <c r="CN53" s="444"/>
      <c r="CO53" s="444"/>
      <c r="CP53" s="444"/>
      <c r="CQ53" s="444"/>
      <c r="CR53" s="444"/>
      <c r="CS53" s="444"/>
      <c r="CT53" s="444"/>
      <c r="CU53" s="444"/>
      <c r="CV53" s="444"/>
      <c r="CW53" s="156">
        <v>14188.8016632</v>
      </c>
      <c r="CX53" s="452">
        <f>SSA!K53</f>
        <v>14155</v>
      </c>
      <c r="CY53" s="444"/>
      <c r="CZ53" s="444"/>
      <c r="DA53" s="447">
        <v>14171</v>
      </c>
    </row>
    <row r="54" spans="1:105">
      <c r="A54" s="154" t="s">
        <v>632</v>
      </c>
      <c r="B54" s="444"/>
      <c r="C54" s="444"/>
      <c r="D54" s="444"/>
      <c r="E54" s="444"/>
      <c r="F54" s="444"/>
      <c r="G54" s="444"/>
      <c r="H54" s="444"/>
      <c r="I54" s="444"/>
      <c r="J54" s="444"/>
      <c r="K54" s="444"/>
      <c r="L54" s="444"/>
      <c r="M54" s="444"/>
      <c r="N54" s="444"/>
      <c r="O54" s="444"/>
      <c r="P54" s="444">
        <v>13633</v>
      </c>
      <c r="Q54" s="444">
        <v>13620</v>
      </c>
      <c r="R54" s="444">
        <v>13623</v>
      </c>
      <c r="S54" s="444">
        <v>13703</v>
      </c>
      <c r="T54" s="444">
        <v>14040</v>
      </c>
      <c r="U54" s="444">
        <v>13721</v>
      </c>
      <c r="V54" s="444">
        <v>13416</v>
      </c>
      <c r="W54" s="444">
        <v>13493</v>
      </c>
      <c r="X54" s="444">
        <v>20650</v>
      </c>
      <c r="Y54" s="444">
        <v>20858</v>
      </c>
      <c r="Z54" s="444">
        <v>21036</v>
      </c>
      <c r="AA54" s="444">
        <v>21106</v>
      </c>
      <c r="AB54" s="444">
        <v>21193</v>
      </c>
      <c r="AC54" s="444">
        <v>21429</v>
      </c>
      <c r="AD54" s="444">
        <v>21593</v>
      </c>
      <c r="AE54" s="444">
        <v>21711</v>
      </c>
      <c r="AF54" s="444">
        <v>21931</v>
      </c>
      <c r="AG54" s="444">
        <v>22158</v>
      </c>
      <c r="AH54" s="444">
        <v>22428</v>
      </c>
      <c r="AI54" s="444">
        <v>22579</v>
      </c>
      <c r="AJ54" s="444">
        <v>22654</v>
      </c>
      <c r="AK54" s="447">
        <f>1.6*AK53</f>
        <v>22681.600000000002</v>
      </c>
      <c r="AL54" s="447">
        <f>AM54</f>
        <v>19879.969655113899</v>
      </c>
      <c r="AM54" s="452">
        <f>SSA!L70</f>
        <v>19879.969655113899</v>
      </c>
      <c r="AN54" s="444"/>
      <c r="AO54" s="444"/>
      <c r="AT54" s="156"/>
      <c r="BR54" s="444"/>
      <c r="BS54" s="444"/>
      <c r="BT54" s="444"/>
      <c r="BU54" s="444"/>
      <c r="BV54" s="444"/>
      <c r="BW54" s="444"/>
      <c r="BX54" s="444"/>
      <c r="BY54" s="154"/>
      <c r="BZ54" s="154"/>
      <c r="CA54" s="154"/>
      <c r="CB54" s="154"/>
      <c r="CC54" s="154"/>
      <c r="CD54" s="154"/>
      <c r="CE54" s="447">
        <v>21488.274000000001</v>
      </c>
      <c r="CF54" s="451"/>
      <c r="CG54" s="446"/>
      <c r="CH54" s="446"/>
      <c r="CI54" s="446"/>
      <c r="CJ54" s="446"/>
      <c r="CK54" s="452">
        <f>SSA!J70</f>
        <v>21593</v>
      </c>
      <c r="CL54" s="444"/>
      <c r="CM54" s="444"/>
      <c r="CN54" s="444"/>
      <c r="CO54" s="444"/>
      <c r="CP54" s="444"/>
      <c r="CQ54" s="444"/>
      <c r="CR54" s="444"/>
      <c r="CS54" s="444"/>
      <c r="CT54" s="444"/>
      <c r="CU54" s="444"/>
      <c r="CV54" s="444"/>
      <c r="CW54" s="156">
        <v>22034.672510049779</v>
      </c>
      <c r="CX54" s="452">
        <f>SSA!K70</f>
        <v>22428</v>
      </c>
      <c r="CY54" s="444"/>
      <c r="CZ54" s="444"/>
      <c r="DA54" s="447">
        <v>22390.18</v>
      </c>
    </row>
    <row r="55" spans="1:105">
      <c r="A55" s="154" t="s">
        <v>1</v>
      </c>
      <c r="B55" s="448"/>
      <c r="C55" s="448"/>
      <c r="D55" s="448"/>
      <c r="E55" s="448"/>
      <c r="F55" s="448"/>
      <c r="G55" s="448"/>
      <c r="H55" s="448"/>
      <c r="I55" s="448"/>
      <c r="J55" s="448"/>
      <c r="K55" s="448"/>
      <c r="L55" s="448"/>
      <c r="M55" s="448"/>
      <c r="N55" s="448"/>
      <c r="O55" s="448"/>
      <c r="P55" s="448">
        <f t="shared" ref="P55:Z55" si="52">P54/P53</f>
        <v>1.7874655827979546</v>
      </c>
      <c r="Q55" s="448">
        <f t="shared" si="52"/>
        <v>1.7848250556938803</v>
      </c>
      <c r="R55" s="448">
        <f t="shared" si="52"/>
        <v>1.7861544512914644</v>
      </c>
      <c r="S55" s="448">
        <f t="shared" si="52"/>
        <v>1.7957017428908399</v>
      </c>
      <c r="T55" s="448">
        <f t="shared" si="52"/>
        <v>1.7937907244154849</v>
      </c>
      <c r="U55" s="448">
        <f t="shared" si="52"/>
        <v>1.745674300254453</v>
      </c>
      <c r="V55" s="448">
        <f t="shared" si="52"/>
        <v>1.7029702970297029</v>
      </c>
      <c r="W55" s="448">
        <f t="shared" si="52"/>
        <v>1.7015132408575031</v>
      </c>
      <c r="X55" s="448">
        <f t="shared" si="52"/>
        <v>1.5041153762109403</v>
      </c>
      <c r="Y55" s="448">
        <f>Y54/Y53</f>
        <v>1.5127647229474905</v>
      </c>
      <c r="Z55" s="448">
        <f t="shared" si="52"/>
        <v>1.5188447653429602</v>
      </c>
      <c r="AA55" s="448">
        <f t="shared" ref="AA55:AD55" si="53">AA54/AA53</f>
        <v>1.5196198430412557</v>
      </c>
      <c r="AB55" s="448">
        <f t="shared" si="53"/>
        <v>1.5211742750502439</v>
      </c>
      <c r="AC55" s="448">
        <f t="shared" si="53"/>
        <v>1.5300963941449481</v>
      </c>
      <c r="AD55" s="448">
        <f t="shared" si="53"/>
        <v>1.5362122936824132</v>
      </c>
      <c r="AE55" s="448">
        <f t="shared" ref="AE55:AH55" si="54">AE54/AE53</f>
        <v>1.5408800567778567</v>
      </c>
      <c r="AF55" s="448">
        <f t="shared" si="54"/>
        <v>1.5535170361974924</v>
      </c>
      <c r="AG55" s="448">
        <f t="shared" si="54"/>
        <v>1.5678199957546168</v>
      </c>
      <c r="AH55" s="448">
        <f t="shared" si="54"/>
        <v>1.58445778876722</v>
      </c>
      <c r="AI55" s="448">
        <f>AI54/AI53</f>
        <v>1.5944495445236919</v>
      </c>
      <c r="AJ55" s="448">
        <f t="shared" ref="AJ55" si="55">AJ54/AJ53</f>
        <v>1.5991811379359029</v>
      </c>
      <c r="AK55" s="1080">
        <f t="shared" ref="AK55:AL55" si="56">AK54/AK53</f>
        <v>1.6</v>
      </c>
      <c r="AL55" s="1080">
        <f t="shared" si="56"/>
        <v>1.5628082969928472</v>
      </c>
      <c r="AM55" s="449"/>
      <c r="AN55" s="448"/>
      <c r="AO55" s="448"/>
      <c r="AT55" s="448"/>
      <c r="BR55" s="448"/>
      <c r="BS55" s="448"/>
      <c r="BT55" s="448"/>
      <c r="BU55" s="448"/>
      <c r="BV55" s="448"/>
      <c r="BW55" s="448"/>
      <c r="BX55" s="448"/>
      <c r="BY55" s="154"/>
      <c r="BZ55" s="154"/>
      <c r="CA55" s="154"/>
      <c r="CB55" s="154"/>
      <c r="CC55" s="154"/>
      <c r="CD55" s="154"/>
      <c r="CE55" s="448">
        <v>1.5297369458764516</v>
      </c>
      <c r="CF55" s="448"/>
      <c r="CG55" s="155"/>
      <c r="CH55" s="155"/>
      <c r="CI55" s="155"/>
      <c r="CJ55" s="155"/>
      <c r="CK55" s="449"/>
      <c r="CL55" s="448"/>
      <c r="CM55" s="448"/>
      <c r="CN55" s="448"/>
      <c r="CO55" s="448"/>
      <c r="CP55" s="448"/>
      <c r="CQ55" s="448"/>
      <c r="CR55" s="448"/>
      <c r="CS55" s="448"/>
      <c r="CT55" s="448"/>
      <c r="CU55" s="448"/>
      <c r="CV55" s="448"/>
      <c r="CW55" s="448">
        <v>1.5529621904010955</v>
      </c>
      <c r="CX55" s="449"/>
      <c r="CY55" s="448"/>
      <c r="CZ55" s="448"/>
      <c r="DA55" s="1080">
        <v>1.58</v>
      </c>
    </row>
    <row r="56" spans="1:105">
      <c r="A56" s="154"/>
      <c r="B56" s="448"/>
      <c r="C56" s="448"/>
      <c r="D56" s="448"/>
      <c r="E56" s="448"/>
      <c r="F56" s="448"/>
      <c r="G56" s="448"/>
      <c r="H56" s="448"/>
      <c r="I56" s="448"/>
      <c r="J56" s="448"/>
      <c r="K56" s="448"/>
      <c r="L56" s="448"/>
      <c r="M56" s="448"/>
      <c r="N56" s="448"/>
      <c r="O56" s="448"/>
      <c r="P56" s="448"/>
      <c r="Q56" s="448"/>
      <c r="R56" s="448"/>
      <c r="S56" s="448"/>
      <c r="T56" s="448"/>
      <c r="U56" s="448"/>
      <c r="V56" s="448"/>
      <c r="W56" s="448"/>
      <c r="X56" s="448"/>
      <c r="Y56" s="448"/>
      <c r="Z56" s="448"/>
      <c r="AA56" s="448"/>
      <c r="AB56" s="448"/>
      <c r="AC56" s="448"/>
      <c r="AD56" s="448"/>
      <c r="AE56" s="448"/>
      <c r="AF56" s="448"/>
      <c r="AG56" s="448"/>
      <c r="AH56" s="448"/>
      <c r="AI56" s="448"/>
      <c r="AJ56" s="448"/>
      <c r="AK56" s="1080"/>
      <c r="AL56" s="1080"/>
      <c r="AM56" s="449"/>
      <c r="AN56" s="448"/>
      <c r="AO56" s="448"/>
      <c r="AT56" s="448"/>
      <c r="BR56" s="448"/>
      <c r="BS56" s="448"/>
      <c r="BT56" s="448"/>
      <c r="BU56" s="448"/>
      <c r="BV56" s="448"/>
      <c r="BW56" s="448"/>
      <c r="BX56" s="448"/>
      <c r="BY56" s="154"/>
      <c r="BZ56" s="154"/>
      <c r="CA56" s="154"/>
      <c r="CB56" s="154"/>
      <c r="CC56" s="154"/>
      <c r="CD56" s="154"/>
      <c r="CE56" s="448"/>
      <c r="CF56" s="448"/>
      <c r="CG56" s="155"/>
      <c r="CH56" s="155"/>
      <c r="CI56" s="155"/>
      <c r="CJ56" s="155"/>
      <c r="CK56" s="449"/>
      <c r="CL56" s="448"/>
      <c r="CM56" s="448"/>
      <c r="CN56" s="448"/>
      <c r="CO56" s="448"/>
      <c r="CP56" s="448"/>
      <c r="CQ56" s="448"/>
      <c r="CR56" s="448"/>
      <c r="CS56" s="448"/>
      <c r="CT56" s="448"/>
      <c r="CU56" s="448"/>
      <c r="CV56" s="448"/>
      <c r="CW56" s="448"/>
      <c r="CX56" s="449"/>
      <c r="CY56" s="448"/>
      <c r="CZ56" s="448"/>
      <c r="DA56" s="1080"/>
    </row>
    <row r="57" spans="1:105">
      <c r="A57" s="154" t="s">
        <v>703</v>
      </c>
      <c r="B57" s="448"/>
      <c r="C57" s="448"/>
      <c r="D57" s="448"/>
      <c r="E57" s="448"/>
      <c r="F57" s="448"/>
      <c r="G57" s="448"/>
      <c r="H57" s="448"/>
      <c r="I57" s="448"/>
      <c r="J57" s="448"/>
      <c r="K57" s="448"/>
      <c r="L57" s="448"/>
      <c r="M57" s="448"/>
      <c r="N57" s="448"/>
      <c r="O57" s="451"/>
      <c r="P57" s="451"/>
      <c r="Q57" s="451">
        <f t="shared" ref="Q57:W57" si="57">Q53-P53</f>
        <v>4</v>
      </c>
      <c r="R57" s="451">
        <f t="shared" si="57"/>
        <v>-4</v>
      </c>
      <c r="S57" s="451">
        <f t="shared" si="57"/>
        <v>4</v>
      </c>
      <c r="T57" s="451">
        <f t="shared" si="57"/>
        <v>196</v>
      </c>
      <c r="U57" s="451">
        <f t="shared" si="57"/>
        <v>33</v>
      </c>
      <c r="V57" s="451">
        <f t="shared" si="57"/>
        <v>18</v>
      </c>
      <c r="W57" s="451">
        <f t="shared" si="57"/>
        <v>52</v>
      </c>
      <c r="X57" s="451">
        <f t="shared" ref="X57:AJ57" si="58">X53-W53</f>
        <v>5799</v>
      </c>
      <c r="Y57" s="451">
        <f t="shared" si="58"/>
        <v>59</v>
      </c>
      <c r="Z57" s="451">
        <f t="shared" si="58"/>
        <v>62</v>
      </c>
      <c r="AA57" s="451">
        <f t="shared" si="58"/>
        <v>39</v>
      </c>
      <c r="AB57" s="451">
        <f t="shared" si="58"/>
        <v>43</v>
      </c>
      <c r="AC57" s="451">
        <f t="shared" si="58"/>
        <v>73</v>
      </c>
      <c r="AD57" s="451">
        <f t="shared" si="58"/>
        <v>51</v>
      </c>
      <c r="AE57" s="451">
        <f t="shared" si="58"/>
        <v>34</v>
      </c>
      <c r="AF57" s="451">
        <f t="shared" si="58"/>
        <v>27</v>
      </c>
      <c r="AG57" s="451">
        <f t="shared" si="58"/>
        <v>16</v>
      </c>
      <c r="AH57" s="451">
        <f t="shared" si="58"/>
        <v>22</v>
      </c>
      <c r="AI57" s="451">
        <f>AI53-AH53</f>
        <v>6</v>
      </c>
      <c r="AJ57" s="451">
        <f t="shared" si="58"/>
        <v>5</v>
      </c>
      <c r="AK57" s="447">
        <f>AK53-AJ53</f>
        <v>10</v>
      </c>
      <c r="AL57" s="447">
        <f t="shared" ref="AL57" si="59">AL53-AK53</f>
        <v>-1455.3293372150001</v>
      </c>
      <c r="AM57" s="449"/>
      <c r="AN57" s="448"/>
      <c r="AO57" s="448"/>
      <c r="AT57" s="451"/>
      <c r="BR57" s="448"/>
      <c r="BS57" s="448"/>
      <c r="BT57" s="448"/>
      <c r="BU57" s="448"/>
      <c r="BV57" s="448"/>
      <c r="BW57" s="448"/>
      <c r="BX57" s="448"/>
      <c r="BY57" s="154"/>
      <c r="BZ57" s="154"/>
      <c r="CA57" s="154"/>
      <c r="CB57" s="154"/>
      <c r="CC57" s="154"/>
      <c r="CD57" s="154"/>
      <c r="CE57" s="451">
        <v>42.038648000001558</v>
      </c>
      <c r="CF57" s="451"/>
      <c r="CG57" s="155"/>
      <c r="CH57" s="155"/>
      <c r="CI57" s="155"/>
      <c r="CJ57" s="155"/>
      <c r="CK57" s="449"/>
      <c r="CL57" s="451"/>
      <c r="CM57" s="448"/>
      <c r="CN57" s="448"/>
      <c r="CO57" s="448"/>
      <c r="CP57" s="448"/>
      <c r="CQ57" s="451"/>
      <c r="CR57" s="448"/>
      <c r="CS57" s="448"/>
      <c r="CT57" s="448"/>
      <c r="CU57" s="448"/>
      <c r="CV57" s="448"/>
      <c r="CW57" s="451">
        <v>55.801663199999894</v>
      </c>
      <c r="CX57" s="449"/>
      <c r="CY57" s="448"/>
      <c r="CZ57" s="448"/>
      <c r="DA57" s="447">
        <v>10</v>
      </c>
    </row>
    <row r="58" spans="1:105">
      <c r="A58" s="154" t="s">
        <v>704</v>
      </c>
      <c r="B58" s="448"/>
      <c r="C58" s="448"/>
      <c r="D58" s="448"/>
      <c r="E58" s="448"/>
      <c r="F58" s="448"/>
      <c r="G58" s="448"/>
      <c r="H58" s="448"/>
      <c r="I58" s="448"/>
      <c r="J58" s="448"/>
      <c r="K58" s="448"/>
      <c r="L58" s="448"/>
      <c r="M58" s="448"/>
      <c r="N58" s="448"/>
      <c r="O58" s="451"/>
      <c r="P58" s="451"/>
      <c r="Q58" s="451">
        <f t="shared" ref="Q58:AJ58" si="60">Q54-P54</f>
        <v>-13</v>
      </c>
      <c r="R58" s="451">
        <f t="shared" si="60"/>
        <v>3</v>
      </c>
      <c r="S58" s="451">
        <f t="shared" si="60"/>
        <v>80</v>
      </c>
      <c r="T58" s="451">
        <f t="shared" si="60"/>
        <v>337</v>
      </c>
      <c r="U58" s="451">
        <f t="shared" si="60"/>
        <v>-319</v>
      </c>
      <c r="V58" s="451">
        <f t="shared" si="60"/>
        <v>-305</v>
      </c>
      <c r="W58" s="451">
        <f t="shared" si="60"/>
        <v>77</v>
      </c>
      <c r="X58" s="451">
        <f t="shared" si="60"/>
        <v>7157</v>
      </c>
      <c r="Y58" s="451">
        <f t="shared" si="60"/>
        <v>208</v>
      </c>
      <c r="Z58" s="451">
        <f t="shared" si="60"/>
        <v>178</v>
      </c>
      <c r="AA58" s="451">
        <f t="shared" si="60"/>
        <v>70</v>
      </c>
      <c r="AB58" s="451">
        <f t="shared" si="60"/>
        <v>87</v>
      </c>
      <c r="AC58" s="451">
        <f t="shared" si="60"/>
        <v>236</v>
      </c>
      <c r="AD58" s="451">
        <f t="shared" si="60"/>
        <v>164</v>
      </c>
      <c r="AE58" s="451">
        <f t="shared" si="60"/>
        <v>118</v>
      </c>
      <c r="AF58" s="451">
        <f t="shared" si="60"/>
        <v>220</v>
      </c>
      <c r="AG58" s="451">
        <f t="shared" si="60"/>
        <v>227</v>
      </c>
      <c r="AH58" s="451">
        <f t="shared" si="60"/>
        <v>270</v>
      </c>
      <c r="AI58" s="451">
        <f>AI54-AH54</f>
        <v>151</v>
      </c>
      <c r="AJ58" s="451">
        <f t="shared" si="60"/>
        <v>75</v>
      </c>
      <c r="AK58" s="447">
        <f>AK54-AJ54</f>
        <v>27.600000000002183</v>
      </c>
      <c r="AL58" s="447">
        <f t="shared" ref="AL58" si="61">AL54-AK54</f>
        <v>-2801.6303448861036</v>
      </c>
      <c r="AM58" s="449"/>
      <c r="AN58" s="448"/>
      <c r="AO58" s="448"/>
      <c r="AT58" s="451"/>
      <c r="BR58" s="448"/>
      <c r="BS58" s="448"/>
      <c r="BT58" s="448"/>
      <c r="BU58" s="448"/>
      <c r="BV58" s="448"/>
      <c r="BW58" s="448"/>
      <c r="BX58" s="448"/>
      <c r="BY58" s="154"/>
      <c r="BZ58" s="154"/>
      <c r="CA58" s="154"/>
      <c r="CB58" s="154"/>
      <c r="CC58" s="154"/>
      <c r="CD58" s="154"/>
      <c r="CE58" s="451">
        <v>59.274000000001251</v>
      </c>
      <c r="CF58" s="451"/>
      <c r="CG58" s="155"/>
      <c r="CH58" s="155"/>
      <c r="CI58" s="155"/>
      <c r="CJ58" s="155"/>
      <c r="CK58" s="449"/>
      <c r="CL58" s="451"/>
      <c r="CM58" s="448"/>
      <c r="CN58" s="448"/>
      <c r="CO58" s="448"/>
      <c r="CP58" s="448"/>
      <c r="CQ58" s="451"/>
      <c r="CR58" s="448"/>
      <c r="CS58" s="448"/>
      <c r="CT58" s="448"/>
      <c r="CU58" s="448"/>
      <c r="CV58" s="448"/>
      <c r="CW58" s="451">
        <v>-123.32748995022121</v>
      </c>
      <c r="CX58" s="449"/>
      <c r="CY58" s="448"/>
      <c r="CZ58" s="448"/>
      <c r="DA58" s="447">
        <v>-188.81999999999971</v>
      </c>
    </row>
    <row r="59" spans="1:105">
      <c r="A59" s="154" t="s">
        <v>762</v>
      </c>
      <c r="B59" s="448"/>
      <c r="C59" s="448"/>
      <c r="D59" s="448"/>
      <c r="E59" s="448"/>
      <c r="F59" s="448"/>
      <c r="G59" s="448"/>
      <c r="H59" s="448"/>
      <c r="I59" s="448"/>
      <c r="J59" s="448"/>
      <c r="K59" s="448"/>
      <c r="L59" s="448"/>
      <c r="M59" s="448"/>
      <c r="N59" s="448"/>
      <c r="O59" s="448"/>
      <c r="P59" s="448"/>
      <c r="Q59" s="448"/>
      <c r="R59" s="448"/>
      <c r="S59" s="448"/>
      <c r="T59" s="448"/>
      <c r="U59" s="448"/>
      <c r="V59" s="448"/>
      <c r="W59" s="448"/>
      <c r="X59" s="456">
        <f>X57-5691</f>
        <v>108</v>
      </c>
      <c r="Y59" s="456"/>
      <c r="Z59" s="448"/>
      <c r="AA59" s="448"/>
      <c r="AB59" s="456"/>
      <c r="AC59" s="448"/>
      <c r="AD59" s="448"/>
      <c r="AE59" s="448"/>
      <c r="AF59" s="448"/>
      <c r="AG59" s="448"/>
      <c r="AH59" s="448"/>
      <c r="AI59" s="448"/>
      <c r="AJ59" s="448"/>
      <c r="AK59" s="1080"/>
      <c r="AL59" s="1080"/>
      <c r="AM59" s="449"/>
      <c r="AN59" s="448"/>
      <c r="AO59" s="448"/>
      <c r="AT59" s="448"/>
      <c r="BR59" s="448"/>
      <c r="BS59" s="448"/>
      <c r="BT59" s="448"/>
      <c r="BU59" s="448"/>
      <c r="BV59" s="448"/>
      <c r="BW59" s="448"/>
      <c r="BX59" s="448"/>
      <c r="BY59" s="154"/>
      <c r="BZ59" s="154"/>
      <c r="CA59" s="154"/>
      <c r="CB59" s="154"/>
      <c r="CC59" s="154"/>
      <c r="CD59" s="154"/>
      <c r="CE59" s="448"/>
      <c r="CF59" s="448"/>
      <c r="CG59" s="155"/>
      <c r="CH59" s="155"/>
      <c r="CI59" s="155"/>
      <c r="CJ59" s="155"/>
      <c r="CK59" s="449"/>
      <c r="CL59" s="448"/>
      <c r="CM59" s="448"/>
      <c r="CN59" s="448"/>
      <c r="CO59" s="448"/>
      <c r="CP59" s="448"/>
      <c r="CQ59" s="448"/>
      <c r="CR59" s="448"/>
      <c r="CS59" s="448"/>
      <c r="CT59" s="448"/>
      <c r="CU59" s="448"/>
      <c r="CV59" s="448"/>
      <c r="CW59" s="448"/>
      <c r="CX59" s="449"/>
      <c r="CY59" s="448"/>
      <c r="CZ59" s="448"/>
      <c r="DA59" s="1080"/>
    </row>
    <row r="60" spans="1:105">
      <c r="A60" s="154" t="s">
        <v>763</v>
      </c>
      <c r="B60" s="448"/>
      <c r="C60" s="448"/>
      <c r="D60" s="448"/>
      <c r="E60" s="448"/>
      <c r="F60" s="448"/>
      <c r="G60" s="448"/>
      <c r="H60" s="448"/>
      <c r="I60" s="448"/>
      <c r="J60" s="448"/>
      <c r="K60" s="448"/>
      <c r="L60" s="448"/>
      <c r="M60" s="448"/>
      <c r="N60" s="448"/>
      <c r="O60" s="448"/>
      <c r="P60" s="448"/>
      <c r="Q60" s="448"/>
      <c r="R60" s="448"/>
      <c r="S60" s="448"/>
      <c r="T60" s="448"/>
      <c r="U60" s="448"/>
      <c r="V60" s="448"/>
      <c r="W60" s="448"/>
      <c r="X60" s="456">
        <f>X58-5691*1.2</f>
        <v>327.80000000000018</v>
      </c>
      <c r="Y60" s="456"/>
      <c r="Z60" s="448"/>
      <c r="AA60" s="448"/>
      <c r="AB60" s="456"/>
      <c r="AC60" s="448"/>
      <c r="AD60" s="448"/>
      <c r="AE60" s="448"/>
      <c r="AF60" s="448"/>
      <c r="AG60" s="448"/>
      <c r="AH60" s="448"/>
      <c r="AI60" s="448"/>
      <c r="AJ60" s="448"/>
      <c r="AK60" s="1080"/>
      <c r="AL60" s="1080"/>
      <c r="AM60" s="449"/>
      <c r="AN60" s="448"/>
      <c r="AO60" s="448"/>
      <c r="AT60" s="448"/>
      <c r="BR60" s="448"/>
      <c r="BS60" s="448"/>
      <c r="BT60" s="448"/>
      <c r="BU60" s="448"/>
      <c r="BV60" s="448"/>
      <c r="BW60" s="448"/>
      <c r="BX60" s="448"/>
      <c r="BY60" s="154"/>
      <c r="BZ60" s="154"/>
      <c r="CA60" s="154"/>
      <c r="CB60" s="154"/>
      <c r="CC60" s="154"/>
      <c r="CD60" s="154"/>
      <c r="CE60" s="448"/>
      <c r="CF60" s="448"/>
      <c r="CG60" s="155"/>
      <c r="CH60" s="155"/>
      <c r="CI60" s="155"/>
      <c r="CJ60" s="155"/>
      <c r="CK60" s="449"/>
      <c r="CL60" s="448"/>
      <c r="CM60" s="448"/>
      <c r="CN60" s="448"/>
      <c r="CO60" s="448"/>
      <c r="CP60" s="448"/>
      <c r="CQ60" s="448"/>
      <c r="CR60" s="448"/>
      <c r="CS60" s="448"/>
      <c r="CT60" s="448"/>
      <c r="CU60" s="448"/>
      <c r="CV60" s="448"/>
      <c r="CW60" s="448"/>
      <c r="CX60" s="449"/>
      <c r="CY60" s="448"/>
      <c r="CZ60" s="448"/>
      <c r="DA60" s="1080"/>
    </row>
    <row r="61" spans="1:105">
      <c r="A61" s="154"/>
      <c r="B61" s="448"/>
      <c r="C61" s="448"/>
      <c r="D61" s="448"/>
      <c r="E61" s="448"/>
      <c r="F61" s="448"/>
      <c r="G61" s="448"/>
      <c r="H61" s="448"/>
      <c r="I61" s="448"/>
      <c r="J61" s="448"/>
      <c r="K61" s="448"/>
      <c r="L61" s="448"/>
      <c r="M61" s="448"/>
      <c r="N61" s="448"/>
      <c r="O61" s="448"/>
      <c r="P61" s="448"/>
      <c r="Q61" s="448"/>
      <c r="R61" s="448"/>
      <c r="S61" s="448"/>
      <c r="T61" s="448"/>
      <c r="U61" s="448"/>
      <c r="V61" s="448"/>
      <c r="W61" s="448"/>
      <c r="X61" s="448"/>
      <c r="Y61" s="448"/>
      <c r="Z61" s="448"/>
      <c r="AA61" s="448"/>
      <c r="AB61" s="448"/>
      <c r="AC61" s="448"/>
      <c r="AD61" s="448"/>
      <c r="AE61" s="448"/>
      <c r="AF61" s="448"/>
      <c r="AG61" s="448"/>
      <c r="AH61" s="448"/>
      <c r="AI61" s="448"/>
      <c r="AJ61" s="448"/>
      <c r="AK61" s="1080"/>
      <c r="AL61" s="1080"/>
      <c r="AM61" s="449"/>
      <c r="AN61" s="448"/>
      <c r="AO61" s="448"/>
      <c r="AT61" s="448"/>
      <c r="BR61" s="448"/>
      <c r="BS61" s="448"/>
      <c r="BT61" s="448"/>
      <c r="BU61" s="448"/>
      <c r="BV61" s="448"/>
      <c r="BW61" s="448"/>
      <c r="BX61" s="448"/>
      <c r="BY61" s="154"/>
      <c r="BZ61" s="154"/>
      <c r="CA61" s="154"/>
      <c r="CB61" s="154"/>
      <c r="CC61" s="154"/>
      <c r="CD61" s="154"/>
      <c r="CE61" s="448"/>
      <c r="CF61" s="448"/>
      <c r="CG61" s="155"/>
      <c r="CH61" s="155"/>
      <c r="CI61" s="155"/>
      <c r="CJ61" s="155"/>
      <c r="CK61" s="449"/>
      <c r="CL61" s="448"/>
      <c r="CM61" s="448"/>
      <c r="CN61" s="448"/>
      <c r="CO61" s="448"/>
      <c r="CP61" s="448"/>
      <c r="CQ61" s="448"/>
      <c r="CR61" s="448"/>
      <c r="CS61" s="448"/>
      <c r="CT61" s="448"/>
      <c r="CU61" s="448"/>
      <c r="CV61" s="448"/>
      <c r="CW61" s="448"/>
      <c r="CX61" s="449"/>
      <c r="CY61" s="448"/>
      <c r="CZ61" s="448"/>
      <c r="DA61" s="1080"/>
    </row>
    <row r="62" spans="1:105">
      <c r="A62" s="154" t="s">
        <v>725</v>
      </c>
      <c r="B62" s="155"/>
      <c r="C62" s="155"/>
      <c r="D62" s="155"/>
      <c r="E62" s="155"/>
      <c r="F62" s="155"/>
      <c r="G62" s="155"/>
      <c r="H62" s="155"/>
      <c r="I62" s="155"/>
      <c r="J62" s="155"/>
      <c r="K62" s="155"/>
      <c r="L62" s="155"/>
      <c r="M62" s="155"/>
      <c r="N62" s="155"/>
      <c r="O62" s="451"/>
      <c r="P62" s="451">
        <f t="shared" ref="P62:AJ62" si="62">P114*1000000/AVERAGE(O54:P54)/3</f>
        <v>1858.2361426929754</v>
      </c>
      <c r="Q62" s="451">
        <f t="shared" si="62"/>
        <v>1932.5089592583081</v>
      </c>
      <c r="R62" s="451">
        <f t="shared" si="62"/>
        <v>1998.874328573701</v>
      </c>
      <c r="S62" s="451">
        <f t="shared" si="62"/>
        <v>2029.0809729439607</v>
      </c>
      <c r="T62" s="451">
        <f t="shared" si="62"/>
        <v>2018.5271960494538</v>
      </c>
      <c r="U62" s="451">
        <f t="shared" si="62"/>
        <v>2137.2909237179256</v>
      </c>
      <c r="V62" s="451">
        <f t="shared" si="62"/>
        <v>2157.6936777585338</v>
      </c>
      <c r="W62" s="451">
        <f t="shared" si="62"/>
        <v>2130.6378287314033</v>
      </c>
      <c r="X62" s="451">
        <f t="shared" si="62"/>
        <v>1854.9434242255611</v>
      </c>
      <c r="Y62" s="451">
        <f t="shared" si="62"/>
        <v>1847.0335035816388</v>
      </c>
      <c r="Z62" s="451">
        <f t="shared" si="62"/>
        <v>1861.8417911872821</v>
      </c>
      <c r="AA62" s="451">
        <f t="shared" si="62"/>
        <v>1929.982756711436</v>
      </c>
      <c r="AB62" s="451">
        <f t="shared" si="62"/>
        <v>1938.5801082767914</v>
      </c>
      <c r="AC62" s="451">
        <f t="shared" si="62"/>
        <v>2087.8263181768411</v>
      </c>
      <c r="AD62" s="451">
        <f t="shared" si="62"/>
        <v>1921.4975283963242</v>
      </c>
      <c r="AE62" s="451">
        <f t="shared" si="62"/>
        <v>2016.7497998645238</v>
      </c>
      <c r="AF62" s="451">
        <f t="shared" si="62"/>
        <v>1649.7869025250905</v>
      </c>
      <c r="AG62" s="451">
        <f t="shared" si="62"/>
        <v>1816.6133653897041</v>
      </c>
      <c r="AH62" s="451">
        <f t="shared" si="62"/>
        <v>1854.0947083538929</v>
      </c>
      <c r="AI62" s="451">
        <f>AI114*1000000/AVERAGE(AH54:AI54)/3</f>
        <v>1787.8700350315876</v>
      </c>
      <c r="AJ62" s="451">
        <f t="shared" si="62"/>
        <v>1886.5282721317033</v>
      </c>
      <c r="AK62" s="447">
        <f>AK114*1000000/AVERAGE(AJ54:AK54)/3</f>
        <v>1882.2588282350587</v>
      </c>
      <c r="AL62" s="447">
        <f t="shared" ref="AL62" si="63">AL114*1000000/AVERAGE(AK54:AL54)/3</f>
        <v>1691.6669329498984</v>
      </c>
      <c r="AM62" s="452"/>
      <c r="AN62" s="451"/>
      <c r="AO62" s="451"/>
      <c r="AT62" s="451"/>
      <c r="BR62" s="451"/>
      <c r="BS62" s="451"/>
      <c r="BT62" s="451"/>
      <c r="BU62" s="451"/>
      <c r="BV62" s="451"/>
      <c r="BW62" s="451"/>
      <c r="BX62" s="451"/>
      <c r="BY62" s="154"/>
      <c r="BZ62" s="154"/>
      <c r="CA62" s="154"/>
      <c r="CB62" s="154"/>
      <c r="CC62" s="154"/>
      <c r="CD62" s="154"/>
      <c r="CE62" s="451">
        <v>2227.6538019688355</v>
      </c>
      <c r="CF62" s="451"/>
      <c r="CG62" s="155"/>
      <c r="CH62" s="155"/>
      <c r="CI62" s="155"/>
      <c r="CJ62" s="155"/>
      <c r="CK62" s="452"/>
      <c r="CL62" s="451"/>
      <c r="CM62" s="451"/>
      <c r="CN62" s="451"/>
      <c r="CO62" s="451"/>
      <c r="CP62" s="451"/>
      <c r="CQ62" s="451"/>
      <c r="CR62" s="451"/>
      <c r="CS62" s="451"/>
      <c r="CT62" s="451"/>
      <c r="CU62" s="451"/>
      <c r="CV62" s="451"/>
      <c r="CW62" s="451">
        <v>1960.4044126134829</v>
      </c>
      <c r="CX62" s="452"/>
      <c r="CY62" s="451"/>
      <c r="CZ62" s="451"/>
      <c r="DA62" s="447">
        <v>1808.6461290451223</v>
      </c>
    </row>
    <row r="63" spans="1:105">
      <c r="A63" s="154" t="s">
        <v>633</v>
      </c>
      <c r="B63" s="155"/>
      <c r="C63" s="155"/>
      <c r="D63" s="155"/>
      <c r="E63" s="155"/>
      <c r="F63" s="155"/>
      <c r="G63" s="155"/>
      <c r="H63" s="155"/>
      <c r="I63" s="155"/>
      <c r="J63" s="155"/>
      <c r="K63" s="155"/>
      <c r="L63" s="155"/>
      <c r="M63" s="155"/>
      <c r="N63" s="155"/>
      <c r="O63" s="155"/>
      <c r="P63" s="155"/>
      <c r="Q63" s="155"/>
      <c r="R63" s="155"/>
      <c r="S63" s="446" t="e">
        <f t="shared" ref="S63:AJ63" si="64">S62/O62-1</f>
        <v>#DIV/0!</v>
      </c>
      <c r="T63" s="446">
        <f t="shared" si="64"/>
        <v>8.6259786726665899E-2</v>
      </c>
      <c r="U63" s="446">
        <f t="shared" si="64"/>
        <v>0.10596689007755611</v>
      </c>
      <c r="V63" s="446">
        <f t="shared" si="64"/>
        <v>7.9454394363130731E-2</v>
      </c>
      <c r="W63" s="446">
        <f t="shared" si="64"/>
        <v>5.0050666849482894E-2</v>
      </c>
      <c r="X63" s="446">
        <f t="shared" si="64"/>
        <v>-8.104115324482597E-2</v>
      </c>
      <c r="Y63" s="446">
        <f t="shared" si="64"/>
        <v>-0.13580622877084481</v>
      </c>
      <c r="Z63" s="446">
        <f t="shared" si="64"/>
        <v>-0.1371148692795866</v>
      </c>
      <c r="AA63" s="446">
        <f t="shared" si="64"/>
        <v>-9.4176058133464524E-2</v>
      </c>
      <c r="AB63" s="446">
        <f t="shared" si="64"/>
        <v>4.5088536372018151E-2</v>
      </c>
      <c r="AC63" s="446">
        <f t="shared" si="64"/>
        <v>0.13036732367240433</v>
      </c>
      <c r="AD63" s="446">
        <f t="shared" si="64"/>
        <v>3.2041249418405249E-2</v>
      </c>
      <c r="AE63" s="446">
        <f t="shared" si="64"/>
        <v>4.495741884291915E-2</v>
      </c>
      <c r="AF63" s="446">
        <f t="shared" si="64"/>
        <v>-0.14897150987916097</v>
      </c>
      <c r="AG63" s="446">
        <f t="shared" si="64"/>
        <v>-0.12990206629063339</v>
      </c>
      <c r="AH63" s="446">
        <f t="shared" si="64"/>
        <v>-3.5078275691921124E-2</v>
      </c>
      <c r="AI63" s="446">
        <f>AI62/AE62-1</f>
        <v>-0.11348941988158934</v>
      </c>
      <c r="AJ63" s="446">
        <f t="shared" si="64"/>
        <v>0.14349815072738603</v>
      </c>
      <c r="AK63" s="1083">
        <f>AK62/AG62-1</f>
        <v>3.6136177403534697E-2</v>
      </c>
      <c r="AL63" s="1083">
        <f>AL62/AH62-1</f>
        <v>-8.7604896703578627E-2</v>
      </c>
      <c r="AM63" s="453"/>
      <c r="AN63" s="446"/>
      <c r="AO63" s="446"/>
      <c r="AT63" s="446"/>
      <c r="BR63" s="446"/>
      <c r="BS63" s="446"/>
      <c r="BT63" s="446"/>
      <c r="BU63" s="446"/>
      <c r="BV63" s="446"/>
      <c r="BW63" s="446"/>
      <c r="BX63" s="446"/>
      <c r="BY63" s="154"/>
      <c r="BZ63" s="154"/>
      <c r="CA63" s="154"/>
      <c r="CB63" s="154"/>
      <c r="CC63" s="154"/>
      <c r="CD63" s="154"/>
      <c r="CE63" s="446">
        <v>0.19647856897028726</v>
      </c>
      <c r="CF63" s="446"/>
      <c r="CG63" s="155"/>
      <c r="CH63" s="155"/>
      <c r="CI63" s="155"/>
      <c r="CJ63" s="155"/>
      <c r="CK63" s="453"/>
      <c r="CL63" s="446"/>
      <c r="CM63" s="446"/>
      <c r="CN63" s="446"/>
      <c r="CO63" s="446"/>
      <c r="CP63" s="446"/>
      <c r="CQ63" s="446"/>
      <c r="CR63" s="446"/>
      <c r="CS63" s="446"/>
      <c r="CT63" s="446"/>
      <c r="CU63" s="446"/>
      <c r="CV63" s="446"/>
      <c r="CW63" s="446">
        <v>2.0248209348273427E-2</v>
      </c>
      <c r="CX63" s="453"/>
      <c r="CY63" s="446"/>
      <c r="CZ63" s="446"/>
      <c r="DA63" s="1083">
        <v>9.629075505260043E-2</v>
      </c>
    </row>
    <row r="64" spans="1:105">
      <c r="A64" s="154" t="s">
        <v>726</v>
      </c>
      <c r="B64" s="155"/>
      <c r="C64" s="155"/>
      <c r="D64" s="155"/>
      <c r="E64" s="155"/>
      <c r="F64" s="155"/>
      <c r="G64" s="155"/>
      <c r="H64" s="155"/>
      <c r="I64" s="155"/>
      <c r="J64" s="155"/>
      <c r="K64" s="155"/>
      <c r="L64" s="155"/>
      <c r="M64" s="155"/>
      <c r="N64" s="155"/>
      <c r="O64" s="451"/>
      <c r="P64" s="451">
        <f t="shared" ref="P64:AJ64" si="65">P114*1000000/AVERAGE(O53:P53)/3</f>
        <v>3321.5331497749225</v>
      </c>
      <c r="Q64" s="451">
        <f t="shared" si="65"/>
        <v>3451.741163105693</v>
      </c>
      <c r="R64" s="451">
        <f t="shared" si="65"/>
        <v>3568.9692838729411</v>
      </c>
      <c r="S64" s="451">
        <f t="shared" si="65"/>
        <v>3633.9406650063356</v>
      </c>
      <c r="T64" s="451">
        <f t="shared" si="65"/>
        <v>3622.7196273774098</v>
      </c>
      <c r="U64" s="451">
        <f t="shared" si="65"/>
        <v>3782.3250674656297</v>
      </c>
      <c r="V64" s="451">
        <f t="shared" si="65"/>
        <v>3720.506629389587</v>
      </c>
      <c r="W64" s="451">
        <f t="shared" si="65"/>
        <v>3626.8556005398113</v>
      </c>
      <c r="X64" s="451">
        <f t="shared" si="65"/>
        <v>2924.1116087230862</v>
      </c>
      <c r="Y64" s="451">
        <f t="shared" si="65"/>
        <v>2786.1564366270545</v>
      </c>
      <c r="Z64" s="451">
        <f t="shared" si="65"/>
        <v>2822.2013170272817</v>
      </c>
      <c r="AA64" s="451">
        <f t="shared" si="65"/>
        <v>2932.0932021101457</v>
      </c>
      <c r="AB64" s="451">
        <f t="shared" si="65"/>
        <v>2947.4138240897169</v>
      </c>
      <c r="AC64" s="451">
        <f t="shared" si="65"/>
        <v>3185.2859409862667</v>
      </c>
      <c r="AD64" s="451">
        <f t="shared" si="65"/>
        <v>2945.9629616430871</v>
      </c>
      <c r="AE64" s="451">
        <f t="shared" si="65"/>
        <v>3102.8683767971766</v>
      </c>
      <c r="AF64" s="451">
        <f t="shared" si="65"/>
        <v>2552.5578757046123</v>
      </c>
      <c r="AG64" s="451">
        <f t="shared" si="65"/>
        <v>2835.1386430678467</v>
      </c>
      <c r="AH64" s="451">
        <f t="shared" si="65"/>
        <v>2922.3227752639518</v>
      </c>
      <c r="AI64" s="451">
        <f>AI114*1000000/AVERAGE(AH53:AI53)/3</f>
        <v>2841.7384753025381</v>
      </c>
      <c r="AJ64" s="451">
        <f t="shared" si="65"/>
        <v>3012.4380743930997</v>
      </c>
      <c r="AK64" s="447">
        <f>AK114*1000000/AVERAGE(AJ53:AK53)/3</f>
        <v>3010.8437419142379</v>
      </c>
      <c r="AL64" s="447">
        <f t="shared" ref="AL64" si="66">AL114*1000000/AVERAGE(AK53:AL53)/3</f>
        <v>2676.9112394130348</v>
      </c>
      <c r="AM64" s="452"/>
      <c r="AN64" s="451"/>
      <c r="AO64" s="451"/>
      <c r="AT64" s="451"/>
      <c r="BR64" s="451"/>
      <c r="BS64" s="451"/>
      <c r="BT64" s="451"/>
      <c r="BU64" s="451"/>
      <c r="BV64" s="451"/>
      <c r="BW64" s="451"/>
      <c r="BX64" s="451"/>
      <c r="BY64" s="154"/>
      <c r="BZ64" s="154"/>
      <c r="CA64" s="154"/>
      <c r="CB64" s="154"/>
      <c r="CC64" s="154"/>
      <c r="CD64" s="154"/>
      <c r="CE64" s="451">
        <v>3408.1240866625758</v>
      </c>
      <c r="CF64" s="451"/>
      <c r="CG64" s="155"/>
      <c r="CH64" s="155"/>
      <c r="CI64" s="155"/>
      <c r="CJ64" s="155"/>
      <c r="CK64" s="452"/>
      <c r="CL64" s="451"/>
      <c r="CM64" s="451"/>
      <c r="CN64" s="451"/>
      <c r="CO64" s="451"/>
      <c r="CP64" s="451"/>
      <c r="CQ64" s="451"/>
      <c r="CR64" s="451"/>
      <c r="CS64" s="451"/>
      <c r="CT64" s="451"/>
      <c r="CU64" s="451"/>
      <c r="CV64" s="451"/>
      <c r="CW64" s="451">
        <v>3058.9688899083776</v>
      </c>
      <c r="CX64" s="452"/>
      <c r="CY64" s="451"/>
      <c r="CZ64" s="451"/>
      <c r="DA64" s="447">
        <v>2870.7233281566191</v>
      </c>
    </row>
    <row r="65" spans="1:105">
      <c r="A65" s="154" t="s">
        <v>633</v>
      </c>
      <c r="B65" s="155"/>
      <c r="C65" s="155"/>
      <c r="D65" s="155"/>
      <c r="E65" s="155"/>
      <c r="F65" s="155"/>
      <c r="G65" s="155"/>
      <c r="H65" s="155"/>
      <c r="I65" s="155"/>
      <c r="J65" s="155"/>
      <c r="K65" s="155"/>
      <c r="L65" s="155"/>
      <c r="M65" s="155"/>
      <c r="N65" s="155"/>
      <c r="O65" s="155"/>
      <c r="P65" s="155"/>
      <c r="Q65" s="155"/>
      <c r="R65" s="155"/>
      <c r="S65" s="446" t="e">
        <f t="shared" ref="S65:AJ65" si="67">S64/O64-1</f>
        <v>#DIV/0!</v>
      </c>
      <c r="T65" s="446">
        <f t="shared" si="67"/>
        <v>9.0676944658190983E-2</v>
      </c>
      <c r="U65" s="446">
        <f t="shared" si="67"/>
        <v>9.5773086317542777E-2</v>
      </c>
      <c r="V65" s="446">
        <f t="shared" si="67"/>
        <v>4.2459694512193114E-2</v>
      </c>
      <c r="W65" s="446">
        <f t="shared" si="67"/>
        <v>-1.949691841353185E-3</v>
      </c>
      <c r="X65" s="446">
        <f t="shared" si="67"/>
        <v>-0.19284076343497381</v>
      </c>
      <c r="Y65" s="446">
        <f t="shared" si="67"/>
        <v>-0.2633746737971584</v>
      </c>
      <c r="Z65" s="446">
        <f t="shared" si="67"/>
        <v>-0.24144703983760618</v>
      </c>
      <c r="AA65" s="446">
        <f t="shared" si="67"/>
        <v>-0.19156053478563062</v>
      </c>
      <c r="AB65" s="446">
        <f t="shared" si="67"/>
        <v>7.9689897256713937E-3</v>
      </c>
      <c r="AC65" s="446">
        <f t="shared" si="67"/>
        <v>0.14325452049720577</v>
      </c>
      <c r="AD65" s="446">
        <f t="shared" si="67"/>
        <v>4.3852876075533676E-2</v>
      </c>
      <c r="AE65" s="446">
        <f t="shared" si="67"/>
        <v>5.8243433245617426E-2</v>
      </c>
      <c r="AF65" s="446">
        <f t="shared" si="67"/>
        <v>-0.13396691878075595</v>
      </c>
      <c r="AG65" s="446">
        <f t="shared" si="67"/>
        <v>-0.1099264883610428</v>
      </c>
      <c r="AH65" s="446">
        <f t="shared" si="67"/>
        <v>-8.0246040723981338E-3</v>
      </c>
      <c r="AI65" s="446">
        <f>AI64/AE64-1</f>
        <v>-8.4157582528260666E-2</v>
      </c>
      <c r="AJ65" s="446">
        <f t="shared" si="67"/>
        <v>0.18016445506119672</v>
      </c>
      <c r="AK65" s="1083">
        <f>AK64/AG64-1</f>
        <v>6.1974076391644983E-2</v>
      </c>
      <c r="AL65" s="1083">
        <f>AL64/AH64-1</f>
        <v>-8.3978244267952529E-2</v>
      </c>
      <c r="AM65" s="453"/>
      <c r="AN65" s="446"/>
      <c r="AO65" s="446"/>
      <c r="AT65" s="446"/>
      <c r="BR65" s="446"/>
      <c r="BS65" s="446"/>
      <c r="BT65" s="446"/>
      <c r="BU65" s="446"/>
      <c r="BV65" s="446"/>
      <c r="BW65" s="446"/>
      <c r="BX65" s="446"/>
      <c r="BY65" s="154"/>
      <c r="BZ65" s="154"/>
      <c r="CA65" s="154"/>
      <c r="CB65" s="154"/>
      <c r="CC65" s="154"/>
      <c r="CD65" s="154"/>
      <c r="CE65" s="446">
        <v>0.20761196804077242</v>
      </c>
      <c r="CF65" s="446"/>
      <c r="CG65" s="155"/>
      <c r="CH65" s="155"/>
      <c r="CI65" s="155"/>
      <c r="CJ65" s="155"/>
      <c r="CK65" s="453"/>
      <c r="CL65" s="446"/>
      <c r="CM65" s="446"/>
      <c r="CN65" s="446"/>
      <c r="CO65" s="446"/>
      <c r="CP65" s="446"/>
      <c r="CQ65" s="446"/>
      <c r="CR65" s="446"/>
      <c r="CS65" s="446"/>
      <c r="CT65" s="446"/>
      <c r="CU65" s="446"/>
      <c r="CV65" s="446"/>
      <c r="CW65" s="446">
        <v>3.8359588948213563E-2</v>
      </c>
      <c r="CX65" s="453"/>
      <c r="CY65" s="446"/>
      <c r="CZ65" s="446"/>
      <c r="DA65" s="1083">
        <v>0.12464573496269105</v>
      </c>
    </row>
    <row r="66" spans="1:105">
      <c r="A66" s="154"/>
      <c r="B66" s="155"/>
      <c r="C66" s="155"/>
      <c r="D66" s="155"/>
      <c r="E66" s="155"/>
      <c r="F66" s="155"/>
      <c r="G66" s="155"/>
      <c r="H66" s="155"/>
      <c r="I66" s="155"/>
      <c r="J66" s="155"/>
      <c r="K66" s="155"/>
      <c r="L66" s="155"/>
      <c r="M66" s="155"/>
      <c r="N66" s="155"/>
      <c r="O66" s="155"/>
      <c r="P66" s="155"/>
      <c r="Q66" s="155"/>
      <c r="R66" s="155"/>
      <c r="S66" s="155"/>
      <c r="T66" s="155"/>
      <c r="U66" s="155"/>
      <c r="V66" s="155"/>
      <c r="W66" s="155"/>
      <c r="X66" s="155"/>
      <c r="Y66" s="155"/>
      <c r="Z66" s="155"/>
      <c r="AA66" s="155"/>
      <c r="AB66" s="155"/>
      <c r="AC66" s="155"/>
      <c r="AD66" s="155"/>
      <c r="AE66" s="155"/>
      <c r="AF66" s="155"/>
      <c r="AG66" s="155"/>
      <c r="AH66" s="155"/>
      <c r="AI66" s="155"/>
      <c r="AJ66" s="155"/>
      <c r="AK66" s="1078"/>
      <c r="AL66" s="1078"/>
      <c r="AM66" s="408"/>
      <c r="AN66" s="155"/>
      <c r="AO66" s="155"/>
      <c r="AT66" s="155"/>
      <c r="BR66" s="155"/>
      <c r="BS66" s="155"/>
      <c r="BT66" s="155"/>
      <c r="BU66" s="155"/>
      <c r="BV66" s="155"/>
      <c r="BW66" s="155"/>
      <c r="BX66" s="155"/>
      <c r="BY66" s="154"/>
      <c r="BZ66" s="154"/>
      <c r="CA66" s="154"/>
      <c r="CB66" s="154"/>
      <c r="CC66" s="154"/>
      <c r="CD66" s="154"/>
      <c r="CE66" s="155"/>
      <c r="CF66" s="155"/>
      <c r="CG66" s="155"/>
      <c r="CH66" s="155"/>
      <c r="CI66" s="155"/>
      <c r="CJ66" s="155"/>
      <c r="CK66" s="408"/>
      <c r="CL66" s="155"/>
      <c r="CM66" s="155"/>
      <c r="CN66" s="155"/>
      <c r="CO66" s="155"/>
      <c r="CP66" s="155"/>
      <c r="CQ66" s="155"/>
      <c r="CR66" s="155"/>
      <c r="CS66" s="155"/>
      <c r="CT66" s="155"/>
      <c r="CU66" s="155"/>
      <c r="CV66" s="155"/>
      <c r="CW66" s="155"/>
      <c r="CX66" s="408"/>
      <c r="CY66" s="155"/>
      <c r="CZ66" s="155"/>
      <c r="DA66" s="1078"/>
    </row>
    <row r="67" spans="1:105">
      <c r="A67" s="154"/>
      <c r="B67" s="155"/>
      <c r="C67" s="155"/>
      <c r="D67" s="155"/>
      <c r="E67" s="155"/>
      <c r="F67" s="155"/>
      <c r="G67" s="155"/>
      <c r="H67" s="155"/>
      <c r="I67" s="155"/>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078"/>
      <c r="AL67" s="1078"/>
      <c r="AM67" s="408"/>
      <c r="AN67" s="155"/>
      <c r="AO67" s="155"/>
      <c r="AQ67">
        <v>682</v>
      </c>
      <c r="AT67" s="155"/>
      <c r="BR67" s="155"/>
      <c r="BS67" s="155"/>
      <c r="BT67" s="155"/>
      <c r="BU67" s="155"/>
      <c r="BV67" s="155"/>
      <c r="BW67" s="155"/>
      <c r="BX67" s="155"/>
      <c r="BY67" s="154"/>
      <c r="BZ67" s="154"/>
      <c r="CA67" s="154"/>
      <c r="CB67" s="154"/>
      <c r="CC67" s="154"/>
      <c r="CD67" s="154"/>
      <c r="CE67" s="155"/>
      <c r="CF67" s="155"/>
      <c r="CG67" s="155"/>
      <c r="CH67" s="155"/>
      <c r="CI67" s="155"/>
      <c r="CJ67" s="155"/>
      <c r="CK67" s="408"/>
      <c r="CL67" s="155"/>
      <c r="CM67" s="155"/>
      <c r="CN67" s="155"/>
      <c r="CO67" s="155"/>
      <c r="CP67" s="155"/>
      <c r="CQ67" s="155"/>
      <c r="CR67" s="155"/>
      <c r="CS67" s="155"/>
      <c r="CT67" s="155"/>
      <c r="CU67" s="155"/>
      <c r="CV67" s="155"/>
      <c r="CW67" s="155"/>
      <c r="CX67" s="408"/>
      <c r="CY67" s="155"/>
      <c r="CZ67" s="155"/>
      <c r="DA67" s="1078"/>
    </row>
    <row r="68" spans="1:105">
      <c r="A68" s="443" t="s">
        <v>712</v>
      </c>
      <c r="B68" s="155"/>
      <c r="C68" s="155"/>
      <c r="D68" s="155"/>
      <c r="E68" s="155"/>
      <c r="F68" s="155"/>
      <c r="G68" s="155"/>
      <c r="H68" s="155"/>
      <c r="I68" s="155"/>
      <c r="J68" s="155"/>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078"/>
      <c r="AL68" s="1078"/>
      <c r="AM68" s="408"/>
      <c r="AN68" s="155"/>
      <c r="AO68" s="155"/>
      <c r="AQ68">
        <v>98</v>
      </c>
      <c r="AT68" s="155"/>
      <c r="BR68" s="155"/>
      <c r="BS68" s="155"/>
      <c r="BT68" s="155"/>
      <c r="BU68" s="155"/>
      <c r="BV68" s="155"/>
      <c r="BW68" s="155"/>
      <c r="BX68" s="155"/>
      <c r="BY68" s="154"/>
      <c r="BZ68" s="154"/>
      <c r="CA68" s="154"/>
      <c r="CB68" s="154"/>
      <c r="CC68" s="154"/>
      <c r="CD68" s="154"/>
      <c r="CE68" s="155"/>
      <c r="CF68" s="155"/>
      <c r="CG68" s="155"/>
      <c r="CH68" s="155"/>
      <c r="CI68" s="155"/>
      <c r="CJ68" s="155"/>
      <c r="CK68" s="408"/>
      <c r="CL68" s="155"/>
      <c r="CM68" s="155"/>
      <c r="CN68" s="155"/>
      <c r="CO68" s="155"/>
      <c r="CP68" s="155"/>
      <c r="CQ68" s="155"/>
      <c r="CR68" s="155"/>
      <c r="CS68" s="155"/>
      <c r="CT68" s="155"/>
      <c r="CU68" s="155"/>
      <c r="CV68" s="155"/>
      <c r="CW68" s="155"/>
      <c r="CX68" s="408"/>
      <c r="CY68" s="155"/>
      <c r="CZ68" s="155"/>
      <c r="DA68" s="1078"/>
    </row>
    <row r="69" spans="1:105">
      <c r="A69" s="154" t="s">
        <v>162</v>
      </c>
      <c r="B69" s="444"/>
      <c r="C69" s="444"/>
      <c r="D69" s="444"/>
      <c r="E69" s="444"/>
      <c r="F69" s="444"/>
      <c r="G69" s="444"/>
      <c r="H69" s="444"/>
      <c r="I69" s="444"/>
      <c r="J69" s="444"/>
      <c r="K69" s="444"/>
      <c r="L69" s="444"/>
      <c r="M69" s="444"/>
      <c r="N69" s="444"/>
      <c r="O69" s="444"/>
      <c r="P69" s="444">
        <v>2343</v>
      </c>
      <c r="Q69" s="444">
        <v>2410</v>
      </c>
      <c r="R69" s="444">
        <v>2481</v>
      </c>
      <c r="S69" s="444">
        <v>3866</v>
      </c>
      <c r="T69" s="444">
        <v>4629</v>
      </c>
      <c r="U69" s="444">
        <v>4804</v>
      </c>
      <c r="V69" s="444">
        <v>4909</v>
      </c>
      <c r="W69" s="444">
        <v>7065</v>
      </c>
      <c r="X69" s="444">
        <v>7139</v>
      </c>
      <c r="Y69" s="444">
        <v>7195</v>
      </c>
      <c r="Z69" s="444">
        <v>7276</v>
      </c>
      <c r="AA69" s="444">
        <v>7305</v>
      </c>
      <c r="AB69" s="444">
        <v>7424</v>
      </c>
      <c r="AC69" s="444">
        <v>7673</v>
      </c>
      <c r="AD69" s="444">
        <v>7952</v>
      </c>
      <c r="AE69" s="444">
        <v>8107</v>
      </c>
      <c r="AF69" s="444">
        <v>8194</v>
      </c>
      <c r="AG69" s="444">
        <v>8354</v>
      </c>
      <c r="AH69" s="444">
        <v>8579</v>
      </c>
      <c r="AI69" s="444">
        <v>8653</v>
      </c>
      <c r="AJ69" s="444">
        <v>8794</v>
      </c>
      <c r="AK69" s="447">
        <f>AJ69+100</f>
        <v>8894</v>
      </c>
      <c r="AL69" s="447">
        <f>AM69</f>
        <v>9002.9836957499992</v>
      </c>
      <c r="AM69" s="452">
        <f>Latam!L42</f>
        <v>9002.9836957499992</v>
      </c>
      <c r="AN69" s="444"/>
      <c r="AO69" s="444"/>
      <c r="AQ69">
        <f>AQ67+AQ68</f>
        <v>780</v>
      </c>
      <c r="AT69" s="156"/>
      <c r="BR69" s="444"/>
      <c r="BS69" s="444"/>
      <c r="BT69" s="444"/>
      <c r="BU69" s="444"/>
      <c r="BV69" s="444"/>
      <c r="BW69" s="444"/>
      <c r="BX69" s="444"/>
      <c r="BY69" s="154"/>
      <c r="BZ69" s="154"/>
      <c r="CA69" s="154"/>
      <c r="CB69" s="154"/>
      <c r="CC69" s="154"/>
      <c r="CD69" s="154"/>
      <c r="CE69" s="447">
        <v>7914.8358647999976</v>
      </c>
      <c r="CF69" s="451"/>
      <c r="CG69" s="446"/>
      <c r="CH69" s="446"/>
      <c r="CI69" s="446"/>
      <c r="CJ69" s="446"/>
      <c r="CK69" s="452">
        <f>Latam!J42</f>
        <v>7952</v>
      </c>
      <c r="CL69" s="444"/>
      <c r="CM69" s="444"/>
      <c r="CN69" s="444"/>
      <c r="CO69" s="444"/>
      <c r="CP69" s="444"/>
      <c r="CQ69" s="444"/>
      <c r="CR69" s="444"/>
      <c r="CS69" s="444"/>
      <c r="CT69" s="444"/>
      <c r="CU69" s="444"/>
      <c r="CV69" s="444"/>
      <c r="CW69" s="156">
        <v>8402.4791882849986</v>
      </c>
      <c r="CX69" s="452">
        <f>Latam!K42</f>
        <v>8579</v>
      </c>
      <c r="CY69" s="444"/>
      <c r="CZ69" s="444"/>
      <c r="DA69" s="447">
        <v>8753</v>
      </c>
    </row>
    <row r="70" spans="1:105">
      <c r="A70" s="154" t="s">
        <v>632</v>
      </c>
      <c r="B70" s="444"/>
      <c r="C70" s="444"/>
      <c r="D70" s="444"/>
      <c r="E70" s="444"/>
      <c r="F70" s="444"/>
      <c r="G70" s="444"/>
      <c r="H70" s="444"/>
      <c r="I70" s="444"/>
      <c r="J70" s="444"/>
      <c r="K70" s="444"/>
      <c r="L70" s="444"/>
      <c r="M70" s="444"/>
      <c r="N70" s="444"/>
      <c r="O70" s="444"/>
      <c r="P70" s="444">
        <v>3066</v>
      </c>
      <c r="Q70" s="444">
        <v>3158</v>
      </c>
      <c r="R70" s="444">
        <v>3245</v>
      </c>
      <c r="S70" s="444">
        <v>4740</v>
      </c>
      <c r="T70" s="444">
        <v>5616</v>
      </c>
      <c r="U70" s="444">
        <v>5826</v>
      </c>
      <c r="V70" s="444">
        <v>5961</v>
      </c>
      <c r="W70" s="444">
        <v>9022</v>
      </c>
      <c r="X70" s="444">
        <v>9585</v>
      </c>
      <c r="Y70" s="444">
        <v>9651</v>
      </c>
      <c r="Z70" s="444">
        <v>9781</v>
      </c>
      <c r="AA70" s="444">
        <v>9837</v>
      </c>
      <c r="AB70" s="444">
        <v>9896</v>
      </c>
      <c r="AC70" s="444">
        <v>10155</v>
      </c>
      <c r="AD70" s="444">
        <v>10429</v>
      </c>
      <c r="AE70" s="444">
        <v>10463</v>
      </c>
      <c r="AF70" s="444">
        <v>10557</v>
      </c>
      <c r="AG70" s="444">
        <v>10812</v>
      </c>
      <c r="AH70" s="444">
        <v>11175</v>
      </c>
      <c r="AI70" s="444">
        <v>11318</v>
      </c>
      <c r="AJ70" s="444">
        <v>11581</v>
      </c>
      <c r="AK70" s="447">
        <f>1.32*AK69</f>
        <v>11740.08</v>
      </c>
      <c r="AL70" s="447">
        <f>AM70</f>
        <v>11883.93847839</v>
      </c>
      <c r="AM70" s="452">
        <f>Latam!L53</f>
        <v>11883.93847839</v>
      </c>
      <c r="AN70" s="444"/>
      <c r="AO70" s="444"/>
      <c r="AQ70">
        <v>-1468</v>
      </c>
      <c r="AR70">
        <v>-529</v>
      </c>
      <c r="AS70">
        <f>AQ70-AR70</f>
        <v>-939</v>
      </c>
      <c r="AT70" s="156"/>
      <c r="BR70" s="444"/>
      <c r="BS70" s="444"/>
      <c r="BT70" s="444"/>
      <c r="BU70" s="444"/>
      <c r="BV70" s="444"/>
      <c r="BW70" s="444"/>
      <c r="BX70" s="444"/>
      <c r="BY70" s="154"/>
      <c r="BZ70" s="154"/>
      <c r="CA70" s="154"/>
      <c r="CB70" s="154"/>
      <c r="CC70" s="154"/>
      <c r="CD70" s="154"/>
      <c r="CE70" s="447">
        <v>10408.009162211996</v>
      </c>
      <c r="CF70" s="451"/>
      <c r="CG70" s="446"/>
      <c r="CH70" s="446"/>
      <c r="CI70" s="446"/>
      <c r="CJ70" s="446"/>
      <c r="CK70" s="452">
        <f>Latam!J53</f>
        <v>10429</v>
      </c>
      <c r="CL70" s="444"/>
      <c r="CM70" s="444"/>
      <c r="CN70" s="444"/>
      <c r="CO70" s="444"/>
      <c r="CP70" s="444"/>
      <c r="CQ70" s="444"/>
      <c r="CR70" s="444"/>
      <c r="CS70" s="444"/>
      <c r="CT70" s="444"/>
      <c r="CU70" s="444"/>
      <c r="CV70" s="444"/>
      <c r="CW70" s="156">
        <v>10923.222944770499</v>
      </c>
      <c r="CX70" s="452">
        <f>Latam!K53</f>
        <v>11175</v>
      </c>
      <c r="CY70" s="444"/>
      <c r="CZ70" s="444"/>
      <c r="DA70" s="447">
        <v>11466.43</v>
      </c>
    </row>
    <row r="71" spans="1:105">
      <c r="A71" s="154" t="s">
        <v>1</v>
      </c>
      <c r="B71" s="448"/>
      <c r="C71" s="448"/>
      <c r="D71" s="448"/>
      <c r="E71" s="448"/>
      <c r="F71" s="448"/>
      <c r="G71" s="448"/>
      <c r="H71" s="448"/>
      <c r="I71" s="448"/>
      <c r="J71" s="448"/>
      <c r="K71" s="448"/>
      <c r="L71" s="448"/>
      <c r="M71" s="448"/>
      <c r="N71" s="448"/>
      <c r="O71" s="448"/>
      <c r="P71" s="448">
        <f t="shared" ref="P71:Z71" si="68">P70/P69</f>
        <v>1.3085787451984634</v>
      </c>
      <c r="Q71" s="448">
        <f t="shared" si="68"/>
        <v>1.3103734439834025</v>
      </c>
      <c r="R71" s="448">
        <f t="shared" si="68"/>
        <v>1.3079403466344217</v>
      </c>
      <c r="S71" s="448">
        <f t="shared" si="68"/>
        <v>1.2260734609415416</v>
      </c>
      <c r="T71" s="448">
        <f t="shared" si="68"/>
        <v>1.2132209980557356</v>
      </c>
      <c r="U71" s="448">
        <f t="shared" si="68"/>
        <v>1.2127393838467944</v>
      </c>
      <c r="V71" s="448">
        <f t="shared" si="68"/>
        <v>1.214300264819719</v>
      </c>
      <c r="W71" s="448">
        <f t="shared" si="68"/>
        <v>1.2769992922859166</v>
      </c>
      <c r="X71" s="448">
        <f t="shared" si="68"/>
        <v>1.3426250175094552</v>
      </c>
      <c r="Y71" s="448">
        <f>Y70/Y69</f>
        <v>1.3413481584433635</v>
      </c>
      <c r="Z71" s="448">
        <f t="shared" si="68"/>
        <v>1.344282572842221</v>
      </c>
      <c r="AA71" s="448">
        <f t="shared" ref="AA71:AD71" si="69">AA70/AA69</f>
        <v>1.3466119096509239</v>
      </c>
      <c r="AB71" s="448">
        <f t="shared" si="69"/>
        <v>1.3329741379310345</v>
      </c>
      <c r="AC71" s="448">
        <f t="shared" si="69"/>
        <v>1.3234719145054086</v>
      </c>
      <c r="AD71" s="448">
        <f t="shared" si="69"/>
        <v>1.3114939637826961</v>
      </c>
      <c r="AE71" s="448">
        <f t="shared" ref="AE71:AF71" si="70">AE70/AE69</f>
        <v>1.2906130504502282</v>
      </c>
      <c r="AF71" s="448">
        <f t="shared" si="70"/>
        <v>1.2883817427385893</v>
      </c>
      <c r="AG71" s="448">
        <f t="shared" ref="AG71:AH71" si="71">AG70/AG69</f>
        <v>1.2942303088340914</v>
      </c>
      <c r="AH71" s="448">
        <f t="shared" si="71"/>
        <v>1.3025993705560088</v>
      </c>
      <c r="AI71" s="448">
        <f>AI70/AI69</f>
        <v>1.3079856697099272</v>
      </c>
      <c r="AJ71" s="448">
        <f t="shared" ref="AJ71" si="72">AJ70/AJ69</f>
        <v>1.3169206277007051</v>
      </c>
      <c r="AK71" s="1080">
        <f t="shared" ref="AK71:AL71" si="73">AK70/AK69</f>
        <v>1.32</v>
      </c>
      <c r="AL71" s="1080">
        <f t="shared" si="73"/>
        <v>1.32</v>
      </c>
      <c r="AM71" s="449"/>
      <c r="AN71" s="448"/>
      <c r="AO71" s="448"/>
      <c r="AQ71">
        <f>AQ69+AQ70</f>
        <v>-688</v>
      </c>
      <c r="AT71" s="448"/>
      <c r="BR71" s="448"/>
      <c r="BS71" s="448"/>
      <c r="BT71" s="448"/>
      <c r="BU71" s="448"/>
      <c r="BV71" s="448"/>
      <c r="BW71" s="448"/>
      <c r="BX71" s="448"/>
      <c r="BY71" s="154"/>
      <c r="BZ71" s="154"/>
      <c r="CA71" s="154"/>
      <c r="CB71" s="154"/>
      <c r="CC71" s="154"/>
      <c r="CD71" s="154"/>
      <c r="CE71" s="448"/>
      <c r="CF71" s="448"/>
      <c r="CG71" s="155"/>
      <c r="CH71" s="155"/>
      <c r="CI71" s="155"/>
      <c r="CJ71" s="155"/>
      <c r="CK71" s="449"/>
      <c r="CL71" s="448"/>
      <c r="CM71" s="448"/>
      <c r="CN71" s="448"/>
      <c r="CO71" s="448"/>
      <c r="CP71" s="448"/>
      <c r="CQ71" s="448"/>
      <c r="CR71" s="448"/>
      <c r="CS71" s="448"/>
      <c r="CT71" s="448"/>
      <c r="CU71" s="448"/>
      <c r="CV71" s="448"/>
      <c r="CW71" s="448">
        <v>1.3</v>
      </c>
      <c r="CX71" s="449"/>
      <c r="CY71" s="448"/>
      <c r="CZ71" s="448"/>
      <c r="DA71" s="1080">
        <v>1.31</v>
      </c>
    </row>
    <row r="72" spans="1:105">
      <c r="A72" s="154"/>
      <c r="B72" s="448"/>
      <c r="C72" s="448"/>
      <c r="D72" s="448"/>
      <c r="E72" s="448"/>
      <c r="F72" s="448"/>
      <c r="G72" s="448"/>
      <c r="H72" s="448"/>
      <c r="I72" s="448"/>
      <c r="J72" s="448"/>
      <c r="K72" s="448"/>
      <c r="L72" s="448"/>
      <c r="M72" s="448"/>
      <c r="N72" s="448"/>
      <c r="O72" s="448"/>
      <c r="P72" s="448"/>
      <c r="Q72" s="448"/>
      <c r="R72" s="448"/>
      <c r="S72" s="448"/>
      <c r="T72" s="448"/>
      <c r="U72" s="448"/>
      <c r="V72" s="448"/>
      <c r="W72" s="448"/>
      <c r="X72" s="448"/>
      <c r="Y72" s="448"/>
      <c r="Z72" s="448"/>
      <c r="AA72" s="448"/>
      <c r="AB72" s="448"/>
      <c r="AC72" s="448"/>
      <c r="AD72" s="448"/>
      <c r="AE72" s="448"/>
      <c r="AF72" s="448"/>
      <c r="AG72" s="448"/>
      <c r="AH72" s="448"/>
      <c r="AI72" s="448"/>
      <c r="AJ72" s="448"/>
      <c r="AK72" s="1080"/>
      <c r="AL72" s="1080"/>
      <c r="AM72" s="449"/>
      <c r="AN72" s="448"/>
      <c r="AO72" s="448"/>
      <c r="AT72" s="448"/>
      <c r="BR72" s="448"/>
      <c r="BS72" s="448"/>
      <c r="BT72" s="448"/>
      <c r="BU72" s="448"/>
      <c r="BV72" s="448"/>
      <c r="BW72" s="448"/>
      <c r="BX72" s="448"/>
      <c r="BY72" s="154"/>
      <c r="BZ72" s="154"/>
      <c r="CA72" s="154"/>
      <c r="CB72" s="154"/>
      <c r="CC72" s="154"/>
      <c r="CD72" s="154"/>
      <c r="CE72" s="448"/>
      <c r="CF72" s="448"/>
      <c r="CG72" s="155"/>
      <c r="CH72" s="155"/>
      <c r="CI72" s="155"/>
      <c r="CJ72" s="155"/>
      <c r="CK72" s="449"/>
      <c r="CL72" s="448"/>
      <c r="CM72" s="448"/>
      <c r="CN72" s="448"/>
      <c r="CO72" s="448"/>
      <c r="CP72" s="448"/>
      <c r="CQ72" s="448"/>
      <c r="CR72" s="448"/>
      <c r="CS72" s="448"/>
      <c r="CT72" s="448"/>
      <c r="CU72" s="448"/>
      <c r="CV72" s="448"/>
      <c r="CW72" s="448"/>
      <c r="CX72" s="449"/>
      <c r="CY72" s="448"/>
      <c r="CZ72" s="448"/>
      <c r="DA72" s="1080"/>
    </row>
    <row r="73" spans="1:105">
      <c r="A73" s="154" t="s">
        <v>703</v>
      </c>
      <c r="B73" s="448"/>
      <c r="C73" s="448"/>
      <c r="D73" s="448"/>
      <c r="E73" s="448"/>
      <c r="F73" s="448"/>
      <c r="G73" s="448"/>
      <c r="H73" s="448"/>
      <c r="I73" s="448"/>
      <c r="J73" s="448"/>
      <c r="K73" s="448"/>
      <c r="L73" s="448"/>
      <c r="M73" s="448"/>
      <c r="N73" s="448"/>
      <c r="O73" s="451"/>
      <c r="P73" s="451"/>
      <c r="Q73" s="451">
        <f t="shared" ref="Q73:W73" si="74">Q69-P69</f>
        <v>67</v>
      </c>
      <c r="R73" s="451">
        <f t="shared" si="74"/>
        <v>71</v>
      </c>
      <c r="S73" s="451">
        <f t="shared" si="74"/>
        <v>1385</v>
      </c>
      <c r="T73" s="451">
        <f t="shared" si="74"/>
        <v>763</v>
      </c>
      <c r="U73" s="451">
        <f t="shared" si="74"/>
        <v>175</v>
      </c>
      <c r="V73" s="451">
        <f t="shared" si="74"/>
        <v>105</v>
      </c>
      <c r="W73" s="451">
        <f t="shared" si="74"/>
        <v>2156</v>
      </c>
      <c r="X73" s="451">
        <f t="shared" ref="X73:AJ74" si="75">X69-W69</f>
        <v>74</v>
      </c>
      <c r="Y73" s="451">
        <f t="shared" si="75"/>
        <v>56</v>
      </c>
      <c r="Z73" s="451">
        <f t="shared" si="75"/>
        <v>81</v>
      </c>
      <c r="AA73" s="451">
        <f t="shared" si="75"/>
        <v>29</v>
      </c>
      <c r="AB73" s="451">
        <f t="shared" si="75"/>
        <v>119</v>
      </c>
      <c r="AC73" s="451">
        <f t="shared" si="75"/>
        <v>249</v>
      </c>
      <c r="AD73" s="451">
        <f t="shared" si="75"/>
        <v>279</v>
      </c>
      <c r="AE73" s="451">
        <f t="shared" si="75"/>
        <v>155</v>
      </c>
      <c r="AF73" s="451">
        <f t="shared" si="75"/>
        <v>87</v>
      </c>
      <c r="AG73" s="451">
        <f t="shared" si="75"/>
        <v>160</v>
      </c>
      <c r="AH73" s="451">
        <f t="shared" si="75"/>
        <v>225</v>
      </c>
      <c r="AI73" s="451">
        <f>AI69-AH69</f>
        <v>74</v>
      </c>
      <c r="AJ73" s="451">
        <f t="shared" si="75"/>
        <v>141</v>
      </c>
      <c r="AK73" s="447">
        <f>AK69-AJ69</f>
        <v>100</v>
      </c>
      <c r="AL73" s="447">
        <f t="shared" ref="AL73" si="76">AL69-AK69</f>
        <v>108.98369574999924</v>
      </c>
      <c r="AM73" s="449"/>
      <c r="AN73" s="448"/>
      <c r="AO73" s="448"/>
      <c r="AT73" s="451"/>
      <c r="BR73" s="448"/>
      <c r="BS73" s="448"/>
      <c r="BT73" s="448"/>
      <c r="BU73" s="448"/>
      <c r="BV73" s="448"/>
      <c r="BW73" s="448"/>
      <c r="BX73" s="448"/>
      <c r="BY73" s="154"/>
      <c r="BZ73" s="154"/>
      <c r="CA73" s="154"/>
      <c r="CB73" s="154"/>
      <c r="CC73" s="154"/>
      <c r="CD73" s="154"/>
      <c r="CE73" s="451">
        <v>241.83586479999758</v>
      </c>
      <c r="CF73" s="451"/>
      <c r="CG73" s="155"/>
      <c r="CH73" s="155"/>
      <c r="CI73" s="155"/>
      <c r="CJ73" s="155"/>
      <c r="CK73" s="449"/>
      <c r="CL73" s="451"/>
      <c r="CM73" s="448"/>
      <c r="CN73" s="448"/>
      <c r="CO73" s="448"/>
      <c r="CP73" s="448"/>
      <c r="CQ73" s="451"/>
      <c r="CR73" s="448"/>
      <c r="CS73" s="448"/>
      <c r="CT73" s="448"/>
      <c r="CU73" s="448"/>
      <c r="CV73" s="448"/>
      <c r="CW73" s="451">
        <v>48.4791882849986</v>
      </c>
      <c r="CX73" s="449"/>
      <c r="CY73" s="448"/>
      <c r="CZ73" s="448"/>
      <c r="DA73" s="447">
        <v>100</v>
      </c>
    </row>
    <row r="74" spans="1:105">
      <c r="A74" s="154" t="s">
        <v>704</v>
      </c>
      <c r="B74" s="448"/>
      <c r="C74" s="448"/>
      <c r="D74" s="448"/>
      <c r="E74" s="448"/>
      <c r="F74" s="448"/>
      <c r="G74" s="448"/>
      <c r="H74" s="448"/>
      <c r="I74" s="448"/>
      <c r="J74" s="448"/>
      <c r="K74" s="448"/>
      <c r="L74" s="448"/>
      <c r="M74" s="448"/>
      <c r="N74" s="448"/>
      <c r="O74" s="451"/>
      <c r="P74" s="451"/>
      <c r="Q74" s="451">
        <f t="shared" ref="Q74:AB74" si="77">Q70-P70</f>
        <v>92</v>
      </c>
      <c r="R74" s="451">
        <f t="shared" si="77"/>
        <v>87</v>
      </c>
      <c r="S74" s="451">
        <f t="shared" si="77"/>
        <v>1495</v>
      </c>
      <c r="T74" s="451">
        <f t="shared" si="77"/>
        <v>876</v>
      </c>
      <c r="U74" s="451">
        <f t="shared" si="77"/>
        <v>210</v>
      </c>
      <c r="V74" s="451">
        <f t="shared" si="77"/>
        <v>135</v>
      </c>
      <c r="W74" s="451">
        <f t="shared" si="77"/>
        <v>3061</v>
      </c>
      <c r="X74" s="451">
        <f t="shared" si="77"/>
        <v>563</v>
      </c>
      <c r="Y74" s="451">
        <f t="shared" si="77"/>
        <v>66</v>
      </c>
      <c r="Z74" s="451">
        <f t="shared" si="77"/>
        <v>130</v>
      </c>
      <c r="AA74" s="451">
        <f t="shared" si="77"/>
        <v>56</v>
      </c>
      <c r="AB74" s="451">
        <f t="shared" si="77"/>
        <v>59</v>
      </c>
      <c r="AC74" s="451">
        <f t="shared" ref="AC74" si="78">AC70-AB70</f>
        <v>259</v>
      </c>
      <c r="AD74" s="451">
        <f t="shared" ref="AD74" si="79">AD70-AC70</f>
        <v>274</v>
      </c>
      <c r="AE74" s="451">
        <f t="shared" si="75"/>
        <v>34</v>
      </c>
      <c r="AF74" s="451">
        <f t="shared" si="75"/>
        <v>94</v>
      </c>
      <c r="AG74" s="451">
        <f t="shared" si="75"/>
        <v>255</v>
      </c>
      <c r="AH74" s="451">
        <f t="shared" si="75"/>
        <v>363</v>
      </c>
      <c r="AI74" s="451">
        <f>AI70-AH70</f>
        <v>143</v>
      </c>
      <c r="AJ74" s="451">
        <f t="shared" si="75"/>
        <v>263</v>
      </c>
      <c r="AK74" s="447">
        <f>AK70-AJ70</f>
        <v>159.07999999999993</v>
      </c>
      <c r="AL74" s="447">
        <f t="shared" ref="AL74" si="80">AL70-AK70</f>
        <v>143.85847839000053</v>
      </c>
      <c r="AM74" s="449"/>
      <c r="AN74" s="448"/>
      <c r="AO74" s="448"/>
      <c r="AT74" s="451"/>
      <c r="BR74" s="448"/>
      <c r="BS74" s="448"/>
      <c r="BT74" s="448"/>
      <c r="BU74" s="448"/>
      <c r="BV74" s="448"/>
      <c r="BW74" s="448"/>
      <c r="BX74" s="448"/>
      <c r="BY74" s="154"/>
      <c r="BZ74" s="154"/>
      <c r="CA74" s="154"/>
      <c r="CB74" s="154"/>
      <c r="CC74" s="154"/>
      <c r="CD74" s="154"/>
      <c r="CE74" s="451">
        <v>253.00916221199623</v>
      </c>
      <c r="CF74" s="451"/>
      <c r="CG74" s="155"/>
      <c r="CH74" s="155"/>
      <c r="CI74" s="155"/>
      <c r="CJ74" s="155"/>
      <c r="CK74" s="449"/>
      <c r="CL74" s="451"/>
      <c r="CM74" s="448"/>
      <c r="CN74" s="448"/>
      <c r="CO74" s="448"/>
      <c r="CP74" s="448"/>
      <c r="CQ74" s="451"/>
      <c r="CR74" s="448"/>
      <c r="CS74" s="448"/>
      <c r="CT74" s="448"/>
      <c r="CU74" s="448"/>
      <c r="CV74" s="448"/>
      <c r="CW74" s="451">
        <v>111.22294477049945</v>
      </c>
      <c r="CX74" s="449"/>
      <c r="CY74" s="448"/>
      <c r="CZ74" s="448"/>
      <c r="DA74" s="447">
        <v>148.43000000000029</v>
      </c>
    </row>
    <row r="75" spans="1:105">
      <c r="A75" s="154"/>
      <c r="B75" s="448"/>
      <c r="C75" s="448"/>
      <c r="D75" s="448"/>
      <c r="E75" s="448"/>
      <c r="F75" s="448"/>
      <c r="G75" s="448"/>
      <c r="H75" s="448"/>
      <c r="I75" s="448"/>
      <c r="J75" s="448"/>
      <c r="K75" s="448"/>
      <c r="L75" s="448"/>
      <c r="M75" s="448"/>
      <c r="N75" s="448"/>
      <c r="O75" s="448"/>
      <c r="P75" s="448"/>
      <c r="Q75" s="448"/>
      <c r="R75" s="448"/>
      <c r="S75" s="448"/>
      <c r="T75" s="448"/>
      <c r="U75" s="448"/>
      <c r="V75" s="448"/>
      <c r="W75" s="448"/>
      <c r="X75" s="448"/>
      <c r="Y75" s="448"/>
      <c r="Z75" s="448"/>
      <c r="AA75" s="448"/>
      <c r="AB75" s="448"/>
      <c r="AC75" s="448"/>
      <c r="AD75" s="448"/>
      <c r="AE75" s="448"/>
      <c r="AF75" s="448"/>
      <c r="AG75" s="448"/>
      <c r="AH75" s="448"/>
      <c r="AI75" s="448"/>
      <c r="AJ75" s="448"/>
      <c r="AK75" s="1080"/>
      <c r="AL75" s="1080"/>
      <c r="AM75" s="449"/>
      <c r="AN75" s="448"/>
      <c r="AO75" s="448"/>
      <c r="AT75" s="448"/>
      <c r="BR75" s="448"/>
      <c r="BS75" s="448"/>
      <c r="BT75" s="448"/>
      <c r="BU75" s="448"/>
      <c r="BV75" s="448"/>
      <c r="BW75" s="448"/>
      <c r="BX75" s="448"/>
      <c r="BY75" s="154"/>
      <c r="BZ75" s="154"/>
      <c r="CA75" s="154"/>
      <c r="CB75" s="154"/>
      <c r="CC75" s="154"/>
      <c r="CD75" s="154"/>
      <c r="CE75" s="448"/>
      <c r="CF75" s="448"/>
      <c r="CG75" s="155"/>
      <c r="CH75" s="155"/>
      <c r="CI75" s="155"/>
      <c r="CJ75" s="155"/>
      <c r="CK75" s="449"/>
      <c r="CL75" s="448"/>
      <c r="CM75" s="448"/>
      <c r="CN75" s="448"/>
      <c r="CO75" s="448"/>
      <c r="CP75" s="448"/>
      <c r="CQ75" s="448"/>
      <c r="CR75" s="448"/>
      <c r="CS75" s="448"/>
      <c r="CT75" s="448"/>
      <c r="CU75" s="448"/>
      <c r="CV75" s="448"/>
      <c r="CW75" s="448"/>
      <c r="CX75" s="449"/>
      <c r="CY75" s="448"/>
      <c r="CZ75" s="448"/>
      <c r="DA75" s="1080"/>
    </row>
    <row r="76" spans="1:105">
      <c r="A76" s="154" t="s">
        <v>725</v>
      </c>
      <c r="B76" s="155"/>
      <c r="C76" s="155"/>
      <c r="D76" s="155"/>
      <c r="E76" s="155"/>
      <c r="F76" s="155"/>
      <c r="G76" s="155"/>
      <c r="H76" s="155"/>
      <c r="I76" s="155"/>
      <c r="J76" s="155"/>
      <c r="K76" s="155"/>
      <c r="L76" s="155"/>
      <c r="M76" s="155"/>
      <c r="N76" s="155"/>
      <c r="O76" s="451"/>
      <c r="P76" s="451">
        <f t="shared" ref="P76:AJ76" si="81">P118*1000000/AVERAGE(O70:P70)/3</f>
        <v>869.7542944118286</v>
      </c>
      <c r="Q76" s="451">
        <f t="shared" si="81"/>
        <v>964.01028277634953</v>
      </c>
      <c r="R76" s="451">
        <f t="shared" si="81"/>
        <v>911.13540527877569</v>
      </c>
      <c r="S76" s="451">
        <f t="shared" si="81"/>
        <v>876.8941765810896</v>
      </c>
      <c r="T76" s="451">
        <f t="shared" si="81"/>
        <v>901.24887343890816</v>
      </c>
      <c r="U76" s="451">
        <f t="shared" si="81"/>
        <v>873.97308162908575</v>
      </c>
      <c r="V76" s="451">
        <f t="shared" si="81"/>
        <v>1159.2997935578744</v>
      </c>
      <c r="W76" s="451">
        <f t="shared" si="81"/>
        <v>1379.3410309461833</v>
      </c>
      <c r="X76" s="451">
        <f t="shared" si="81"/>
        <v>1540.6388276813386</v>
      </c>
      <c r="Y76" s="451">
        <f t="shared" si="81"/>
        <v>1455.6040756914119</v>
      </c>
      <c r="Z76" s="451">
        <f t="shared" si="81"/>
        <v>1509.5375325922876</v>
      </c>
      <c r="AA76" s="451">
        <f t="shared" si="81"/>
        <v>1563.1902674414653</v>
      </c>
      <c r="AB76" s="451">
        <f t="shared" si="81"/>
        <v>1621.6490143414585</v>
      </c>
      <c r="AC76" s="451">
        <f t="shared" si="81"/>
        <v>1725.0344953701394</v>
      </c>
      <c r="AD76" s="451">
        <f t="shared" si="81"/>
        <v>1748.9312087057908</v>
      </c>
      <c r="AE76" s="451">
        <f t="shared" si="81"/>
        <v>1531.6867700555238</v>
      </c>
      <c r="AF76" s="451">
        <f t="shared" si="81"/>
        <v>1458.9280050745322</v>
      </c>
      <c r="AG76" s="451">
        <f t="shared" si="81"/>
        <v>1408.5201304069758</v>
      </c>
      <c r="AH76" s="451">
        <f t="shared" si="81"/>
        <v>1364.4426251876109</v>
      </c>
      <c r="AI76" s="451">
        <f>AI118*1000000/AVERAGE(AH70:AI70)/3</f>
        <v>1407.8454037552422</v>
      </c>
      <c r="AJ76" s="451">
        <f t="shared" si="81"/>
        <v>1310.1008777675881</v>
      </c>
      <c r="AK76" s="447">
        <f>AK118*1000000/AVERAGE(AJ70:AK70)/3</f>
        <v>1343.56270521491</v>
      </c>
      <c r="AL76" s="447">
        <f t="shared" ref="AL76" si="82">AL118*1000000/AVERAGE(AK70:AL70)/3</f>
        <v>1334.5302237849949</v>
      </c>
      <c r="AM76" s="452"/>
      <c r="AN76" s="451"/>
      <c r="AO76" s="451"/>
      <c r="AT76" s="451"/>
      <c r="BR76" s="451"/>
      <c r="BS76" s="451"/>
      <c r="BT76" s="451"/>
      <c r="BU76" s="451"/>
      <c r="BV76" s="451"/>
      <c r="BW76" s="451"/>
      <c r="BX76" s="451"/>
      <c r="BY76" s="154"/>
      <c r="BZ76" s="154"/>
      <c r="CA76" s="154"/>
      <c r="CB76" s="154"/>
      <c r="CC76" s="154"/>
      <c r="CD76" s="154"/>
      <c r="CE76" s="451">
        <v>1751.0407344871985</v>
      </c>
      <c r="CF76" s="451"/>
      <c r="CG76" s="155"/>
      <c r="CH76" s="155"/>
      <c r="CI76" s="155"/>
      <c r="CJ76" s="155"/>
      <c r="CK76" s="452"/>
      <c r="CL76" s="451"/>
      <c r="CM76" s="451"/>
      <c r="CN76" s="451"/>
      <c r="CO76" s="451"/>
      <c r="CP76" s="451"/>
      <c r="CQ76" s="451"/>
      <c r="CR76" s="451"/>
      <c r="CS76" s="451"/>
      <c r="CT76" s="451"/>
      <c r="CU76" s="451"/>
      <c r="CV76" s="451"/>
      <c r="CW76" s="451">
        <v>1995.6283299639588</v>
      </c>
      <c r="CX76" s="452"/>
      <c r="CY76" s="451"/>
      <c r="CZ76" s="451"/>
      <c r="DA76" s="447">
        <v>1375.2081282407914</v>
      </c>
    </row>
    <row r="77" spans="1:105">
      <c r="A77" s="154" t="s">
        <v>633</v>
      </c>
      <c r="B77" s="155"/>
      <c r="C77" s="155"/>
      <c r="D77" s="155"/>
      <c r="E77" s="155"/>
      <c r="F77" s="155"/>
      <c r="G77" s="155"/>
      <c r="H77" s="155"/>
      <c r="I77" s="155"/>
      <c r="J77" s="155"/>
      <c r="K77" s="155"/>
      <c r="L77" s="155"/>
      <c r="M77" s="155"/>
      <c r="N77" s="155"/>
      <c r="O77" s="155"/>
      <c r="P77" s="155"/>
      <c r="Q77" s="155"/>
      <c r="R77" s="155"/>
      <c r="S77" s="446"/>
      <c r="T77" s="446">
        <f t="shared" ref="T77:AJ77" si="83">T76/P76-1</f>
        <v>3.6210892236384629E-2</v>
      </c>
      <c r="U77" s="446">
        <f t="shared" si="83"/>
        <v>-9.3398589990094982E-2</v>
      </c>
      <c r="V77" s="446">
        <f t="shared" si="83"/>
        <v>0.27236828559325832</v>
      </c>
      <c r="W77" s="446">
        <f t="shared" si="83"/>
        <v>0.57298459470226693</v>
      </c>
      <c r="X77" s="446">
        <f t="shared" si="83"/>
        <v>0.70944882494299399</v>
      </c>
      <c r="Y77" s="446">
        <f t="shared" si="83"/>
        <v>0.66550218340611367</v>
      </c>
      <c r="Z77" s="446">
        <f t="shared" si="83"/>
        <v>0.30211144777274446</v>
      </c>
      <c r="AA77" s="446">
        <f t="shared" si="83"/>
        <v>0.13328773114881343</v>
      </c>
      <c r="AB77" s="446">
        <f t="shared" si="83"/>
        <v>5.2582204994820358E-2</v>
      </c>
      <c r="AC77" s="446">
        <f t="shared" si="83"/>
        <v>0.18509869831928571</v>
      </c>
      <c r="AD77" s="446">
        <f t="shared" si="83"/>
        <v>0.15858742889446353</v>
      </c>
      <c r="AE77" s="446">
        <f t="shared" si="83"/>
        <v>-2.0153335164697861E-2</v>
      </c>
      <c r="AF77" s="446">
        <f t="shared" si="83"/>
        <v>-0.10034292737075801</v>
      </c>
      <c r="AG77" s="446">
        <f t="shared" si="83"/>
        <v>-0.18348291921852233</v>
      </c>
      <c r="AH77" s="446">
        <f t="shared" si="83"/>
        <v>-0.21984202786495044</v>
      </c>
      <c r="AI77" s="446">
        <f>AI76/AE76-1</f>
        <v>-8.0852932023296353E-2</v>
      </c>
      <c r="AJ77" s="446">
        <f t="shared" si="83"/>
        <v>-0.10201128965191186</v>
      </c>
      <c r="AK77" s="1083">
        <f>AK76/AG76-1</f>
        <v>-4.6117498635462884E-2</v>
      </c>
      <c r="AL77" s="1083">
        <f>AL76/AH76-1</f>
        <v>-2.1922798987977332E-2</v>
      </c>
      <c r="AM77" s="453"/>
      <c r="AN77" s="671" t="s">
        <v>911</v>
      </c>
      <c r="AT77" s="446"/>
      <c r="BY77" s="154"/>
      <c r="BZ77" s="154"/>
      <c r="CA77" s="154"/>
      <c r="CB77" s="154"/>
      <c r="CC77" s="154"/>
      <c r="CD77" s="154"/>
      <c r="CE77" s="446">
        <v>0.15998489383711045</v>
      </c>
      <c r="CF77" s="446"/>
      <c r="CG77" s="155"/>
      <c r="CH77" s="155"/>
      <c r="CI77" s="155"/>
      <c r="CJ77" s="155"/>
      <c r="CK77" s="453"/>
      <c r="CL77" s="446"/>
      <c r="CQ77" s="446"/>
      <c r="CW77" s="446">
        <v>0.14105593177717024</v>
      </c>
      <c r="CX77" s="453"/>
      <c r="DA77" s="1083">
        <v>-5.7384515577561857E-2</v>
      </c>
    </row>
    <row r="78" spans="1:105">
      <c r="A78" s="154" t="s">
        <v>726</v>
      </c>
      <c r="B78" s="155"/>
      <c r="C78" s="155"/>
      <c r="D78" s="155"/>
      <c r="E78" s="155"/>
      <c r="F78" s="155"/>
      <c r="G78" s="155"/>
      <c r="H78" s="155"/>
      <c r="I78" s="155"/>
      <c r="J78" s="155"/>
      <c r="K78" s="155"/>
      <c r="L78" s="155"/>
      <c r="M78" s="155"/>
      <c r="N78" s="155"/>
      <c r="O78" s="451"/>
      <c r="P78" s="451">
        <f t="shared" ref="P78:AJ78" si="84">P118*1000000/AVERAGE(O69:P69)/3</f>
        <v>1138.1419832124059</v>
      </c>
      <c r="Q78" s="451">
        <f t="shared" si="84"/>
        <v>1262.3606143488323</v>
      </c>
      <c r="R78" s="451">
        <f t="shared" si="84"/>
        <v>1192.803107748927</v>
      </c>
      <c r="S78" s="451">
        <f t="shared" si="84"/>
        <v>1103.1983614305971</v>
      </c>
      <c r="T78" s="451">
        <f t="shared" si="84"/>
        <v>1098.6855012752601</v>
      </c>
      <c r="U78" s="451">
        <f t="shared" si="84"/>
        <v>1060.108131029365</v>
      </c>
      <c r="V78" s="451">
        <f t="shared" si="84"/>
        <v>1406.843062562202</v>
      </c>
      <c r="W78" s="451">
        <f t="shared" si="84"/>
        <v>1725.9618061355159</v>
      </c>
      <c r="X78" s="451">
        <f t="shared" si="84"/>
        <v>2018.2108326293064</v>
      </c>
      <c r="Y78" s="451">
        <f t="shared" si="84"/>
        <v>1953.3975163945863</v>
      </c>
      <c r="Z78" s="451">
        <f t="shared" si="84"/>
        <v>2027.0425909289843</v>
      </c>
      <c r="AA78" s="451">
        <f t="shared" si="84"/>
        <v>2103.1936538417576</v>
      </c>
      <c r="AB78" s="451">
        <f t="shared" si="84"/>
        <v>2172.5846968565415</v>
      </c>
      <c r="AC78" s="451">
        <f t="shared" si="84"/>
        <v>2291.0953611092714</v>
      </c>
      <c r="AD78" s="451">
        <f t="shared" si="84"/>
        <v>2304</v>
      </c>
      <c r="AE78" s="451">
        <f t="shared" si="84"/>
        <v>1992.652095398219</v>
      </c>
      <c r="AF78" s="451">
        <f t="shared" si="84"/>
        <v>1881.2751773919799</v>
      </c>
      <c r="AG78" s="451">
        <f t="shared" si="84"/>
        <v>1818.8703569414229</v>
      </c>
      <c r="AH78" s="451">
        <f t="shared" si="84"/>
        <v>1771.6884190633673</v>
      </c>
      <c r="AI78" s="451">
        <f>AI118*1000000/AVERAGE(AH69:AI69)/3</f>
        <v>1837.6663571649644</v>
      </c>
      <c r="AJ78" s="451">
        <f t="shared" si="84"/>
        <v>1719.4933226342637</v>
      </c>
      <c r="AK78" s="447">
        <f>AK118*1000000/AVERAGE(AJ69:AK69)/3</f>
        <v>1771.4458012965476</v>
      </c>
      <c r="AL78" s="447">
        <f t="shared" ref="AL78" si="85">AL118*1000000/AVERAGE(AK69:AL69)/3</f>
        <v>1761.5798953961933</v>
      </c>
      <c r="AM78" s="452"/>
      <c r="AN78" s="451"/>
      <c r="AO78" s="451"/>
      <c r="AT78" s="451"/>
      <c r="BR78" s="451"/>
      <c r="BS78" s="451"/>
      <c r="BT78" s="451"/>
      <c r="BU78" s="451"/>
      <c r="BV78" s="451"/>
      <c r="BW78" s="451"/>
      <c r="BX78" s="451"/>
      <c r="BY78" s="154"/>
      <c r="BZ78" s="154"/>
      <c r="CA78" s="154"/>
      <c r="CB78" s="154"/>
      <c r="CC78" s="154"/>
      <c r="CD78" s="154"/>
      <c r="CE78" s="451">
        <v>2309.9208240943758</v>
      </c>
      <c r="CF78" s="451"/>
      <c r="CG78" s="155"/>
      <c r="CH78" s="155"/>
      <c r="CI78" s="155"/>
      <c r="CJ78" s="155"/>
      <c r="CK78" s="452"/>
      <c r="CL78" s="451"/>
      <c r="CM78" s="451"/>
      <c r="CN78" s="451"/>
      <c r="CO78" s="451"/>
      <c r="CP78" s="451"/>
      <c r="CQ78" s="451"/>
      <c r="CR78" s="451"/>
      <c r="CS78" s="451"/>
      <c r="CT78" s="451"/>
      <c r="CU78" s="451"/>
      <c r="CV78" s="451"/>
      <c r="CW78" s="451">
        <v>2588.5764055370205</v>
      </c>
      <c r="CX78" s="452"/>
      <c r="CY78" s="451"/>
      <c r="CZ78" s="451"/>
      <c r="DA78" s="447">
        <v>1800.1455436822553</v>
      </c>
    </row>
    <row r="79" spans="1:105">
      <c r="A79" s="154" t="s">
        <v>633</v>
      </c>
      <c r="B79" s="155"/>
      <c r="C79" s="155"/>
      <c r="D79" s="155"/>
      <c r="E79" s="155"/>
      <c r="F79" s="155"/>
      <c r="G79" s="155"/>
      <c r="H79" s="155"/>
      <c r="I79" s="155"/>
      <c r="J79" s="155"/>
      <c r="K79" s="155"/>
      <c r="L79" s="155"/>
      <c r="M79" s="155"/>
      <c r="N79" s="155"/>
      <c r="O79" s="155"/>
      <c r="P79" s="155"/>
      <c r="Q79" s="155"/>
      <c r="R79" s="155"/>
      <c r="S79" s="446"/>
      <c r="T79" s="446">
        <f t="shared" ref="T79:AJ79" si="86">T78/P78-1</f>
        <v>-3.4667451442024655E-2</v>
      </c>
      <c r="U79" s="446">
        <f t="shared" si="86"/>
        <v>-0.160217675536238</v>
      </c>
      <c r="V79" s="446">
        <f t="shared" si="86"/>
        <v>0.179442821219014</v>
      </c>
      <c r="W79" s="446">
        <f t="shared" si="86"/>
        <v>0.56450722415625831</v>
      </c>
      <c r="X79" s="446">
        <f t="shared" si="86"/>
        <v>0.83693225248420955</v>
      </c>
      <c r="Y79" s="446">
        <f t="shared" si="86"/>
        <v>0.84263987721501321</v>
      </c>
      <c r="Z79" s="446">
        <f t="shared" si="86"/>
        <v>0.4408448567370753</v>
      </c>
      <c r="AA79" s="446">
        <f t="shared" si="86"/>
        <v>0.21856326505328405</v>
      </c>
      <c r="AB79" s="446">
        <f t="shared" si="86"/>
        <v>7.649045467966209E-2</v>
      </c>
      <c r="AC79" s="446">
        <f t="shared" si="86"/>
        <v>0.17287717521929635</v>
      </c>
      <c r="AD79" s="446">
        <f t="shared" si="86"/>
        <v>0.13663127272727271</v>
      </c>
      <c r="AE79" s="446">
        <f t="shared" si="86"/>
        <v>-5.2558906423866403E-2</v>
      </c>
      <c r="AF79" s="446">
        <f t="shared" si="86"/>
        <v>-0.13408430975604779</v>
      </c>
      <c r="AG79" s="446">
        <f t="shared" si="86"/>
        <v>-0.20611320339770278</v>
      </c>
      <c r="AH79" s="446">
        <f t="shared" si="86"/>
        <v>-0.23103801255930234</v>
      </c>
      <c r="AI79" s="446">
        <f>AI78/AE78-1</f>
        <v>-7.7778624071494828E-2</v>
      </c>
      <c r="AJ79" s="446">
        <f t="shared" si="86"/>
        <v>-8.5995848295832622E-2</v>
      </c>
      <c r="AK79" s="1083">
        <f>AK78/AG78-1</f>
        <v>-2.6073631616396975E-2</v>
      </c>
      <c r="AL79" s="1083">
        <f>AL78/AH78-1</f>
        <v>-5.7055877085419038E-3</v>
      </c>
      <c r="AM79" s="453"/>
      <c r="AN79" s="446"/>
      <c r="AO79" s="446"/>
      <c r="AT79" s="446"/>
      <c r="BR79" s="446"/>
      <c r="BS79" s="446"/>
      <c r="BT79" s="446"/>
      <c r="BU79" s="446"/>
      <c r="BV79" s="446"/>
      <c r="BW79" s="446"/>
      <c r="BX79" s="446"/>
      <c r="BY79" s="154"/>
      <c r="BZ79" s="154"/>
      <c r="CA79" s="154"/>
      <c r="CB79" s="154"/>
      <c r="CC79" s="154"/>
      <c r="CD79" s="154"/>
      <c r="CE79" s="446">
        <v>0.13955219018646758</v>
      </c>
      <c r="CF79" s="446"/>
      <c r="CG79" s="155"/>
      <c r="CH79" s="155"/>
      <c r="CI79" s="155"/>
      <c r="CJ79" s="155"/>
      <c r="CK79" s="453"/>
      <c r="CL79" s="446"/>
      <c r="CM79" s="446"/>
      <c r="CN79" s="446"/>
      <c r="CO79" s="446"/>
      <c r="CP79" s="446"/>
      <c r="CQ79" s="446"/>
      <c r="CR79" s="446"/>
      <c r="CS79" s="446"/>
      <c r="CT79" s="446"/>
      <c r="CU79" s="446"/>
      <c r="CV79" s="446"/>
      <c r="CW79" s="446">
        <v>0.1235140649032207</v>
      </c>
      <c r="CX79" s="453"/>
      <c r="CY79" s="446"/>
      <c r="CZ79" s="446"/>
      <c r="DA79" s="1083">
        <v>-4.3124809535941999E-2</v>
      </c>
    </row>
    <row r="80" spans="1:105">
      <c r="A80" s="154"/>
      <c r="B80" s="155"/>
      <c r="C80" s="155"/>
      <c r="D80" s="155"/>
      <c r="E80" s="155"/>
      <c r="F80" s="155"/>
      <c r="G80" s="155"/>
      <c r="H80" s="155"/>
      <c r="I80" s="155"/>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078"/>
      <c r="AL80" s="1078"/>
      <c r="AM80" s="408"/>
      <c r="AN80" s="155"/>
      <c r="AO80" s="155"/>
      <c r="AT80" s="155"/>
      <c r="BR80" s="155"/>
      <c r="BS80" s="155"/>
      <c r="BT80" s="155"/>
      <c r="BU80" s="155"/>
      <c r="BV80" s="155"/>
      <c r="BW80" s="155"/>
      <c r="BX80" s="155"/>
      <c r="BY80" s="154"/>
      <c r="BZ80" s="154"/>
      <c r="CA80" s="154"/>
      <c r="CB80" s="154"/>
      <c r="CC80" s="154"/>
      <c r="CD80" s="154"/>
      <c r="CE80" s="155"/>
      <c r="CF80" s="155"/>
      <c r="CG80" s="155"/>
      <c r="CH80" s="155"/>
      <c r="CI80" s="155"/>
      <c r="CJ80" s="155"/>
      <c r="CK80" s="408"/>
      <c r="CL80" s="155"/>
      <c r="CM80" s="155"/>
      <c r="CN80" s="155"/>
      <c r="CO80" s="155"/>
      <c r="CP80" s="155"/>
      <c r="CQ80" s="155"/>
      <c r="CR80" s="155"/>
      <c r="CS80" s="155"/>
      <c r="CT80" s="155"/>
      <c r="CU80" s="155"/>
      <c r="CV80" s="155"/>
      <c r="CW80" s="155"/>
      <c r="CX80" s="408"/>
      <c r="CY80" s="155"/>
      <c r="CZ80" s="155"/>
      <c r="DA80" s="1078"/>
    </row>
    <row r="81" spans="1:105">
      <c r="A81" s="154"/>
      <c r="B81" s="155"/>
      <c r="C81" s="155"/>
      <c r="D81" s="155"/>
      <c r="E81" s="155"/>
      <c r="F81" s="155"/>
      <c r="G81" s="155"/>
      <c r="H81" s="155"/>
      <c r="I81" s="155"/>
      <c r="J81" s="155"/>
      <c r="K81" s="155"/>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078"/>
      <c r="AL81" s="1078"/>
      <c r="AM81" s="408"/>
      <c r="AN81" s="155"/>
      <c r="AO81" s="155"/>
      <c r="AT81" s="155"/>
      <c r="BR81" s="155"/>
      <c r="BS81" s="155"/>
      <c r="BT81" s="155"/>
      <c r="BU81" s="155"/>
      <c r="BV81" s="155"/>
      <c r="BW81" s="155"/>
      <c r="BX81" s="155"/>
      <c r="BY81" s="154"/>
      <c r="BZ81" s="154"/>
      <c r="CA81" s="154"/>
      <c r="CB81" s="154"/>
      <c r="CC81" s="154"/>
      <c r="CD81" s="154"/>
      <c r="CE81" s="155"/>
      <c r="CF81" s="155"/>
      <c r="CG81" s="155"/>
      <c r="CH81" s="155"/>
      <c r="CI81" s="155"/>
      <c r="CJ81" s="155"/>
      <c r="CK81" s="408"/>
      <c r="CL81" s="155"/>
      <c r="CM81" s="155"/>
      <c r="CN81" s="155"/>
      <c r="CO81" s="155"/>
      <c r="CP81" s="155"/>
      <c r="CQ81" s="155"/>
      <c r="CR81" s="155"/>
      <c r="CS81" s="155"/>
      <c r="CT81" s="155"/>
      <c r="CU81" s="155"/>
      <c r="CV81" s="155"/>
      <c r="CW81" s="155"/>
      <c r="CX81" s="408"/>
      <c r="CY81" s="155"/>
      <c r="CZ81" s="155"/>
      <c r="DA81" s="1078"/>
    </row>
    <row r="82" spans="1:105">
      <c r="A82" s="443" t="s">
        <v>711</v>
      </c>
      <c r="B82" s="155"/>
      <c r="C82" s="155"/>
      <c r="D82" s="155"/>
      <c r="E82" s="155"/>
      <c r="F82" s="155"/>
      <c r="G82" s="155"/>
      <c r="H82" s="155"/>
      <c r="I82" s="155"/>
      <c r="J82" s="155"/>
      <c r="K82" s="155"/>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55"/>
      <c r="AK82" s="1078"/>
      <c r="AL82" s="1078"/>
      <c r="AM82" s="408"/>
      <c r="AN82" s="155"/>
      <c r="AO82" s="155"/>
      <c r="AT82" s="155"/>
      <c r="BR82" s="155"/>
      <c r="BS82" s="155"/>
      <c r="BT82" s="155"/>
      <c r="BU82" s="155"/>
      <c r="BV82" s="155"/>
      <c r="BW82" s="155"/>
      <c r="BX82" s="155"/>
      <c r="BY82" s="154"/>
      <c r="BZ82" s="154"/>
      <c r="CA82" s="154"/>
      <c r="CB82" s="154"/>
      <c r="CC82" s="154"/>
      <c r="CD82" s="154"/>
      <c r="CE82" s="155"/>
      <c r="CF82" s="155"/>
      <c r="CG82" s="155"/>
      <c r="CH82" s="155"/>
      <c r="CI82" s="155"/>
      <c r="CJ82" s="155"/>
      <c r="CK82" s="408"/>
      <c r="CL82" s="155"/>
      <c r="CM82" s="155"/>
      <c r="CN82" s="155"/>
      <c r="CO82" s="155"/>
      <c r="CP82" s="155"/>
      <c r="CQ82" s="155"/>
      <c r="CR82" s="155"/>
      <c r="CS82" s="155"/>
      <c r="CT82" s="155"/>
      <c r="CU82" s="155"/>
      <c r="CV82" s="155"/>
      <c r="CW82" s="155"/>
      <c r="CX82" s="408"/>
      <c r="CY82" s="155"/>
      <c r="CZ82" s="155"/>
      <c r="DA82" s="1078"/>
    </row>
    <row r="83" spans="1:105">
      <c r="A83" s="154" t="s">
        <v>162</v>
      </c>
      <c r="B83" s="444"/>
      <c r="C83" s="444"/>
      <c r="D83" s="444"/>
      <c r="E83" s="444"/>
      <c r="F83" s="444"/>
      <c r="G83" s="444"/>
      <c r="H83" s="444"/>
      <c r="I83" s="444"/>
      <c r="J83" s="444"/>
      <c r="K83" s="444"/>
      <c r="L83" s="444"/>
      <c r="M83" s="444"/>
      <c r="N83" s="444"/>
      <c r="O83" s="444"/>
      <c r="P83" s="444">
        <v>1022</v>
      </c>
      <c r="Q83" s="444">
        <v>1022</v>
      </c>
      <c r="R83" s="444">
        <v>1162</v>
      </c>
      <c r="S83" s="444">
        <v>1162</v>
      </c>
      <c r="T83" s="444">
        <v>1229</v>
      </c>
      <c r="U83" s="444">
        <v>1237</v>
      </c>
      <c r="V83" s="444">
        <v>1402</v>
      </c>
      <c r="W83" s="444">
        <v>1424</v>
      </c>
      <c r="X83" s="444">
        <v>1446</v>
      </c>
      <c r="Y83" s="444">
        <v>1508</v>
      </c>
      <c r="Z83" s="444">
        <v>1531</v>
      </c>
      <c r="AA83" s="444">
        <v>1538</v>
      </c>
      <c r="AB83" s="444">
        <v>1544</v>
      </c>
      <c r="AC83" s="444">
        <v>1661</v>
      </c>
      <c r="AD83" s="444">
        <v>1672</v>
      </c>
      <c r="AE83" s="444">
        <v>1672</v>
      </c>
      <c r="AF83" s="444">
        <v>1676</v>
      </c>
      <c r="AG83" s="444">
        <v>1675</v>
      </c>
      <c r="AH83" s="444"/>
      <c r="AI83" s="444"/>
      <c r="AJ83" s="444"/>
      <c r="AK83" s="1079"/>
      <c r="AL83" s="1079"/>
      <c r="AM83" s="452"/>
      <c r="AN83" s="451"/>
      <c r="AO83" s="451"/>
      <c r="AT83" s="451"/>
      <c r="BR83" s="451"/>
      <c r="BS83" s="451"/>
      <c r="BT83" s="451"/>
      <c r="BU83" s="451"/>
      <c r="BV83" s="451"/>
      <c r="BW83" s="451"/>
      <c r="BX83" s="451"/>
      <c r="BY83" s="154"/>
      <c r="BZ83" s="154"/>
      <c r="CA83" s="154"/>
      <c r="CB83" s="154"/>
      <c r="CC83" s="154"/>
      <c r="CD83" s="154"/>
      <c r="CE83" s="447">
        <v>1713.9884486400001</v>
      </c>
      <c r="CF83" s="451"/>
      <c r="CG83" s="446"/>
      <c r="CH83" s="446"/>
      <c r="CI83" s="446"/>
      <c r="CJ83" s="446"/>
      <c r="CK83" s="452">
        <f>MENA!J18</f>
        <v>1672</v>
      </c>
      <c r="CL83" s="444"/>
      <c r="CM83" s="451"/>
      <c r="CN83" s="451"/>
      <c r="CO83" s="451"/>
      <c r="CP83" s="451"/>
      <c r="CQ83" s="444"/>
      <c r="CR83" s="451"/>
      <c r="CS83" s="451"/>
      <c r="CT83" s="451"/>
      <c r="CU83" s="451"/>
      <c r="CV83" s="451"/>
      <c r="CW83" s="451">
        <v>1688.7199999999998</v>
      </c>
      <c r="CX83" s="452">
        <f>MENA!K18</f>
        <v>1675</v>
      </c>
      <c r="CY83" s="451"/>
      <c r="CZ83" s="451"/>
      <c r="DA83" s="1079"/>
    </row>
    <row r="84" spans="1:105">
      <c r="A84" s="154" t="s">
        <v>632</v>
      </c>
      <c r="B84" s="444"/>
      <c r="C84" s="444"/>
      <c r="D84" s="444"/>
      <c r="E84" s="444"/>
      <c r="F84" s="444"/>
      <c r="G84" s="444"/>
      <c r="H84" s="444"/>
      <c r="I84" s="444"/>
      <c r="J84" s="444"/>
      <c r="K84" s="444"/>
      <c r="L84" s="444"/>
      <c r="M84" s="444"/>
      <c r="N84" s="444"/>
      <c r="O84" s="444"/>
      <c r="P84" s="444">
        <v>1022</v>
      </c>
      <c r="Q84" s="444">
        <v>1022</v>
      </c>
      <c r="R84" s="444">
        <v>1162</v>
      </c>
      <c r="S84" s="444">
        <v>1162</v>
      </c>
      <c r="T84" s="444">
        <v>1229</v>
      </c>
      <c r="U84" s="444">
        <v>1238</v>
      </c>
      <c r="V84" s="444">
        <v>1416</v>
      </c>
      <c r="W84" s="444">
        <v>1438</v>
      </c>
      <c r="X84" s="444">
        <v>1461</v>
      </c>
      <c r="Y84" s="444">
        <v>1523</v>
      </c>
      <c r="Z84" s="444">
        <v>1546</v>
      </c>
      <c r="AA84" s="444">
        <v>1553</v>
      </c>
      <c r="AB84" s="444">
        <v>1560</v>
      </c>
      <c r="AC84" s="444">
        <v>1685</v>
      </c>
      <c r="AD84" s="444">
        <v>1696</v>
      </c>
      <c r="AE84" s="444">
        <v>1694</v>
      </c>
      <c r="AF84" s="444">
        <v>1698</v>
      </c>
      <c r="AG84" s="444">
        <v>1697</v>
      </c>
      <c r="AH84" s="444"/>
      <c r="AI84" s="444"/>
      <c r="AJ84" s="444"/>
      <c r="AK84" s="1079"/>
      <c r="AL84" s="1079"/>
      <c r="AM84" s="452"/>
      <c r="AN84" s="451"/>
      <c r="AO84" s="451"/>
      <c r="AT84" s="451"/>
      <c r="BR84" s="451"/>
      <c r="BS84" s="451"/>
      <c r="BT84" s="451"/>
      <c r="BU84" s="451"/>
      <c r="BV84" s="451"/>
      <c r="BW84" s="451"/>
      <c r="BX84" s="451"/>
      <c r="BY84" s="154"/>
      <c r="BZ84" s="154"/>
      <c r="CA84" s="154"/>
      <c r="CB84" s="154"/>
      <c r="CC84" s="154"/>
      <c r="CD84" s="154"/>
      <c r="CE84" s="447">
        <v>1739.6982753696</v>
      </c>
      <c r="CF84" s="451"/>
      <c r="CG84" s="446"/>
      <c r="CH84" s="446"/>
      <c r="CI84" s="446"/>
      <c r="CJ84" s="446"/>
      <c r="CK84" s="452">
        <f>MENA!J26</f>
        <v>1696</v>
      </c>
      <c r="CL84" s="444"/>
      <c r="CM84" s="451"/>
      <c r="CN84" s="451"/>
      <c r="CO84" s="451"/>
      <c r="CP84" s="451"/>
      <c r="CQ84" s="444"/>
      <c r="CR84" s="451"/>
      <c r="CS84" s="451"/>
      <c r="CT84" s="451"/>
      <c r="CU84" s="451"/>
      <c r="CV84" s="451"/>
      <c r="CW84" s="451">
        <v>1710.6733599999995</v>
      </c>
      <c r="CX84" s="452">
        <f>MENA!K26</f>
        <v>1697</v>
      </c>
      <c r="CY84" s="451"/>
      <c r="CZ84" s="451"/>
      <c r="DA84" s="1079"/>
    </row>
    <row r="85" spans="1:105">
      <c r="A85" s="154" t="s">
        <v>1</v>
      </c>
      <c r="B85" s="448"/>
      <c r="C85" s="448"/>
      <c r="D85" s="448"/>
      <c r="E85" s="448"/>
      <c r="F85" s="448"/>
      <c r="G85" s="448"/>
      <c r="H85" s="448"/>
      <c r="I85" s="448"/>
      <c r="J85" s="448"/>
      <c r="K85" s="448"/>
      <c r="L85" s="448"/>
      <c r="M85" s="448"/>
      <c r="N85" s="448"/>
      <c r="O85" s="448"/>
      <c r="P85" s="448">
        <f t="shared" ref="P85:Z85" si="87">P84/P83</f>
        <v>1</v>
      </c>
      <c r="Q85" s="448">
        <f t="shared" si="87"/>
        <v>1</v>
      </c>
      <c r="R85" s="448">
        <f t="shared" si="87"/>
        <v>1</v>
      </c>
      <c r="S85" s="448">
        <f t="shared" si="87"/>
        <v>1</v>
      </c>
      <c r="T85" s="448">
        <f t="shared" si="87"/>
        <v>1</v>
      </c>
      <c r="U85" s="448">
        <f t="shared" si="87"/>
        <v>1.0008084074373484</v>
      </c>
      <c r="V85" s="448">
        <f t="shared" si="87"/>
        <v>1.0099857346647647</v>
      </c>
      <c r="W85" s="448">
        <f t="shared" si="87"/>
        <v>1.0098314606741574</v>
      </c>
      <c r="X85" s="448">
        <f t="shared" si="87"/>
        <v>1.0103734439834025</v>
      </c>
      <c r="Y85" s="448">
        <f>Y84/Y83</f>
        <v>1.0099469496021221</v>
      </c>
      <c r="Z85" s="448">
        <f t="shared" si="87"/>
        <v>1.0097975179621164</v>
      </c>
      <c r="AA85" s="448">
        <f t="shared" ref="AA85:AD85" si="88">AA84/AA83</f>
        <v>1.0097529258777633</v>
      </c>
      <c r="AB85" s="448">
        <f t="shared" si="88"/>
        <v>1.0103626943005182</v>
      </c>
      <c r="AC85" s="448">
        <f t="shared" si="88"/>
        <v>1.0144491270319085</v>
      </c>
      <c r="AD85" s="448">
        <f t="shared" si="88"/>
        <v>1.0143540669856459</v>
      </c>
      <c r="AE85" s="448">
        <f t="shared" ref="AE85:AG85" si="89">AE84/AE83</f>
        <v>1.013157894736842</v>
      </c>
      <c r="AF85" s="448">
        <f t="shared" si="89"/>
        <v>1.0131264916467781</v>
      </c>
      <c r="AG85" s="890">
        <f t="shared" si="89"/>
        <v>1.013134328358209</v>
      </c>
      <c r="AH85" s="890"/>
      <c r="AI85" s="448"/>
      <c r="AJ85" s="448"/>
      <c r="AK85" s="1087"/>
      <c r="AL85" s="1087"/>
      <c r="AM85" s="449"/>
      <c r="AN85" s="448"/>
      <c r="AO85" s="448"/>
      <c r="AT85" s="890"/>
      <c r="BR85" s="448"/>
      <c r="BS85" s="448"/>
      <c r="BT85" s="448"/>
      <c r="BU85" s="448"/>
      <c r="BV85" s="448"/>
      <c r="BW85" s="448"/>
      <c r="BX85" s="448"/>
      <c r="BY85" s="154"/>
      <c r="BZ85" s="154"/>
      <c r="CA85" s="154"/>
      <c r="CB85" s="154"/>
      <c r="CC85" s="154"/>
      <c r="CD85" s="154"/>
      <c r="CE85" s="448">
        <v>1.0149999999999999</v>
      </c>
      <c r="CF85" s="448"/>
      <c r="CG85" s="155"/>
      <c r="CH85" s="155"/>
      <c r="CI85" s="155"/>
      <c r="CJ85" s="155"/>
      <c r="CK85" s="449"/>
      <c r="CL85" s="448"/>
      <c r="CM85" s="448"/>
      <c r="CN85" s="448"/>
      <c r="CO85" s="448"/>
      <c r="CP85" s="448"/>
      <c r="CQ85" s="448"/>
      <c r="CR85" s="448"/>
      <c r="CS85" s="448"/>
      <c r="CT85" s="448"/>
      <c r="CU85" s="448"/>
      <c r="CV85" s="448"/>
      <c r="CW85" s="890">
        <v>1.0129999999999999</v>
      </c>
      <c r="CX85" s="449"/>
      <c r="CY85" s="448"/>
      <c r="CZ85" s="448"/>
      <c r="DA85" s="1087"/>
    </row>
    <row r="86" spans="1:105">
      <c r="A86" s="154"/>
      <c r="B86" s="448"/>
      <c r="C86" s="448"/>
      <c r="D86" s="448"/>
      <c r="E86" s="448"/>
      <c r="F86" s="448"/>
      <c r="G86" s="448"/>
      <c r="H86" s="448"/>
      <c r="I86" s="448"/>
      <c r="J86" s="448"/>
      <c r="K86" s="448"/>
      <c r="L86" s="448"/>
      <c r="M86" s="448"/>
      <c r="N86" s="448"/>
      <c r="O86" s="448"/>
      <c r="P86" s="448"/>
      <c r="Q86" s="448"/>
      <c r="R86" s="448"/>
      <c r="S86" s="448"/>
      <c r="T86" s="448"/>
      <c r="U86" s="448"/>
      <c r="V86" s="448"/>
      <c r="W86" s="448"/>
      <c r="X86" s="448"/>
      <c r="Y86" s="448"/>
      <c r="Z86" s="448"/>
      <c r="AA86" s="448"/>
      <c r="AB86" s="448"/>
      <c r="AC86" s="448"/>
      <c r="AD86" s="448"/>
      <c r="AE86" s="448"/>
      <c r="AF86" s="448"/>
      <c r="AG86" s="448"/>
      <c r="AH86" s="448"/>
      <c r="AI86" s="448"/>
      <c r="AJ86" s="448"/>
      <c r="AK86" s="1080"/>
      <c r="AL86" s="1080"/>
      <c r="AM86" s="449"/>
      <c r="AN86" s="448"/>
      <c r="AO86" s="448"/>
      <c r="AT86" s="448"/>
      <c r="BR86" s="448"/>
      <c r="BS86" s="448"/>
      <c r="BT86" s="448"/>
      <c r="BU86" s="448"/>
      <c r="BV86" s="448"/>
      <c r="BW86" s="448"/>
      <c r="BX86" s="448"/>
      <c r="BY86" s="154"/>
      <c r="BZ86" s="154"/>
      <c r="CA86" s="154"/>
      <c r="CB86" s="154"/>
      <c r="CC86" s="154"/>
      <c r="CD86" s="154"/>
      <c r="CE86" s="448"/>
      <c r="CF86" s="448"/>
      <c r="CG86" s="155"/>
      <c r="CH86" s="155"/>
      <c r="CI86" s="155"/>
      <c r="CJ86" s="155"/>
      <c r="CK86" s="449"/>
      <c r="CL86" s="448"/>
      <c r="CM86" s="448"/>
      <c r="CN86" s="448"/>
      <c r="CO86" s="448"/>
      <c r="CP86" s="448"/>
      <c r="CQ86" s="448"/>
      <c r="CR86" s="448"/>
      <c r="CS86" s="448"/>
      <c r="CT86" s="448"/>
      <c r="CU86" s="448"/>
      <c r="CV86" s="448"/>
      <c r="CW86" s="448"/>
      <c r="CX86" s="449"/>
      <c r="CY86" s="448"/>
      <c r="CZ86" s="448"/>
      <c r="DA86" s="1080"/>
    </row>
    <row r="87" spans="1:105">
      <c r="A87" s="154" t="s">
        <v>703</v>
      </c>
      <c r="B87" s="448"/>
      <c r="C87" s="448"/>
      <c r="D87" s="448"/>
      <c r="E87" s="448"/>
      <c r="F87" s="448"/>
      <c r="G87" s="448"/>
      <c r="H87" s="448"/>
      <c r="I87" s="448"/>
      <c r="J87" s="448"/>
      <c r="K87" s="448"/>
      <c r="L87" s="448"/>
      <c r="M87" s="448"/>
      <c r="N87" s="448"/>
      <c r="O87" s="451"/>
      <c r="P87" s="451"/>
      <c r="Q87" s="451">
        <f t="shared" ref="Q87:W87" si="90">Q83-P83</f>
        <v>0</v>
      </c>
      <c r="R87" s="451">
        <f t="shared" si="90"/>
        <v>140</v>
      </c>
      <c r="S87" s="451">
        <f t="shared" si="90"/>
        <v>0</v>
      </c>
      <c r="T87" s="451">
        <f t="shared" si="90"/>
        <v>67</v>
      </c>
      <c r="U87" s="451">
        <f t="shared" si="90"/>
        <v>8</v>
      </c>
      <c r="V87" s="451">
        <f t="shared" si="90"/>
        <v>165</v>
      </c>
      <c r="W87" s="451">
        <f t="shared" si="90"/>
        <v>22</v>
      </c>
      <c r="X87" s="451">
        <f t="shared" ref="X87:AF88" si="91">X83-W83</f>
        <v>22</v>
      </c>
      <c r="Y87" s="451">
        <f t="shared" si="91"/>
        <v>62</v>
      </c>
      <c r="Z87" s="451">
        <f t="shared" si="91"/>
        <v>23</v>
      </c>
      <c r="AA87" s="451">
        <f t="shared" si="91"/>
        <v>7</v>
      </c>
      <c r="AB87" s="451">
        <f t="shared" si="91"/>
        <v>6</v>
      </c>
      <c r="AC87" s="451">
        <f t="shared" si="91"/>
        <v>117</v>
      </c>
      <c r="AD87" s="451">
        <f t="shared" si="91"/>
        <v>11</v>
      </c>
      <c r="AE87" s="451">
        <f t="shared" si="91"/>
        <v>0</v>
      </c>
      <c r="AF87" s="451">
        <f t="shared" si="91"/>
        <v>4</v>
      </c>
      <c r="AG87" s="451">
        <f t="shared" ref="AG87:AG88" si="92">AG83-AF83</f>
        <v>-1</v>
      </c>
      <c r="AH87" s="451"/>
      <c r="AI87" s="451"/>
      <c r="AJ87" s="451"/>
      <c r="AK87" s="447"/>
      <c r="AL87" s="447"/>
      <c r="AM87" s="449"/>
      <c r="AN87" s="448"/>
      <c r="AO87" s="448"/>
      <c r="AT87" s="451"/>
      <c r="BR87" s="448"/>
      <c r="BS87" s="448"/>
      <c r="BT87" s="448"/>
      <c r="BU87" s="448"/>
      <c r="BV87" s="448"/>
      <c r="BW87" s="448"/>
      <c r="BX87" s="448"/>
      <c r="BY87" s="154"/>
      <c r="BZ87" s="154"/>
      <c r="CA87" s="154"/>
      <c r="CB87" s="154"/>
      <c r="CC87" s="154"/>
      <c r="CD87" s="154"/>
      <c r="CE87" s="451">
        <v>52.988448640000115</v>
      </c>
      <c r="CF87" s="451"/>
      <c r="CG87" s="155"/>
      <c r="CH87" s="155"/>
      <c r="CI87" s="155"/>
      <c r="CJ87" s="155"/>
      <c r="CK87" s="449"/>
      <c r="CL87" s="451"/>
      <c r="CM87" s="448"/>
      <c r="CN87" s="448"/>
      <c r="CO87" s="448"/>
      <c r="CP87" s="448"/>
      <c r="CQ87" s="451"/>
      <c r="CR87" s="448"/>
      <c r="CS87" s="448"/>
      <c r="CT87" s="448"/>
      <c r="CU87" s="448"/>
      <c r="CV87" s="448"/>
      <c r="CW87" s="451">
        <v>13.7199999999998</v>
      </c>
      <c r="CX87" s="449"/>
      <c r="CY87" s="448"/>
      <c r="CZ87" s="448"/>
      <c r="DA87" s="447"/>
    </row>
    <row r="88" spans="1:105">
      <c r="A88" s="154" t="s">
        <v>704</v>
      </c>
      <c r="B88" s="448"/>
      <c r="C88" s="448"/>
      <c r="D88" s="448"/>
      <c r="E88" s="448"/>
      <c r="F88" s="448"/>
      <c r="G88" s="448"/>
      <c r="H88" s="448"/>
      <c r="I88" s="448"/>
      <c r="J88" s="448"/>
      <c r="K88" s="448"/>
      <c r="L88" s="448"/>
      <c r="M88" s="448"/>
      <c r="N88" s="448"/>
      <c r="O88" s="451"/>
      <c r="P88" s="451"/>
      <c r="Q88" s="451">
        <f t="shared" ref="Q88:AB88" si="93">Q84-P84</f>
        <v>0</v>
      </c>
      <c r="R88" s="451">
        <f t="shared" si="93"/>
        <v>140</v>
      </c>
      <c r="S88" s="451">
        <f t="shared" si="93"/>
        <v>0</v>
      </c>
      <c r="T88" s="451">
        <f t="shared" si="93"/>
        <v>67</v>
      </c>
      <c r="U88" s="451">
        <f t="shared" si="93"/>
        <v>9</v>
      </c>
      <c r="V88" s="451">
        <f t="shared" si="93"/>
        <v>178</v>
      </c>
      <c r="W88" s="451">
        <f t="shared" si="93"/>
        <v>22</v>
      </c>
      <c r="X88" s="451">
        <f t="shared" si="93"/>
        <v>23</v>
      </c>
      <c r="Y88" s="451">
        <f t="shared" si="93"/>
        <v>62</v>
      </c>
      <c r="Z88" s="451">
        <f t="shared" si="93"/>
        <v>23</v>
      </c>
      <c r="AA88" s="451">
        <f t="shared" si="93"/>
        <v>7</v>
      </c>
      <c r="AB88" s="451">
        <f t="shared" si="93"/>
        <v>7</v>
      </c>
      <c r="AC88" s="451">
        <f t="shared" ref="AC88" si="94">AC84-AB84</f>
        <v>125</v>
      </c>
      <c r="AD88" s="451">
        <f t="shared" ref="AD88" si="95">AD84-AC84</f>
        <v>11</v>
      </c>
      <c r="AE88" s="451">
        <f t="shared" si="91"/>
        <v>-2</v>
      </c>
      <c r="AF88" s="451">
        <f t="shared" si="91"/>
        <v>4</v>
      </c>
      <c r="AG88" s="451">
        <f t="shared" si="92"/>
        <v>-1</v>
      </c>
      <c r="AH88" s="451"/>
      <c r="AI88" s="451"/>
      <c r="AJ88" s="451"/>
      <c r="AK88" s="447"/>
      <c r="AL88" s="447"/>
      <c r="AM88" s="449"/>
      <c r="AN88" s="448"/>
      <c r="AO88" s="448"/>
      <c r="AT88" s="451"/>
      <c r="BR88" s="448"/>
      <c r="BS88" s="448"/>
      <c r="BT88" s="448"/>
      <c r="BU88" s="448"/>
      <c r="BV88" s="448"/>
      <c r="BW88" s="448"/>
      <c r="BX88" s="448"/>
      <c r="BY88" s="154"/>
      <c r="BZ88" s="154"/>
      <c r="CA88" s="154"/>
      <c r="CB88" s="154"/>
      <c r="CC88" s="154"/>
      <c r="CD88" s="154"/>
      <c r="CE88" s="451">
        <v>54.698275369599969</v>
      </c>
      <c r="CF88" s="451"/>
      <c r="CG88" s="155"/>
      <c r="CH88" s="155"/>
      <c r="CI88" s="155"/>
      <c r="CJ88" s="155"/>
      <c r="CK88" s="449"/>
      <c r="CL88" s="451"/>
      <c r="CM88" s="448"/>
      <c r="CN88" s="448"/>
      <c r="CO88" s="448"/>
      <c r="CP88" s="448"/>
      <c r="CQ88" s="451"/>
      <c r="CR88" s="448"/>
      <c r="CS88" s="448"/>
      <c r="CT88" s="448"/>
      <c r="CU88" s="448"/>
      <c r="CV88" s="448"/>
      <c r="CW88" s="451">
        <v>13.673359999999548</v>
      </c>
      <c r="CX88" s="449"/>
      <c r="CY88" s="448"/>
      <c r="CZ88" s="448"/>
      <c r="DA88" s="447"/>
    </row>
    <row r="89" spans="1:105">
      <c r="A89" s="154"/>
      <c r="B89" s="448"/>
      <c r="C89" s="448"/>
      <c r="D89" s="448"/>
      <c r="E89" s="448"/>
      <c r="F89" s="448"/>
      <c r="G89" s="448"/>
      <c r="H89" s="448"/>
      <c r="I89" s="448"/>
      <c r="J89" s="448"/>
      <c r="K89" s="448"/>
      <c r="L89" s="448"/>
      <c r="M89" s="448"/>
      <c r="N89" s="448"/>
      <c r="O89" s="448"/>
      <c r="P89" s="448"/>
      <c r="Q89" s="448"/>
      <c r="R89" s="448"/>
      <c r="S89" s="448"/>
      <c r="T89" s="448"/>
      <c r="U89" s="448"/>
      <c r="V89" s="448"/>
      <c r="W89" s="448"/>
      <c r="X89" s="448"/>
      <c r="Y89" s="448"/>
      <c r="Z89" s="448"/>
      <c r="AA89" s="448"/>
      <c r="AB89" s="448"/>
      <c r="AC89" s="448"/>
      <c r="AD89" s="448"/>
      <c r="AE89" s="448"/>
      <c r="AF89" s="448"/>
      <c r="AG89" s="448"/>
      <c r="AH89" s="448"/>
      <c r="AI89" s="448"/>
      <c r="AJ89" s="448"/>
      <c r="AK89" s="1080"/>
      <c r="AL89" s="1080"/>
      <c r="AM89" s="449"/>
      <c r="AN89" s="448"/>
      <c r="AO89" s="448"/>
      <c r="AT89" s="448"/>
      <c r="BR89" s="448"/>
      <c r="BS89" s="448"/>
      <c r="BT89" s="448"/>
      <c r="BU89" s="448"/>
      <c r="BV89" s="448"/>
      <c r="BW89" s="448"/>
      <c r="BX89" s="448"/>
      <c r="BY89" s="154"/>
      <c r="BZ89" s="154"/>
      <c r="CA89" s="154"/>
      <c r="CB89" s="154"/>
      <c r="CC89" s="154"/>
      <c r="CD89" s="154"/>
      <c r="CE89" s="448"/>
      <c r="CF89" s="448"/>
      <c r="CG89" s="155"/>
      <c r="CH89" s="155"/>
      <c r="CI89" s="155"/>
      <c r="CJ89" s="155"/>
      <c r="CK89" s="449"/>
      <c r="CL89" s="448"/>
      <c r="CM89" s="448"/>
      <c r="CN89" s="448"/>
      <c r="CO89" s="448"/>
      <c r="CP89" s="448"/>
      <c r="CQ89" s="448"/>
      <c r="CR89" s="448"/>
      <c r="CS89" s="448"/>
      <c r="CT89" s="448"/>
      <c r="CU89" s="448"/>
      <c r="CV89" s="448"/>
      <c r="CW89" s="448"/>
      <c r="CX89" s="449"/>
      <c r="CY89" s="448"/>
      <c r="CZ89" s="448"/>
      <c r="DA89" s="1080"/>
    </row>
    <row r="90" spans="1:105">
      <c r="A90" s="154" t="s">
        <v>725</v>
      </c>
      <c r="B90" s="155"/>
      <c r="C90" s="155"/>
      <c r="D90" s="155"/>
      <c r="E90" s="155"/>
      <c r="F90" s="155"/>
      <c r="G90" s="155"/>
      <c r="H90" s="155"/>
      <c r="I90" s="155"/>
      <c r="J90" s="155"/>
      <c r="K90" s="155"/>
      <c r="L90" s="155"/>
      <c r="M90" s="155"/>
      <c r="N90" s="155"/>
      <c r="O90" s="451"/>
      <c r="P90" s="451">
        <f t="shared" ref="P90:AF90" si="96">P122*1000000/AVERAGE(O84:P84)/3</f>
        <v>1956.9471624266143</v>
      </c>
      <c r="Q90" s="451">
        <f t="shared" si="96"/>
        <v>1956.9471624266143</v>
      </c>
      <c r="R90" s="451">
        <f t="shared" si="96"/>
        <v>2066.2393162393159</v>
      </c>
      <c r="S90" s="451">
        <f t="shared" si="96"/>
        <v>1928.8582903040733</v>
      </c>
      <c r="T90" s="451">
        <f t="shared" si="96"/>
        <v>1951.7635577861427</v>
      </c>
      <c r="U90" s="451">
        <f t="shared" si="96"/>
        <v>1891.6362653695448</v>
      </c>
      <c r="V90" s="451">
        <f t="shared" si="96"/>
        <v>2078.8746546093948</v>
      </c>
      <c r="W90" s="451">
        <f t="shared" si="96"/>
        <v>2102.312543798178</v>
      </c>
      <c r="X90" s="451">
        <f t="shared" si="96"/>
        <v>2069.679199724043</v>
      </c>
      <c r="Y90" s="451">
        <f t="shared" si="96"/>
        <v>2010.7238605898121</v>
      </c>
      <c r="Z90" s="451">
        <f t="shared" si="96"/>
        <v>2172.2602367763657</v>
      </c>
      <c r="AA90" s="451">
        <f t="shared" si="96"/>
        <v>2151.2315800795955</v>
      </c>
      <c r="AB90" s="451">
        <f t="shared" si="96"/>
        <v>2141.5569118749331</v>
      </c>
      <c r="AC90" s="451">
        <f t="shared" si="96"/>
        <v>2108.885464817668</v>
      </c>
      <c r="AD90" s="451">
        <f t="shared" si="96"/>
        <v>2168.983535443163</v>
      </c>
      <c r="AE90" s="451">
        <f t="shared" si="96"/>
        <v>2163.2251720747295</v>
      </c>
      <c r="AF90" s="451">
        <f t="shared" si="96"/>
        <v>2161.949685534591</v>
      </c>
      <c r="AG90" s="451">
        <f t="shared" ref="AG90" si="97">AG122*1000000/AVERAGE(AF84:AG84)/3</f>
        <v>2494.8453608247423</v>
      </c>
      <c r="AH90" s="451"/>
      <c r="AI90" s="451"/>
      <c r="AJ90" s="451"/>
      <c r="AK90" s="447"/>
      <c r="AL90" s="447"/>
      <c r="AM90" s="452"/>
      <c r="AN90" s="451"/>
      <c r="AO90" s="451"/>
      <c r="AT90" s="451"/>
      <c r="BR90" s="451"/>
      <c r="BS90" s="451"/>
      <c r="BT90" s="451"/>
      <c r="BU90" s="451"/>
      <c r="BV90" s="451"/>
      <c r="BW90" s="451"/>
      <c r="BX90" s="451"/>
      <c r="BY90" s="154"/>
      <c r="BZ90" s="154"/>
      <c r="CA90" s="154"/>
      <c r="CB90" s="154"/>
      <c r="CC90" s="154"/>
      <c r="CD90" s="154"/>
      <c r="CE90" s="451">
        <v>2077.1027417474788</v>
      </c>
      <c r="CF90" s="451"/>
      <c r="CG90" s="155"/>
      <c r="CH90" s="155"/>
      <c r="CI90" s="155"/>
      <c r="CJ90" s="155"/>
      <c r="CK90" s="452"/>
      <c r="CL90" s="451"/>
      <c r="CM90" s="451"/>
      <c r="CN90" s="451"/>
      <c r="CO90" s="451"/>
      <c r="CP90" s="451"/>
      <c r="CQ90" s="451"/>
      <c r="CR90" s="451"/>
      <c r="CS90" s="451"/>
      <c r="CT90" s="451"/>
      <c r="CU90" s="451"/>
      <c r="CV90" s="451"/>
      <c r="CW90" s="451">
        <v>2027.9193046792705</v>
      </c>
      <c r="CX90" s="452"/>
      <c r="CY90" s="451"/>
      <c r="CZ90" s="451"/>
      <c r="DA90" s="447"/>
    </row>
    <row r="91" spans="1:105">
      <c r="A91" s="154" t="s">
        <v>633</v>
      </c>
      <c r="B91" s="155"/>
      <c r="C91" s="155"/>
      <c r="D91" s="155"/>
      <c r="E91" s="155"/>
      <c r="F91" s="155"/>
      <c r="G91" s="155"/>
      <c r="H91" s="155"/>
      <c r="I91" s="155"/>
      <c r="J91" s="155"/>
      <c r="K91" s="155"/>
      <c r="L91" s="155"/>
      <c r="M91" s="155"/>
      <c r="N91" s="155"/>
      <c r="O91" s="155"/>
      <c r="P91" s="155"/>
      <c r="Q91" s="155"/>
      <c r="R91" s="155"/>
      <c r="S91" s="446"/>
      <c r="T91" s="446">
        <f t="shared" ref="T91:AF91" si="98">T90/P90-1</f>
        <v>-2.6488219712810235E-3</v>
      </c>
      <c r="U91" s="446">
        <f t="shared" si="98"/>
        <v>-3.337386839616252E-2</v>
      </c>
      <c r="V91" s="446">
        <f t="shared" si="98"/>
        <v>6.1151379081663126E-3</v>
      </c>
      <c r="W91" s="446">
        <f t="shared" si="98"/>
        <v>8.9925866698460588E-2</v>
      </c>
      <c r="X91" s="446">
        <f t="shared" si="98"/>
        <v>6.0414921401468424E-2</v>
      </c>
      <c r="Y91" s="446">
        <f t="shared" si="98"/>
        <v>6.2954806587514067E-2</v>
      </c>
      <c r="Z91" s="446">
        <f t="shared" si="98"/>
        <v>4.4921218294672549E-2</v>
      </c>
      <c r="AA91" s="446">
        <f t="shared" si="98"/>
        <v>2.3269154924527635E-2</v>
      </c>
      <c r="AB91" s="446">
        <f t="shared" si="98"/>
        <v>3.4728914587571769E-2</v>
      </c>
      <c r="AC91" s="446">
        <f t="shared" si="98"/>
        <v>4.8819037835986956E-2</v>
      </c>
      <c r="AD91" s="446">
        <f t="shared" si="98"/>
        <v>-1.5084294587398572E-3</v>
      </c>
      <c r="AE91" s="446">
        <f t="shared" si="98"/>
        <v>5.5752212389379441E-3</v>
      </c>
      <c r="AF91" s="446">
        <f t="shared" si="98"/>
        <v>9.5224056603773199E-3</v>
      </c>
      <c r="AG91" s="446">
        <f t="shared" ref="AG91" si="99">AG90/AC90-1</f>
        <v>0.18301605395172271</v>
      </c>
      <c r="AH91" s="446"/>
      <c r="AI91" s="446"/>
      <c r="AJ91" s="446"/>
      <c r="AK91" s="1083"/>
      <c r="AL91" s="1083"/>
      <c r="AM91" s="453"/>
      <c r="AN91" s="446"/>
      <c r="AO91" s="446"/>
      <c r="AT91" s="446"/>
      <c r="BR91" s="446"/>
      <c r="BS91" s="446"/>
      <c r="BT91" s="446"/>
      <c r="BU91" s="446"/>
      <c r="BV91" s="446"/>
      <c r="BW91" s="446"/>
      <c r="BX91" s="446"/>
      <c r="BY91" s="154"/>
      <c r="BZ91" s="154"/>
      <c r="CA91" s="154"/>
      <c r="CB91" s="154"/>
      <c r="CC91" s="154"/>
      <c r="CD91" s="154"/>
      <c r="CE91" s="446">
        <v>-4.3805752836548084E-2</v>
      </c>
      <c r="CF91" s="446"/>
      <c r="CG91" s="155"/>
      <c r="CH91" s="155"/>
      <c r="CI91" s="155"/>
      <c r="CJ91" s="155"/>
      <c r="CK91" s="453"/>
      <c r="CL91" s="446"/>
      <c r="CM91" s="446"/>
      <c r="CN91" s="446"/>
      <c r="CO91" s="446"/>
      <c r="CP91" s="446"/>
      <c r="CQ91" s="446"/>
      <c r="CR91" s="446"/>
      <c r="CS91" s="446"/>
      <c r="CT91" s="446"/>
      <c r="CU91" s="446"/>
      <c r="CV91" s="446"/>
      <c r="CW91" s="446">
        <v>-6.5037022392643751E-2</v>
      </c>
      <c r="CX91" s="453"/>
      <c r="CY91" s="446"/>
      <c r="CZ91" s="446"/>
      <c r="DA91" s="1083"/>
    </row>
    <row r="92" spans="1:105">
      <c r="A92" s="154" t="s">
        <v>726</v>
      </c>
      <c r="B92" s="155"/>
      <c r="C92" s="155"/>
      <c r="D92" s="155"/>
      <c r="E92" s="155"/>
      <c r="F92" s="155"/>
      <c r="G92" s="155"/>
      <c r="H92" s="155"/>
      <c r="I92" s="155"/>
      <c r="J92" s="155"/>
      <c r="K92" s="155"/>
      <c r="L92" s="155"/>
      <c r="M92" s="155"/>
      <c r="N92" s="155"/>
      <c r="O92" s="451"/>
      <c r="P92" s="451">
        <f t="shared" ref="P92:AF92" si="100">P122*1000000/AVERAGE(O83:P83)/3</f>
        <v>1956.9471624266143</v>
      </c>
      <c r="Q92" s="451">
        <f t="shared" si="100"/>
        <v>1956.9471624266143</v>
      </c>
      <c r="R92" s="451">
        <f t="shared" si="100"/>
        <v>2066.2393162393159</v>
      </c>
      <c r="S92" s="451">
        <f t="shared" si="100"/>
        <v>1928.8582903040733</v>
      </c>
      <c r="T92" s="451">
        <f t="shared" si="100"/>
        <v>1951.7635577861427</v>
      </c>
      <c r="U92" s="451">
        <f t="shared" si="100"/>
        <v>1892.403352257367</v>
      </c>
      <c r="V92" s="451">
        <f t="shared" si="100"/>
        <v>2090.6909182771251</v>
      </c>
      <c r="W92" s="451">
        <f t="shared" si="100"/>
        <v>2123.1422505307855</v>
      </c>
      <c r="X92" s="451">
        <f t="shared" si="100"/>
        <v>2090.5923344947737</v>
      </c>
      <c r="Y92" s="451">
        <f t="shared" si="100"/>
        <v>2031.144211238998</v>
      </c>
      <c r="Z92" s="451">
        <f t="shared" si="100"/>
        <v>2193.7040693210488</v>
      </c>
      <c r="AA92" s="451">
        <f t="shared" si="100"/>
        <v>2172.2602367763657</v>
      </c>
      <c r="AB92" s="451">
        <f t="shared" si="100"/>
        <v>2163.0975556997623</v>
      </c>
      <c r="AC92" s="451">
        <f t="shared" si="100"/>
        <v>2135.2054082163286</v>
      </c>
      <c r="AD92" s="451">
        <f t="shared" si="100"/>
        <v>2200.2200220022</v>
      </c>
      <c r="AE92" s="451">
        <f t="shared" si="100"/>
        <v>2192.9824561403507</v>
      </c>
      <c r="AF92" s="451">
        <f t="shared" si="100"/>
        <v>2190.3624054161687</v>
      </c>
      <c r="AG92" s="451">
        <f t="shared" ref="AG92" si="101">AG122*1000000/AVERAGE(AF83:AG83)/3</f>
        <v>2527.6037003879442</v>
      </c>
      <c r="AH92" s="451"/>
      <c r="AI92" s="451"/>
      <c r="AJ92" s="451"/>
      <c r="AK92" s="447"/>
      <c r="AL92" s="447"/>
      <c r="AM92" s="452"/>
      <c r="AN92" s="451"/>
      <c r="AO92" s="451"/>
      <c r="AT92" s="451"/>
      <c r="BR92" s="451"/>
      <c r="BS92" s="451"/>
      <c r="BT92" s="451"/>
      <c r="BU92" s="451"/>
      <c r="BV92" s="451"/>
      <c r="BW92" s="451"/>
      <c r="BX92" s="451"/>
      <c r="BY92" s="154"/>
      <c r="BZ92" s="154"/>
      <c r="CA92" s="154"/>
      <c r="CB92" s="154"/>
      <c r="CC92" s="154"/>
      <c r="CD92" s="154"/>
      <c r="CE92" s="451">
        <v>2107.6961553141095</v>
      </c>
      <c r="CF92" s="451"/>
      <c r="CG92" s="155"/>
      <c r="CH92" s="155"/>
      <c r="CI92" s="155"/>
      <c r="CJ92" s="155"/>
      <c r="CK92" s="452"/>
      <c r="CL92" s="451"/>
      <c r="CM92" s="451"/>
      <c r="CN92" s="451"/>
      <c r="CO92" s="451"/>
      <c r="CP92" s="451"/>
      <c r="CQ92" s="451"/>
      <c r="CR92" s="451"/>
      <c r="CS92" s="451"/>
      <c r="CT92" s="451"/>
      <c r="CU92" s="451"/>
      <c r="CV92" s="451"/>
      <c r="CW92" s="451">
        <v>2054.4179036261262</v>
      </c>
      <c r="CX92" s="452"/>
      <c r="CY92" s="451"/>
      <c r="CZ92" s="451"/>
      <c r="DA92" s="447"/>
    </row>
    <row r="93" spans="1:105">
      <c r="A93" s="154" t="s">
        <v>633</v>
      </c>
      <c r="B93" s="155"/>
      <c r="C93" s="155"/>
      <c r="D93" s="155"/>
      <c r="E93" s="155"/>
      <c r="F93" s="155"/>
      <c r="G93" s="155"/>
      <c r="H93" s="155"/>
      <c r="I93" s="155"/>
      <c r="J93" s="155"/>
      <c r="K93" s="155"/>
      <c r="L93" s="155"/>
      <c r="M93" s="155"/>
      <c r="N93" s="155"/>
      <c r="O93" s="155"/>
      <c r="P93" s="155"/>
      <c r="Q93" s="155"/>
      <c r="R93" s="155"/>
      <c r="S93" s="446"/>
      <c r="T93" s="446">
        <f t="shared" ref="T93:AF93" si="102">T92/P92-1</f>
        <v>-2.6488219712810235E-3</v>
      </c>
      <c r="U93" s="446">
        <f t="shared" si="102"/>
        <v>-3.298188699648541E-2</v>
      </c>
      <c r="V93" s="446">
        <f t="shared" si="102"/>
        <v>1.1833867377140317E-2</v>
      </c>
      <c r="W93" s="446">
        <f t="shared" si="102"/>
        <v>0.10072484910028545</v>
      </c>
      <c r="X93" s="446">
        <f t="shared" si="102"/>
        <v>7.1129915380786501E-2</v>
      </c>
      <c r="Y93" s="446">
        <f t="shared" si="102"/>
        <v>7.3314633910436022E-2</v>
      </c>
      <c r="Z93" s="446">
        <f t="shared" si="102"/>
        <v>4.9272300435883487E-2</v>
      </c>
      <c r="AA93" s="446">
        <f t="shared" si="102"/>
        <v>2.3134571521668201E-2</v>
      </c>
      <c r="AB93" s="446">
        <f t="shared" si="102"/>
        <v>3.4681664143052959E-2</v>
      </c>
      <c r="AC93" s="446">
        <f t="shared" si="102"/>
        <v>5.1232795978505719E-2</v>
      </c>
      <c r="AD93" s="446">
        <f t="shared" si="102"/>
        <v>2.9702970297027509E-3</v>
      </c>
      <c r="AE93" s="446">
        <f t="shared" si="102"/>
        <v>9.5394736842104866E-3</v>
      </c>
      <c r="AF93" s="446">
        <f t="shared" si="102"/>
        <v>1.2604540023894772E-2</v>
      </c>
      <c r="AG93" s="446">
        <f t="shared" ref="AG93" si="103">AG92/AC92-1</f>
        <v>0.18377543006478736</v>
      </c>
      <c r="AH93" s="446"/>
      <c r="AI93" s="446"/>
      <c r="AJ93" s="446"/>
      <c r="AK93" s="1083"/>
      <c r="AL93" s="1083"/>
      <c r="AM93" s="453"/>
      <c r="AN93" s="446"/>
      <c r="AO93" s="446"/>
      <c r="AT93" s="446"/>
      <c r="BR93" s="446"/>
      <c r="BS93" s="446"/>
      <c r="BT93" s="446"/>
      <c r="BU93" s="446"/>
      <c r="BV93" s="446"/>
      <c r="BW93" s="446"/>
      <c r="BX93" s="446"/>
      <c r="BY93" s="154"/>
      <c r="BZ93" s="154"/>
      <c r="CA93" s="154"/>
      <c r="CB93" s="154"/>
      <c r="CC93" s="154"/>
      <c r="CD93" s="154"/>
      <c r="CE93" s="446">
        <v>-3.9206707600063284E-2</v>
      </c>
      <c r="CF93" s="446"/>
      <c r="CG93" s="155"/>
      <c r="CH93" s="155"/>
      <c r="CI93" s="155"/>
      <c r="CJ93" s="155"/>
      <c r="CK93" s="453"/>
      <c r="CL93" s="446"/>
      <c r="CM93" s="446"/>
      <c r="CN93" s="446"/>
      <c r="CO93" s="446"/>
      <c r="CP93" s="446"/>
      <c r="CQ93" s="446"/>
      <c r="CR93" s="446"/>
      <c r="CS93" s="446"/>
      <c r="CT93" s="446"/>
      <c r="CU93" s="446"/>
      <c r="CV93" s="446"/>
      <c r="CW93" s="446">
        <v>-6.6267062801925625E-2</v>
      </c>
      <c r="CX93" s="453"/>
      <c r="CY93" s="446"/>
      <c r="CZ93" s="446"/>
      <c r="DA93" s="1083"/>
    </row>
    <row r="94" spans="1:105">
      <c r="A94" s="154"/>
      <c r="B94" s="155"/>
      <c r="C94" s="155"/>
      <c r="D94" s="155"/>
      <c r="E94" s="155"/>
      <c r="F94" s="155"/>
      <c r="G94" s="155"/>
      <c r="H94" s="155"/>
      <c r="I94" s="155"/>
      <c r="J94" s="155"/>
      <c r="K94" s="155"/>
      <c r="L94" s="155"/>
      <c r="M94" s="155"/>
      <c r="N94" s="155"/>
      <c r="O94" s="155"/>
      <c r="P94" s="155"/>
      <c r="Q94" s="155"/>
      <c r="R94" s="155"/>
      <c r="S94" s="155"/>
      <c r="T94" s="155"/>
      <c r="U94" s="155"/>
      <c r="V94" s="155"/>
      <c r="W94" s="155"/>
      <c r="X94" s="155"/>
      <c r="Y94" s="155"/>
      <c r="Z94" s="155"/>
      <c r="AA94" s="155"/>
      <c r="AB94" s="155"/>
      <c r="AC94" s="155"/>
      <c r="AD94" s="155"/>
      <c r="AE94" s="155"/>
      <c r="AF94" s="155"/>
      <c r="AG94" s="155"/>
      <c r="AH94" s="155"/>
      <c r="AI94" s="155"/>
      <c r="AJ94" s="155"/>
      <c r="AK94" s="1078"/>
      <c r="AL94" s="1078"/>
      <c r="AM94" s="408"/>
      <c r="AN94" s="155"/>
      <c r="AO94" s="155"/>
      <c r="AT94" s="155"/>
      <c r="BR94" s="155"/>
      <c r="BS94" s="155"/>
      <c r="BT94" s="155"/>
      <c r="BU94" s="155"/>
      <c r="BV94" s="155"/>
      <c r="BW94" s="155"/>
      <c r="BX94" s="155"/>
      <c r="BY94" s="154"/>
      <c r="BZ94" s="154"/>
      <c r="CA94" s="154"/>
      <c r="CB94" s="154"/>
      <c r="CC94" s="154"/>
      <c r="CD94" s="154"/>
      <c r="CE94" s="155"/>
      <c r="CF94" s="155"/>
      <c r="CG94" s="155"/>
      <c r="CH94" s="155"/>
      <c r="CI94" s="155"/>
      <c r="CJ94" s="155"/>
      <c r="CK94" s="408"/>
      <c r="CL94" s="155"/>
      <c r="CM94" s="155"/>
      <c r="CN94" s="155"/>
      <c r="CO94" s="155"/>
      <c r="CP94" s="155"/>
      <c r="CQ94" s="155"/>
      <c r="CR94" s="155"/>
      <c r="CS94" s="155"/>
      <c r="CT94" s="155"/>
      <c r="CU94" s="155"/>
      <c r="CV94" s="155"/>
      <c r="CW94" s="155"/>
      <c r="CX94" s="408"/>
      <c r="CY94" s="155"/>
      <c r="CZ94" s="155"/>
      <c r="DA94" s="1078"/>
    </row>
    <row r="95" spans="1:105">
      <c r="A95" s="154"/>
      <c r="B95" s="155"/>
      <c r="C95" s="155"/>
      <c r="D95" s="155"/>
      <c r="E95" s="155"/>
      <c r="F95" s="155"/>
      <c r="G95" s="155"/>
      <c r="H95" s="155"/>
      <c r="I95" s="155"/>
      <c r="J95" s="155"/>
      <c r="K95" s="155"/>
      <c r="L95" s="155"/>
      <c r="M95" s="155"/>
      <c r="N95" s="155"/>
      <c r="O95" s="155"/>
      <c r="P95" s="155"/>
      <c r="Q95" s="155"/>
      <c r="R95" s="155"/>
      <c r="S95" s="155"/>
      <c r="T95" s="155"/>
      <c r="U95" s="155"/>
      <c r="V95" s="155"/>
      <c r="W95" s="155"/>
      <c r="X95" s="155"/>
      <c r="Y95" s="155"/>
      <c r="Z95" s="155"/>
      <c r="AA95" s="155"/>
      <c r="AB95" s="155"/>
      <c r="AC95" s="155"/>
      <c r="AD95" s="155"/>
      <c r="AE95" s="155"/>
      <c r="AF95" s="155"/>
      <c r="AG95" s="155"/>
      <c r="AH95" s="155"/>
      <c r="AI95" s="155"/>
      <c r="AJ95" s="155"/>
      <c r="AK95" s="1078"/>
      <c r="AL95" s="1078"/>
      <c r="AM95" s="408"/>
      <c r="AN95" s="155"/>
      <c r="AO95" s="155"/>
      <c r="AT95" s="155"/>
      <c r="BR95" s="155"/>
      <c r="BS95" s="155"/>
      <c r="BT95" s="155"/>
      <c r="BU95" s="155"/>
      <c r="BV95" s="155"/>
      <c r="BW95" s="155"/>
      <c r="BX95" s="155"/>
      <c r="BY95" s="154"/>
      <c r="BZ95" s="154"/>
      <c r="CA95" s="154"/>
      <c r="CB95" s="154"/>
      <c r="CC95" s="154"/>
      <c r="CD95" s="154"/>
      <c r="CE95" s="155"/>
      <c r="CF95" s="155"/>
      <c r="CG95" s="155"/>
      <c r="CH95" s="155"/>
      <c r="CI95" s="155"/>
      <c r="CJ95" s="155"/>
      <c r="CK95" s="408"/>
      <c r="CL95" s="155"/>
      <c r="CM95" s="155"/>
      <c r="CN95" s="155"/>
      <c r="CO95" s="155"/>
      <c r="CP95" s="155"/>
      <c r="CQ95" s="155"/>
      <c r="CR95" s="155"/>
      <c r="CS95" s="155"/>
      <c r="CT95" s="155"/>
      <c r="CU95" s="155"/>
      <c r="CV95" s="155"/>
      <c r="CW95" s="155"/>
      <c r="CX95" s="408"/>
      <c r="CY95" s="155"/>
      <c r="CZ95" s="155"/>
      <c r="DA95" s="1078"/>
    </row>
    <row r="96" spans="1:105">
      <c r="A96" s="154"/>
      <c r="B96" s="155"/>
      <c r="C96" s="155"/>
      <c r="D96" s="155"/>
      <c r="E96" s="155"/>
      <c r="F96" s="155"/>
      <c r="G96" s="155"/>
      <c r="H96" s="155"/>
      <c r="I96" s="155"/>
      <c r="J96" s="155"/>
      <c r="K96" s="155"/>
      <c r="L96" s="155"/>
      <c r="M96" s="155"/>
      <c r="N96" s="155"/>
      <c r="O96" s="155"/>
      <c r="P96" s="155"/>
      <c r="Q96" s="155"/>
      <c r="R96" s="155"/>
      <c r="S96" s="155"/>
      <c r="T96" s="155"/>
      <c r="U96" s="155"/>
      <c r="V96" s="155"/>
      <c r="W96" s="155"/>
      <c r="X96" s="155"/>
      <c r="Y96" s="155"/>
      <c r="Z96" s="155"/>
      <c r="AA96" s="155"/>
      <c r="AB96" s="155"/>
      <c r="AC96" s="155"/>
      <c r="AD96" s="155"/>
      <c r="AE96" s="155"/>
      <c r="AF96" s="155"/>
      <c r="AG96" s="155"/>
      <c r="AH96" s="155"/>
      <c r="AI96" s="155"/>
      <c r="AJ96" s="155"/>
      <c r="AK96" s="1078"/>
      <c r="AL96" s="1078"/>
      <c r="AM96" s="408"/>
      <c r="AN96" s="155"/>
      <c r="AO96" s="155"/>
      <c r="AT96" s="155"/>
      <c r="BR96" s="155"/>
      <c r="BS96" s="155"/>
      <c r="BT96" s="155"/>
      <c r="BU96" s="155"/>
      <c r="BV96" s="155"/>
      <c r="BW96" s="155"/>
      <c r="BX96" s="155"/>
      <c r="BY96" s="154"/>
      <c r="BZ96" s="154"/>
      <c r="CA96" s="154"/>
      <c r="CB96" s="154"/>
      <c r="CC96" s="154"/>
      <c r="CD96" s="154"/>
      <c r="CE96" s="155"/>
      <c r="CF96" s="155"/>
      <c r="CG96" s="155"/>
      <c r="CH96" s="155"/>
      <c r="CI96" s="155"/>
      <c r="CJ96" s="155"/>
      <c r="CK96" s="408"/>
      <c r="CL96" s="155"/>
      <c r="CM96" s="155"/>
      <c r="CN96" s="155"/>
      <c r="CO96" s="155"/>
      <c r="CP96" s="155"/>
      <c r="CQ96" s="155"/>
      <c r="CR96" s="155"/>
      <c r="CS96" s="155"/>
      <c r="CT96" s="155"/>
      <c r="CU96" s="155"/>
      <c r="CV96" s="155"/>
      <c r="CW96" s="155"/>
      <c r="CX96" s="408"/>
      <c r="CY96" s="155"/>
      <c r="CZ96" s="155"/>
      <c r="DA96" s="1078"/>
    </row>
    <row r="97" spans="1:105" ht="26.25" customHeight="1">
      <c r="A97" s="163" t="s">
        <v>673</v>
      </c>
      <c r="B97" s="164"/>
      <c r="C97" s="164"/>
      <c r="D97" s="164"/>
      <c r="E97" s="164"/>
      <c r="F97" s="164"/>
      <c r="G97" s="164"/>
      <c r="H97" s="164"/>
      <c r="I97" s="164"/>
      <c r="J97" s="164"/>
      <c r="K97" s="164"/>
      <c r="L97" s="164"/>
      <c r="M97" s="164"/>
      <c r="N97" s="164"/>
      <c r="O97" s="164"/>
      <c r="P97" s="164"/>
      <c r="Q97" s="164"/>
      <c r="R97" s="164"/>
      <c r="S97" s="164"/>
      <c r="T97" s="164"/>
      <c r="U97" s="164"/>
      <c r="V97" s="164"/>
      <c r="W97" s="164"/>
      <c r="X97" s="164"/>
      <c r="Y97" s="164"/>
      <c r="Z97" s="164"/>
      <c r="AA97" s="657"/>
      <c r="AB97" s="164"/>
      <c r="AC97" s="164"/>
      <c r="AD97" s="164"/>
      <c r="AE97" s="164"/>
      <c r="AF97" s="164"/>
      <c r="AG97" s="164"/>
      <c r="AH97" s="164"/>
      <c r="AI97" s="164"/>
      <c r="AJ97" s="164"/>
      <c r="AK97" s="164"/>
      <c r="AL97" s="164"/>
      <c r="AM97" s="164"/>
      <c r="AN97" s="166"/>
      <c r="AT97" s="630"/>
      <c r="BR97" s="630"/>
      <c r="BS97" s="630"/>
      <c r="BT97" s="630"/>
      <c r="BU97" s="630"/>
      <c r="BV97" s="630"/>
      <c r="BW97" s="630"/>
      <c r="BX97" s="630"/>
      <c r="BY97" s="630"/>
      <c r="BZ97" s="154"/>
      <c r="CA97" s="154"/>
      <c r="CB97" s="154"/>
      <c r="CC97" s="154"/>
      <c r="CD97" s="154"/>
      <c r="CE97" s="164"/>
      <c r="CF97" s="630"/>
      <c r="CG97" s="155"/>
      <c r="CH97" s="155"/>
      <c r="CI97" s="155"/>
      <c r="CJ97" s="155"/>
      <c r="CK97" s="164"/>
      <c r="CL97" s="164"/>
      <c r="CM97" s="630"/>
      <c r="CN97" s="630"/>
      <c r="CO97" s="837" t="s">
        <v>797</v>
      </c>
      <c r="CP97" s="630"/>
      <c r="CQ97" s="164"/>
      <c r="CR97" s="630"/>
      <c r="CS97" s="837" t="s">
        <v>797</v>
      </c>
      <c r="CT97" s="630"/>
      <c r="CU97" s="630"/>
      <c r="CV97" s="630"/>
      <c r="CW97" s="164"/>
      <c r="CX97" s="164"/>
      <c r="CY97" s="630"/>
      <c r="CZ97" s="630"/>
      <c r="DA97" s="164"/>
    </row>
    <row r="98" spans="1:105">
      <c r="A98" s="154"/>
      <c r="B98" s="155"/>
      <c r="C98" s="155"/>
      <c r="D98" s="155"/>
      <c r="E98" s="155"/>
      <c r="F98" s="155"/>
      <c r="G98" s="155"/>
      <c r="H98" s="155"/>
      <c r="I98" s="155"/>
      <c r="J98" s="155"/>
      <c r="K98" s="155"/>
      <c r="L98" s="155"/>
      <c r="M98" s="155"/>
      <c r="N98" s="155"/>
      <c r="O98" s="155"/>
      <c r="P98" s="155"/>
      <c r="Q98" s="155"/>
      <c r="R98" s="155"/>
      <c r="S98" s="155"/>
      <c r="T98" s="155"/>
      <c r="U98" s="155"/>
      <c r="V98" s="155"/>
      <c r="W98" s="155"/>
      <c r="X98" s="155"/>
      <c r="Y98" s="155"/>
      <c r="Z98" s="155"/>
      <c r="AA98" s="156"/>
      <c r="AB98" s="155"/>
      <c r="AC98" s="155"/>
      <c r="AD98" s="155"/>
      <c r="AE98" s="155"/>
      <c r="AG98" s="155"/>
      <c r="AH98" s="155"/>
      <c r="AI98" s="155"/>
      <c r="AJ98" s="155"/>
      <c r="AK98" s="1078"/>
      <c r="AL98" s="1078"/>
      <c r="AM98" s="408"/>
      <c r="AN98" s="155"/>
      <c r="AO98" s="155"/>
      <c r="AT98" s="155"/>
      <c r="BR98" s="668"/>
      <c r="BS98" s="668"/>
      <c r="BT98" s="668"/>
      <c r="BU98" s="668"/>
      <c r="BV98" s="668"/>
      <c r="BW98" s="668"/>
      <c r="BX98" s="668"/>
      <c r="BY98" s="347"/>
      <c r="BZ98" s="154"/>
      <c r="CA98" s="154">
        <v>180.5</v>
      </c>
      <c r="CB98" s="154"/>
      <c r="CC98" s="154"/>
      <c r="CD98" s="154"/>
      <c r="CE98" s="155"/>
      <c r="CF98" s="155"/>
      <c r="CG98" s="155"/>
      <c r="CH98" s="155"/>
      <c r="CI98" s="155"/>
      <c r="CJ98" s="155"/>
      <c r="CK98" s="408"/>
      <c r="CL98" s="155"/>
      <c r="CM98" s="668"/>
      <c r="CN98" s="668"/>
      <c r="CO98" s="668"/>
      <c r="CP98" s="668"/>
      <c r="CQ98" s="847"/>
      <c r="CR98" s="668"/>
      <c r="CS98" s="668"/>
      <c r="CT98" s="668"/>
      <c r="CU98" s="668"/>
      <c r="CV98" s="668"/>
      <c r="CW98" s="155"/>
      <c r="CX98" s="408"/>
      <c r="CY98" s="668"/>
      <c r="CZ98" s="668"/>
      <c r="DA98" s="1078"/>
    </row>
    <row r="99" spans="1:105">
      <c r="A99" s="443" t="s">
        <v>161</v>
      </c>
      <c r="B99" s="457"/>
      <c r="C99" s="457"/>
      <c r="D99" s="457"/>
      <c r="E99" s="457"/>
      <c r="F99" s="457"/>
      <c r="G99" s="457"/>
      <c r="H99" s="457"/>
      <c r="I99" s="457"/>
      <c r="J99" s="457"/>
      <c r="K99" s="457"/>
      <c r="L99" s="457"/>
      <c r="M99" s="457"/>
      <c r="N99" s="457"/>
      <c r="O99" s="457">
        <v>332.589</v>
      </c>
      <c r="P99" s="457">
        <v>332</v>
      </c>
      <c r="Q99" s="457">
        <v>368</v>
      </c>
      <c r="R99" s="457">
        <v>371</v>
      </c>
      <c r="S99" s="457">
        <v>361.65</v>
      </c>
      <c r="T99" s="457">
        <v>402</v>
      </c>
      <c r="U99" s="457">
        <v>401</v>
      </c>
      <c r="V99" s="457">
        <v>416</v>
      </c>
      <c r="W99" s="457">
        <v>446.1</v>
      </c>
      <c r="X99" s="457">
        <v>468</v>
      </c>
      <c r="Y99" s="457">
        <v>521</v>
      </c>
      <c r="Z99" s="457">
        <v>526</v>
      </c>
      <c r="AA99" s="457">
        <v>603</v>
      </c>
      <c r="AB99" s="457">
        <v>546.20000000000005</v>
      </c>
      <c r="AC99" s="457">
        <v>467.02300000000002</v>
      </c>
      <c r="AD99" s="457">
        <v>509.8</v>
      </c>
      <c r="AE99" s="457">
        <v>418</v>
      </c>
      <c r="AF99" s="457">
        <v>435</v>
      </c>
      <c r="AG99" s="457">
        <v>420.28199999999998</v>
      </c>
      <c r="AH99" s="457">
        <v>437.8</v>
      </c>
      <c r="AI99" s="457">
        <v>439.6</v>
      </c>
      <c r="AJ99" s="457">
        <v>433</v>
      </c>
      <c r="AK99" s="471">
        <f t="shared" ref="AK99" si="104">AK110+AK114+AK118+AK122</f>
        <v>435</v>
      </c>
      <c r="AL99" s="471">
        <f>AL110+AL114+AL118+AL122</f>
        <v>417.37774051981989</v>
      </c>
      <c r="AM99" s="459">
        <f>Consolidation!K10</f>
        <v>1725.2777405198199</v>
      </c>
      <c r="AN99" s="444"/>
      <c r="AO99" s="444">
        <f>4*AI99</f>
        <v>1758.4</v>
      </c>
      <c r="AP99" t="str">
        <f>Consolidation!K13</f>
        <v>1700-1730</v>
      </c>
      <c r="AQ99" s="953"/>
      <c r="AR99">
        <v>411.5</v>
      </c>
      <c r="AS99" s="46">
        <f>AI99/AR99-1</f>
        <v>6.8286755771567398E-2</v>
      </c>
      <c r="AT99" s="458"/>
      <c r="AU99" s="47"/>
      <c r="AV99" s="1114">
        <f>AJ99/DA99-1</f>
        <v>2.1226415094339535E-2</v>
      </c>
      <c r="AW99" s="458">
        <v>416.2</v>
      </c>
      <c r="AX99" s="1114">
        <f>AJ99/AW99-1</f>
        <v>4.0365209034118221E-2</v>
      </c>
      <c r="BR99" s="665"/>
      <c r="BS99" s="665"/>
      <c r="BT99" s="665"/>
      <c r="BU99" s="665"/>
      <c r="BV99" s="665"/>
      <c r="BW99" s="665"/>
      <c r="BX99" s="665"/>
      <c r="BY99" s="461"/>
      <c r="BZ99" s="154"/>
      <c r="CA99" s="167">
        <f>CA98+AC99</f>
        <v>647.52300000000002</v>
      </c>
      <c r="CB99" s="154"/>
      <c r="CC99" s="154"/>
      <c r="CD99" s="154"/>
      <c r="CE99" s="458">
        <v>471.552365479728</v>
      </c>
      <c r="CF99" s="108">
        <f>AD99/CE99-1</f>
        <v>8.1110046985685802E-2</v>
      </c>
      <c r="CG99" s="458">
        <v>472</v>
      </c>
      <c r="CH99" s="446">
        <f>AD99/CG99-1</f>
        <v>8.0084745762711851E-2</v>
      </c>
      <c r="CI99" s="446"/>
      <c r="CJ99" s="446"/>
      <c r="CK99" s="459">
        <f>Consolidation!I10</f>
        <v>2125.5389999999998</v>
      </c>
      <c r="CL99" s="458">
        <v>400</v>
      </c>
      <c r="CM99" s="665">
        <f>AE99/CL99-1</f>
        <v>4.4999999999999929E-2</v>
      </c>
      <c r="CN99" s="457">
        <v>395.3</v>
      </c>
      <c r="CO99" s="665">
        <f>AE99/CN99-1</f>
        <v>5.7424740703263311E-2</v>
      </c>
      <c r="CP99" s="665"/>
      <c r="CQ99" s="458">
        <v>438.5</v>
      </c>
      <c r="CR99" s="665">
        <f>AF99/CQ99-1</f>
        <v>-7.9817559863170073E-3</v>
      </c>
      <c r="CS99" s="457">
        <v>434.2</v>
      </c>
      <c r="CT99" s="665">
        <f>AF99/CS99-1</f>
        <v>1.8424689083371693E-3</v>
      </c>
      <c r="CU99" s="665"/>
      <c r="CV99" s="665"/>
      <c r="CW99" s="458">
        <v>417.55860894868664</v>
      </c>
      <c r="CX99" s="459">
        <f>Consolidation!J10</f>
        <v>1711.2249999999999</v>
      </c>
      <c r="CY99" s="665"/>
      <c r="CZ99" s="665"/>
      <c r="DA99" s="471">
        <v>424</v>
      </c>
    </row>
    <row r="100" spans="1:105">
      <c r="A100" s="154" t="s">
        <v>633</v>
      </c>
      <c r="B100" s="155"/>
      <c r="C100" s="155"/>
      <c r="D100" s="155"/>
      <c r="E100" s="155"/>
      <c r="F100" s="155"/>
      <c r="G100" s="155"/>
      <c r="H100" s="155"/>
      <c r="I100" s="155"/>
      <c r="J100" s="155"/>
      <c r="K100" s="155"/>
      <c r="L100" s="155"/>
      <c r="M100" s="155"/>
      <c r="N100" s="155"/>
      <c r="O100" s="155"/>
      <c r="P100" s="155"/>
      <c r="Q100" s="155"/>
      <c r="R100" s="155"/>
      <c r="S100" s="446">
        <f t="shared" ref="S100:Y100" si="105">S99/O99-1</f>
        <v>8.7378115331535167E-2</v>
      </c>
      <c r="T100" s="446">
        <f t="shared" si="105"/>
        <v>0.21084337349397586</v>
      </c>
      <c r="U100" s="446">
        <f t="shared" si="105"/>
        <v>8.9673913043478271E-2</v>
      </c>
      <c r="V100" s="446">
        <f t="shared" si="105"/>
        <v>0.12129380053908356</v>
      </c>
      <c r="W100" s="446">
        <f t="shared" si="105"/>
        <v>0.23351306511820846</v>
      </c>
      <c r="X100" s="446">
        <f t="shared" si="105"/>
        <v>0.16417910447761197</v>
      </c>
      <c r="Y100" s="446">
        <f t="shared" si="105"/>
        <v>0.29925187032418954</v>
      </c>
      <c r="Z100" s="446">
        <f>Z99/V99-1</f>
        <v>0.26442307692307687</v>
      </c>
      <c r="AA100" s="446">
        <f>AA99/W99-1</f>
        <v>0.35171486213853398</v>
      </c>
      <c r="AB100" s="446">
        <f t="shared" ref="AB100:AJ100" si="106">AB99/X99-1</f>
        <v>0.16709401709401717</v>
      </c>
      <c r="AC100" s="446">
        <f t="shared" si="106"/>
        <v>-0.10360268714011511</v>
      </c>
      <c r="AD100" s="446">
        <f t="shared" si="106"/>
        <v>-3.0798479087452479E-2</v>
      </c>
      <c r="AE100" s="446">
        <f t="shared" si="106"/>
        <v>-0.30679933665008297</v>
      </c>
      <c r="AF100" s="446">
        <f t="shared" si="106"/>
        <v>-0.20358842914683273</v>
      </c>
      <c r="AG100" s="446">
        <f t="shared" si="106"/>
        <v>-0.10008286529785482</v>
      </c>
      <c r="AH100" s="446">
        <f t="shared" si="106"/>
        <v>-0.14123185562965868</v>
      </c>
      <c r="AI100" s="446">
        <f>AI99/AE99-1</f>
        <v>5.1674641148325318E-2</v>
      </c>
      <c r="AJ100" s="446">
        <f t="shared" si="106"/>
        <v>-4.5977011494252595E-3</v>
      </c>
      <c r="AK100" s="1089">
        <f>AK99/AG99-1</f>
        <v>3.5019344154639143E-2</v>
      </c>
      <c r="AL100" s="1089">
        <f>AL99/AH99-1</f>
        <v>-4.6647463408360235E-2</v>
      </c>
      <c r="AM100" s="453"/>
      <c r="AN100" s="446"/>
      <c r="AO100" s="46">
        <f>AO99/1710-1</f>
        <v>2.8304093567251609E-2</v>
      </c>
      <c r="AT100" s="446"/>
      <c r="BR100" s="446"/>
      <c r="BS100" s="446"/>
      <c r="BT100" s="446"/>
      <c r="BU100" s="446"/>
      <c r="BV100" s="446"/>
      <c r="BW100" s="446"/>
      <c r="BX100" s="446"/>
      <c r="BY100" s="154"/>
      <c r="BZ100" s="154"/>
      <c r="CA100" s="167">
        <f>Y99-18</f>
        <v>503</v>
      </c>
      <c r="CB100" s="154"/>
      <c r="CC100" s="154"/>
      <c r="CD100" s="154"/>
      <c r="CE100" s="446">
        <v>-0.10351261315641069</v>
      </c>
      <c r="CF100" s="446"/>
      <c r="CG100" s="155"/>
      <c r="CH100" s="155"/>
      <c r="CI100" s="446"/>
      <c r="CJ100" s="155"/>
      <c r="CK100" s="453"/>
      <c r="CL100" s="446"/>
      <c r="CM100" s="446"/>
      <c r="CN100" s="446"/>
      <c r="CO100" s="446"/>
      <c r="CP100" s="446"/>
      <c r="CQ100" s="446"/>
      <c r="CR100" s="446"/>
      <c r="CS100" s="446"/>
      <c r="CT100" s="446"/>
      <c r="CU100" s="446"/>
      <c r="CV100" s="446"/>
      <c r="CW100" s="446">
        <v>-0.18125762951237911</v>
      </c>
      <c r="CX100" s="453"/>
      <c r="CY100" s="446"/>
      <c r="CZ100" s="446"/>
      <c r="DA100" s="1089">
        <v>-2.5287356321839094E-2</v>
      </c>
    </row>
    <row r="101" spans="1:105">
      <c r="A101" s="154" t="s">
        <v>634</v>
      </c>
      <c r="B101" s="155"/>
      <c r="C101" s="155"/>
      <c r="D101" s="155"/>
      <c r="E101" s="155"/>
      <c r="F101" s="155"/>
      <c r="G101" s="155"/>
      <c r="H101" s="155"/>
      <c r="I101" s="155"/>
      <c r="J101" s="155"/>
      <c r="K101" s="155"/>
      <c r="L101" s="155"/>
      <c r="M101" s="155"/>
      <c r="N101" s="155"/>
      <c r="O101" s="155"/>
      <c r="P101" s="155"/>
      <c r="Q101" s="155"/>
      <c r="R101" s="155"/>
      <c r="S101" s="155"/>
      <c r="T101" s="461">
        <v>0.24399999999999999</v>
      </c>
      <c r="U101" s="461">
        <v>0.11799999999999999</v>
      </c>
      <c r="V101" s="461">
        <v>0.14499999999999999</v>
      </c>
      <c r="W101" s="461">
        <v>0.215</v>
      </c>
      <c r="X101" s="461">
        <v>9.9000000000000005E-2</v>
      </c>
      <c r="Y101" s="462">
        <v>0.186</v>
      </c>
      <c r="Z101" s="461">
        <v>0.23499999999999999</v>
      </c>
      <c r="AA101" s="461">
        <v>0.38</v>
      </c>
      <c r="AB101" s="461">
        <v>0.29699999999999999</v>
      </c>
      <c r="AC101" s="461">
        <v>0.30599999999999999</v>
      </c>
      <c r="AD101" s="461">
        <v>0.48399999999999999</v>
      </c>
      <c r="AE101" s="461">
        <v>0.35499999999999998</v>
      </c>
      <c r="AF101" s="461">
        <v>0.69299999999999995</v>
      </c>
      <c r="AG101" s="461">
        <v>0.49</v>
      </c>
      <c r="AH101" s="461">
        <v>0.39300000000000002</v>
      </c>
      <c r="AI101" s="461">
        <v>0.25600000000000001</v>
      </c>
      <c r="AJ101" s="461">
        <v>0.111</v>
      </c>
      <c r="AK101" s="1089"/>
      <c r="AL101" s="1089"/>
      <c r="AM101" s="463"/>
      <c r="AN101" s="461"/>
      <c r="AT101" s="461"/>
      <c r="BR101" s="668"/>
      <c r="BS101" s="668"/>
      <c r="BT101" s="668"/>
      <c r="BU101" s="668"/>
      <c r="BV101" s="668"/>
      <c r="BW101" s="668"/>
      <c r="BX101" s="668"/>
      <c r="BY101" s="154"/>
      <c r="BZ101" s="154"/>
      <c r="CA101" s="154">
        <f>CA99/CA100-1</f>
        <v>0.28732206759443346</v>
      </c>
      <c r="CB101" s="154"/>
      <c r="CC101" s="154"/>
      <c r="CD101" s="154"/>
      <c r="CE101" s="461"/>
      <c r="CF101" s="461"/>
      <c r="CG101" s="155"/>
      <c r="CH101" s="155"/>
      <c r="CI101" s="155"/>
      <c r="CJ101" s="155"/>
      <c r="CK101" s="463"/>
      <c r="CL101" s="461"/>
      <c r="CM101" s="668"/>
      <c r="CN101" s="668"/>
      <c r="CO101" s="668"/>
      <c r="CP101" s="668"/>
      <c r="CQ101" s="461"/>
      <c r="CR101" s="668"/>
      <c r="CS101" s="668"/>
      <c r="CT101" s="668"/>
      <c r="CU101" s="668"/>
      <c r="CV101" s="668"/>
      <c r="CW101" s="950">
        <v>0.38200000000000001</v>
      </c>
      <c r="CX101" s="463"/>
      <c r="CY101" s="668"/>
      <c r="CZ101" s="668"/>
      <c r="DA101" s="1089"/>
    </row>
    <row r="102" spans="1:105" hidden="1" outlineLevel="1">
      <c r="A102" s="154" t="s">
        <v>53</v>
      </c>
      <c r="B102" s="155"/>
      <c r="C102" s="155"/>
      <c r="D102" s="155"/>
      <c r="E102" s="155"/>
      <c r="F102" s="155"/>
      <c r="G102" s="155"/>
      <c r="H102" s="155"/>
      <c r="I102" s="155"/>
      <c r="J102" s="155"/>
      <c r="K102" s="155"/>
      <c r="L102" s="155"/>
      <c r="M102" s="155"/>
      <c r="N102" s="155"/>
      <c r="O102" s="155"/>
      <c r="P102" s="155"/>
      <c r="Q102" s="155"/>
      <c r="R102" s="155"/>
      <c r="S102" s="155"/>
      <c r="T102" s="155"/>
      <c r="U102" s="155"/>
      <c r="V102" s="155"/>
      <c r="W102" s="444">
        <f>S99+17+12+6+6+9</f>
        <v>411.65</v>
      </c>
      <c r="X102" s="444">
        <f>T99+23+7+5+6+14-15</f>
        <v>442</v>
      </c>
      <c r="Y102" s="444">
        <f>U99+20+7+4+7+8+22+5+21</f>
        <v>495</v>
      </c>
      <c r="Z102" s="444">
        <f>V99+23+13+4+8+12+37+5-5</f>
        <v>513</v>
      </c>
      <c r="AA102" s="444">
        <f>W99+33+15+5+7+20+23+5+63</f>
        <v>617.1</v>
      </c>
      <c r="AB102" s="444">
        <f>X99+37+20+6+6+13+24+6+27</f>
        <v>607</v>
      </c>
      <c r="AD102" s="444"/>
      <c r="AE102" s="444"/>
      <c r="AF102" s="444"/>
      <c r="AG102" s="444"/>
      <c r="AH102" s="444"/>
      <c r="AI102" s="444"/>
      <c r="AJ102" s="444"/>
      <c r="AK102" s="447"/>
      <c r="AL102" s="447"/>
      <c r="AM102" s="445"/>
      <c r="AN102" s="444"/>
      <c r="AT102" s="444"/>
      <c r="BR102" s="444"/>
      <c r="BS102" s="444"/>
      <c r="BT102" s="444"/>
      <c r="BU102" s="444"/>
      <c r="BV102" s="444"/>
      <c r="BW102" s="444"/>
      <c r="BX102" s="444"/>
      <c r="BY102" s="154"/>
      <c r="BZ102" s="154"/>
      <c r="CA102" s="154"/>
      <c r="CB102" s="154"/>
      <c r="CC102" s="154"/>
      <c r="CD102" s="154"/>
      <c r="CE102" s="444"/>
      <c r="CG102" s="446"/>
      <c r="CH102" s="446"/>
      <c r="CI102" s="446"/>
      <c r="CJ102" s="446"/>
      <c r="CK102" s="445"/>
      <c r="CL102" s="444"/>
      <c r="CM102" s="444"/>
      <c r="CN102" s="444"/>
      <c r="CO102" s="444"/>
      <c r="CP102" s="444"/>
      <c r="CQ102" s="444"/>
      <c r="CR102" s="444"/>
      <c r="CS102" s="444"/>
      <c r="CT102" s="444"/>
      <c r="CU102" s="444"/>
      <c r="CV102" s="444"/>
      <c r="CW102" s="444"/>
      <c r="CX102" s="445"/>
      <c r="CY102" s="444"/>
      <c r="CZ102" s="444"/>
      <c r="DA102" s="447"/>
    </row>
    <row r="103" spans="1:105" hidden="1" outlineLevel="1">
      <c r="A103" s="154" t="s">
        <v>633</v>
      </c>
      <c r="B103" s="155"/>
      <c r="C103" s="155"/>
      <c r="D103" s="155"/>
      <c r="E103" s="155"/>
      <c r="F103" s="155"/>
      <c r="G103" s="155"/>
      <c r="H103" s="155"/>
      <c r="I103" s="155"/>
      <c r="J103" s="155"/>
      <c r="K103" s="155"/>
      <c r="L103" s="155"/>
      <c r="M103" s="155"/>
      <c r="N103" s="155"/>
      <c r="O103" s="155"/>
      <c r="P103" s="155"/>
      <c r="Q103" s="155"/>
      <c r="R103" s="155"/>
      <c r="S103" s="155"/>
      <c r="T103" s="155"/>
      <c r="U103" s="155"/>
      <c r="V103" s="155"/>
      <c r="W103" s="446">
        <f t="shared" ref="W103:AB103" si="107">W102/S99-1</f>
        <v>0.13825521913452232</v>
      </c>
      <c r="X103" s="446">
        <f t="shared" si="107"/>
        <v>9.9502487562189046E-2</v>
      </c>
      <c r="Y103" s="446">
        <f t="shared" si="107"/>
        <v>0.23441396508728185</v>
      </c>
      <c r="Z103" s="446">
        <f t="shared" si="107"/>
        <v>0.23317307692307687</v>
      </c>
      <c r="AA103" s="446">
        <f t="shared" si="107"/>
        <v>0.38332212508406194</v>
      </c>
      <c r="AB103" s="446">
        <f t="shared" si="107"/>
        <v>0.29700854700854706</v>
      </c>
      <c r="AC103" s="446"/>
      <c r="AD103" s="446"/>
      <c r="AE103" s="446"/>
      <c r="AF103" s="446"/>
      <c r="AG103" s="446"/>
      <c r="AH103" s="446"/>
      <c r="AI103" s="446"/>
      <c r="AJ103" s="446"/>
      <c r="AK103" s="1089"/>
      <c r="AL103" s="1089"/>
      <c r="AM103" s="453"/>
      <c r="AN103" s="446"/>
      <c r="AT103" s="446"/>
      <c r="BR103" s="446"/>
      <c r="BS103" s="446"/>
      <c r="BT103" s="446"/>
      <c r="BU103" s="446"/>
      <c r="BV103" s="446"/>
      <c r="BW103" s="446"/>
      <c r="BX103" s="446"/>
      <c r="BY103" s="154"/>
      <c r="BZ103" s="154"/>
      <c r="CA103" s="154"/>
      <c r="CB103" s="154"/>
      <c r="CC103" s="154"/>
      <c r="CD103" s="154"/>
      <c r="CE103" s="446"/>
      <c r="CF103" s="446"/>
      <c r="CG103" s="155"/>
      <c r="CH103" s="155"/>
      <c r="CI103" s="155"/>
      <c r="CJ103" s="155"/>
      <c r="CK103" s="453"/>
      <c r="CL103" s="446"/>
      <c r="CM103" s="446"/>
      <c r="CN103" s="446"/>
      <c r="CO103" s="446"/>
      <c r="CP103" s="446"/>
      <c r="CQ103" s="446"/>
      <c r="CR103" s="446"/>
      <c r="CS103" s="446"/>
      <c r="CT103" s="446"/>
      <c r="CU103" s="446"/>
      <c r="CV103" s="446"/>
      <c r="CW103" s="446"/>
      <c r="CX103" s="453"/>
      <c r="CY103" s="446"/>
      <c r="CZ103" s="446"/>
      <c r="DA103" s="1089"/>
    </row>
    <row r="104" spans="1:105" hidden="1" outlineLevel="1">
      <c r="A104" s="154"/>
      <c r="B104" s="155"/>
      <c r="C104" s="155"/>
      <c r="D104" s="155"/>
      <c r="E104" s="155"/>
      <c r="F104" s="155"/>
      <c r="G104" s="155"/>
      <c r="H104" s="155"/>
      <c r="I104" s="155"/>
      <c r="J104" s="155"/>
      <c r="K104" s="155"/>
      <c r="L104" s="155"/>
      <c r="M104" s="155"/>
      <c r="N104" s="155"/>
      <c r="O104" s="155"/>
      <c r="P104" s="155"/>
      <c r="Q104" s="155"/>
      <c r="R104" s="155"/>
      <c r="S104" s="155"/>
      <c r="T104" s="155"/>
      <c r="U104" s="155"/>
      <c r="V104" s="155"/>
      <c r="W104" s="446"/>
      <c r="X104" s="446"/>
      <c r="Y104" s="446"/>
      <c r="Z104" s="446"/>
      <c r="AA104" s="446">
        <f>AB104/X99-1</f>
        <v>0.27136752136752129</v>
      </c>
      <c r="AB104" s="444">
        <f>AB102-12</f>
        <v>595</v>
      </c>
      <c r="AD104" s="446"/>
      <c r="AE104" s="446"/>
      <c r="AF104" s="446"/>
      <c r="AG104" s="446"/>
      <c r="AH104" s="446"/>
      <c r="AI104" s="446"/>
      <c r="AJ104" s="446"/>
      <c r="AK104" s="1089"/>
      <c r="AL104" s="1089"/>
      <c r="AM104" s="453"/>
      <c r="AN104" s="446"/>
      <c r="AT104" s="446"/>
      <c r="BR104" s="446"/>
      <c r="BS104" s="446"/>
      <c r="BT104" s="446"/>
      <c r="BU104" s="446"/>
      <c r="BV104" s="446"/>
      <c r="BW104" s="446"/>
      <c r="BX104" s="446"/>
      <c r="BY104" s="154"/>
      <c r="BZ104" s="154"/>
      <c r="CA104" s="154"/>
      <c r="CB104" s="154"/>
      <c r="CC104" s="154"/>
      <c r="CD104" s="154"/>
      <c r="CE104" s="446"/>
      <c r="CF104" s="446"/>
      <c r="CG104" s="155"/>
      <c r="CH104" s="155"/>
      <c r="CI104" s="155"/>
      <c r="CJ104" s="155"/>
      <c r="CK104" s="453"/>
      <c r="CL104" s="446"/>
      <c r="CM104" s="446"/>
      <c r="CN104" s="446"/>
      <c r="CO104" s="446"/>
      <c r="CP104" s="446"/>
      <c r="CQ104" s="446"/>
      <c r="CR104" s="446"/>
      <c r="CS104" s="446"/>
      <c r="CT104" s="446"/>
      <c r="CU104" s="446"/>
      <c r="CV104" s="446"/>
      <c r="CW104" s="446"/>
      <c r="CX104" s="453"/>
      <c r="CY104" s="446"/>
      <c r="CZ104" s="446"/>
      <c r="DA104" s="1089"/>
    </row>
    <row r="105" spans="1:105" hidden="1" outlineLevel="1">
      <c r="A105" s="154" t="s">
        <v>841</v>
      </c>
      <c r="B105" s="155"/>
      <c r="C105" s="155"/>
      <c r="D105" s="155"/>
      <c r="E105" s="155"/>
      <c r="F105" s="155"/>
      <c r="G105" s="155"/>
      <c r="H105" s="155"/>
      <c r="I105" s="155"/>
      <c r="J105" s="155"/>
      <c r="K105" s="155"/>
      <c r="L105" s="155"/>
      <c r="M105" s="155"/>
      <c r="N105" s="155"/>
      <c r="O105" s="155"/>
      <c r="P105" s="155"/>
      <c r="Q105" s="155"/>
      <c r="R105" s="155"/>
      <c r="S105" s="155"/>
      <c r="T105" s="155"/>
      <c r="U105" s="155"/>
      <c r="V105" s="155"/>
      <c r="W105" s="446"/>
      <c r="X105" s="446"/>
      <c r="Y105" s="444">
        <v>18</v>
      </c>
      <c r="Z105" s="446"/>
      <c r="AA105" s="444">
        <v>48</v>
      </c>
      <c r="AB105" s="444">
        <v>12</v>
      </c>
      <c r="AC105" s="446"/>
      <c r="AD105" s="446"/>
      <c r="AE105" s="446"/>
      <c r="AF105" s="446"/>
      <c r="AG105" s="446"/>
      <c r="AH105" s="446"/>
      <c r="AI105" s="446"/>
      <c r="AJ105" s="446"/>
      <c r="AK105" s="1089"/>
      <c r="AL105" s="1089"/>
      <c r="AM105" s="453"/>
      <c r="AN105" s="446"/>
      <c r="AT105" s="446"/>
      <c r="BR105" s="446"/>
      <c r="BS105" s="446"/>
      <c r="BT105" s="446"/>
      <c r="BU105" s="446"/>
      <c r="BV105" s="446"/>
      <c r="BW105" s="446"/>
      <c r="BX105" s="446"/>
      <c r="BY105" s="154"/>
      <c r="BZ105" s="154"/>
      <c r="CA105" s="154"/>
      <c r="CB105" s="154"/>
      <c r="CC105" s="154"/>
      <c r="CD105" s="154"/>
      <c r="CE105" s="446"/>
      <c r="CF105" s="446"/>
      <c r="CG105" s="155"/>
      <c r="CH105" s="155"/>
      <c r="CI105" s="155"/>
      <c r="CJ105" s="155"/>
      <c r="CK105" s="453"/>
      <c r="CL105" s="446"/>
      <c r="CM105" s="446"/>
      <c r="CN105" s="446"/>
      <c r="CO105" s="446"/>
      <c r="CP105" s="446"/>
      <c r="CQ105" s="446"/>
      <c r="CR105" s="446"/>
      <c r="CS105" s="446"/>
      <c r="CT105" s="446"/>
      <c r="CU105" s="446"/>
      <c r="CV105" s="446"/>
      <c r="CW105" s="446"/>
      <c r="CX105" s="453"/>
      <c r="CY105" s="446"/>
      <c r="CZ105" s="446"/>
      <c r="DA105" s="1089"/>
    </row>
    <row r="106" spans="1:105" hidden="1" outlineLevel="1">
      <c r="A106" s="154" t="s">
        <v>748</v>
      </c>
      <c r="B106" s="155"/>
      <c r="C106" s="155"/>
      <c r="D106" s="155"/>
      <c r="E106" s="155"/>
      <c r="F106" s="155"/>
      <c r="G106" s="155"/>
      <c r="H106" s="155"/>
      <c r="I106" s="155"/>
      <c r="J106" s="155"/>
      <c r="K106" s="155"/>
      <c r="L106" s="155"/>
      <c r="M106" s="155"/>
      <c r="N106" s="155"/>
      <c r="O106" s="155"/>
      <c r="P106" s="155"/>
      <c r="Q106" s="155"/>
      <c r="R106" s="155"/>
      <c r="S106" s="155"/>
      <c r="T106" s="155"/>
      <c r="U106" s="155"/>
      <c r="V106" s="155"/>
      <c r="W106" s="444">
        <v>12</v>
      </c>
      <c r="X106" s="444">
        <v>8</v>
      </c>
      <c r="Y106" s="444">
        <v>22</v>
      </c>
      <c r="Z106" s="444">
        <v>37</v>
      </c>
      <c r="AA106" s="444">
        <v>23</v>
      </c>
      <c r="AB106" s="444">
        <v>24</v>
      </c>
      <c r="AC106" s="444"/>
      <c r="AD106" s="444"/>
      <c r="AE106" s="444"/>
      <c r="AF106" s="444"/>
      <c r="AG106" s="444"/>
      <c r="AH106" s="444"/>
      <c r="AI106" s="444"/>
      <c r="AJ106" s="444"/>
      <c r="AK106" s="447"/>
      <c r="AL106" s="447"/>
      <c r="AM106" s="445"/>
      <c r="AN106" s="444"/>
      <c r="AT106" s="444"/>
      <c r="BR106" s="444"/>
      <c r="BS106" s="444"/>
      <c r="BT106" s="444"/>
      <c r="BU106" s="444"/>
      <c r="BV106" s="444"/>
      <c r="BW106" s="444"/>
      <c r="BX106" s="444"/>
      <c r="BY106" s="154"/>
      <c r="BZ106" s="154"/>
      <c r="CA106" s="154"/>
      <c r="CB106" s="154"/>
      <c r="CC106" s="154"/>
      <c r="CD106" s="154"/>
      <c r="CE106" s="444"/>
      <c r="CF106" s="444"/>
      <c r="CG106" s="155"/>
      <c r="CH106" s="155"/>
      <c r="CI106" s="155"/>
      <c r="CJ106" s="155"/>
      <c r="CK106" s="445"/>
      <c r="CL106" s="444"/>
      <c r="CM106" s="444"/>
      <c r="CN106" s="444"/>
      <c r="CO106" s="444"/>
      <c r="CP106" s="444"/>
      <c r="CQ106" s="444"/>
      <c r="CR106" s="444"/>
      <c r="CS106" s="444"/>
      <c r="CT106" s="444"/>
      <c r="CU106" s="444"/>
      <c r="CV106" s="444"/>
      <c r="CW106" s="444"/>
      <c r="CX106" s="445"/>
      <c r="CY106" s="444"/>
      <c r="CZ106" s="444"/>
      <c r="DA106" s="447"/>
    </row>
    <row r="107" spans="1:105" hidden="1" outlineLevel="1">
      <c r="A107" s="154" t="s">
        <v>749</v>
      </c>
      <c r="B107" s="155"/>
      <c r="C107" s="155"/>
      <c r="D107" s="155"/>
      <c r="E107" s="155"/>
      <c r="F107" s="155"/>
      <c r="G107" s="155"/>
      <c r="H107" s="155"/>
      <c r="I107" s="155"/>
      <c r="J107" s="155"/>
      <c r="K107" s="155"/>
      <c r="L107" s="155"/>
      <c r="M107" s="155"/>
      <c r="N107" s="155"/>
      <c r="O107" s="155"/>
      <c r="P107" s="155"/>
      <c r="Q107" s="155"/>
      <c r="R107" s="155"/>
      <c r="S107" s="155"/>
      <c r="T107" s="155"/>
      <c r="U107" s="155"/>
      <c r="V107" s="155"/>
      <c r="W107" s="444">
        <v>4</v>
      </c>
      <c r="X107" s="444">
        <v>5</v>
      </c>
      <c r="Y107" s="444">
        <v>5</v>
      </c>
      <c r="Z107" s="444">
        <v>5</v>
      </c>
      <c r="AA107" s="444">
        <v>5</v>
      </c>
      <c r="AB107" s="444">
        <v>6</v>
      </c>
      <c r="AC107" s="444"/>
      <c r="AD107" s="444"/>
      <c r="AE107" s="444"/>
      <c r="AF107" s="444"/>
      <c r="AG107" s="444"/>
      <c r="AH107" s="444"/>
      <c r="AI107" s="444"/>
      <c r="AJ107" s="444"/>
      <c r="AK107" s="447"/>
      <c r="AL107" s="447"/>
      <c r="AM107" s="445"/>
      <c r="AN107" s="444"/>
      <c r="AT107" s="444"/>
      <c r="BR107" s="444"/>
      <c r="BS107" s="444"/>
      <c r="BT107" s="444"/>
      <c r="BU107" s="444"/>
      <c r="BV107" s="444"/>
      <c r="BW107" s="444"/>
      <c r="BX107" s="444"/>
      <c r="BY107" s="154"/>
      <c r="BZ107" s="154"/>
      <c r="CA107" s="154"/>
      <c r="CB107" s="154"/>
      <c r="CC107" s="154"/>
      <c r="CD107" s="154"/>
      <c r="CE107" s="444"/>
      <c r="CF107" s="444"/>
      <c r="CG107" s="155"/>
      <c r="CH107" s="155"/>
      <c r="CI107" s="155"/>
      <c r="CJ107" s="155"/>
      <c r="CK107" s="445"/>
      <c r="CL107" s="444"/>
      <c r="CM107" s="444"/>
      <c r="CN107" s="444"/>
      <c r="CO107" s="444"/>
      <c r="CP107" s="444"/>
      <c r="CQ107" s="444"/>
      <c r="CR107" s="444"/>
      <c r="CS107" s="444"/>
      <c r="CT107" s="444"/>
      <c r="CU107" s="444"/>
      <c r="CV107" s="444"/>
      <c r="CW107" s="444"/>
      <c r="CX107" s="445"/>
      <c r="CY107" s="444"/>
      <c r="CZ107" s="444"/>
      <c r="DA107" s="447"/>
    </row>
    <row r="108" spans="1:105" collapsed="1">
      <c r="A108" s="154"/>
      <c r="B108" s="155"/>
      <c r="C108" s="155"/>
      <c r="D108" s="155"/>
      <c r="E108" s="155"/>
      <c r="F108" s="155"/>
      <c r="G108" s="155"/>
      <c r="H108" s="155"/>
      <c r="I108" s="155"/>
      <c r="J108" s="155"/>
      <c r="K108" s="155"/>
      <c r="L108" s="155"/>
      <c r="M108" s="155"/>
      <c r="N108" s="155"/>
      <c r="O108" s="155"/>
      <c r="P108" s="155"/>
      <c r="Q108" s="155"/>
      <c r="R108" s="155"/>
      <c r="S108" s="155"/>
      <c r="T108" s="155"/>
      <c r="U108" s="155"/>
      <c r="V108" s="155"/>
      <c r="W108" s="162"/>
      <c r="X108" s="662">
        <f>1.367*X110</f>
        <v>438.80700000000002</v>
      </c>
      <c r="Y108" s="664">
        <f>X108-12</f>
        <v>426.80700000000002</v>
      </c>
      <c r="Z108" s="665">
        <f>Y108/X110-1</f>
        <v>0.32961682242990653</v>
      </c>
      <c r="AA108" s="446"/>
      <c r="AB108" s="666">
        <f>AB109/X110-1</f>
        <v>9.9688473520249232E-2</v>
      </c>
      <c r="AC108" s="446"/>
      <c r="AD108" s="446"/>
      <c r="AE108" s="451"/>
      <c r="AF108" s="446"/>
      <c r="AG108" s="446"/>
      <c r="AH108" s="446"/>
      <c r="AI108" s="451"/>
      <c r="AJ108" s="451"/>
      <c r="AK108" s="1089"/>
      <c r="AL108" s="1089"/>
      <c r="AM108" s="454"/>
      <c r="AN108" s="162"/>
      <c r="AO108">
        <f>(AI99+AJ99)*2</f>
        <v>1745.2</v>
      </c>
      <c r="AT108" s="446"/>
      <c r="BR108" s="665"/>
      <c r="BS108" s="665"/>
      <c r="BT108" s="665"/>
      <c r="BU108" s="665"/>
      <c r="BV108" s="665"/>
      <c r="BW108" s="665"/>
      <c r="BX108" s="665"/>
      <c r="BY108" s="154"/>
      <c r="BZ108" s="154"/>
      <c r="CA108" s="154"/>
      <c r="CB108" s="154"/>
      <c r="CC108" s="154"/>
      <c r="CD108" s="154"/>
      <c r="CE108" s="446"/>
      <c r="CF108" s="446"/>
      <c r="CG108" s="155"/>
      <c r="CH108" s="155"/>
      <c r="CI108" s="155"/>
      <c r="CJ108" s="155"/>
      <c r="CK108" s="454"/>
      <c r="CL108" s="451"/>
      <c r="CM108" s="665"/>
      <c r="CN108" s="665"/>
      <c r="CO108" s="665"/>
      <c r="CP108" s="665"/>
      <c r="CQ108" s="446"/>
      <c r="CR108" s="665"/>
      <c r="CS108" s="665"/>
      <c r="CT108" s="665"/>
      <c r="CU108" s="665"/>
      <c r="CV108" s="665"/>
      <c r="CW108" s="446"/>
      <c r="CX108" s="454"/>
      <c r="CY108" s="665"/>
      <c r="CZ108" s="665"/>
      <c r="DA108" s="1089"/>
    </row>
    <row r="109" spans="1:105">
      <c r="A109" s="154"/>
      <c r="B109" s="155"/>
      <c r="C109" s="155"/>
      <c r="D109" s="155"/>
      <c r="E109" s="155"/>
      <c r="F109" s="155"/>
      <c r="G109" s="155"/>
      <c r="H109" s="155"/>
      <c r="I109" s="155"/>
      <c r="J109" s="155"/>
      <c r="K109" s="155"/>
      <c r="L109" s="155"/>
      <c r="M109" s="155"/>
      <c r="N109" s="155"/>
      <c r="O109" s="155"/>
      <c r="P109" s="155"/>
      <c r="Q109" s="155"/>
      <c r="R109" s="155"/>
      <c r="S109" s="155"/>
      <c r="T109" s="155"/>
      <c r="U109" s="155"/>
      <c r="V109" s="155"/>
      <c r="W109" s="662">
        <f>1.466*W110</f>
        <v>470.58600000000001</v>
      </c>
      <c r="X109" s="662">
        <f>W109-48</f>
        <v>422.58600000000001</v>
      </c>
      <c r="Y109" s="663">
        <f>X109/W110-1</f>
        <v>0.31646728971962612</v>
      </c>
      <c r="Z109" s="446"/>
      <c r="AA109" s="664">
        <f>AA110-48</f>
        <v>377</v>
      </c>
      <c r="AB109" s="664">
        <f>AB110-12</f>
        <v>353</v>
      </c>
      <c r="AD109" s="162"/>
      <c r="AE109" s="451"/>
      <c r="AF109" s="451"/>
      <c r="AG109" s="162"/>
      <c r="AH109" s="162"/>
      <c r="AI109" s="451"/>
      <c r="AJ109" s="451"/>
      <c r="AK109" s="1093"/>
      <c r="AL109" s="1093"/>
      <c r="AM109" s="454"/>
      <c r="AN109" s="162"/>
      <c r="AT109" s="162"/>
      <c r="BR109" s="162"/>
      <c r="BS109" s="162"/>
      <c r="BT109" s="162"/>
      <c r="BU109" s="162"/>
      <c r="BV109" s="162"/>
      <c r="BW109" s="162"/>
      <c r="BX109" s="162"/>
      <c r="BY109" s="154"/>
      <c r="BZ109" s="154"/>
      <c r="CA109" s="154"/>
      <c r="CB109" s="154"/>
      <c r="CC109" s="154"/>
      <c r="CD109" s="154"/>
      <c r="CE109" s="162"/>
      <c r="CF109" s="162"/>
      <c r="CG109" s="155"/>
      <c r="CH109" s="155"/>
      <c r="CI109" s="155"/>
      <c r="CJ109" s="155"/>
      <c r="CK109" s="454"/>
      <c r="CL109" s="451"/>
      <c r="CM109" s="162"/>
      <c r="CN109" s="162"/>
      <c r="CO109" s="162"/>
      <c r="CP109" s="162"/>
      <c r="CQ109" s="451"/>
      <c r="CR109" s="162"/>
      <c r="CS109" s="162"/>
      <c r="CT109" s="162"/>
      <c r="CU109" s="162"/>
      <c r="CV109" s="162"/>
      <c r="CW109" s="162"/>
      <c r="CX109" s="454"/>
      <c r="CY109" s="162"/>
      <c r="CZ109" s="162"/>
      <c r="DA109" s="1093"/>
    </row>
    <row r="110" spans="1:105">
      <c r="A110" s="465" t="s">
        <v>203</v>
      </c>
      <c r="B110" s="444"/>
      <c r="C110" s="444"/>
      <c r="D110" s="444"/>
      <c r="E110" s="444"/>
      <c r="F110" s="444"/>
      <c r="I110" s="444"/>
      <c r="J110" s="444"/>
      <c r="K110" s="444"/>
      <c r="L110" s="444"/>
      <c r="M110" s="444"/>
      <c r="N110" s="444"/>
      <c r="O110" s="444">
        <v>248.792</v>
      </c>
      <c r="P110" s="444">
        <v>242</v>
      </c>
      <c r="Q110" s="444">
        <v>274</v>
      </c>
      <c r="R110" s="444">
        <f>1038-O110-P110-Q110</f>
        <v>273.20799999999997</v>
      </c>
      <c r="S110" s="444">
        <v>261.25299999999999</v>
      </c>
      <c r="T110" s="444">
        <v>297</v>
      </c>
      <c r="U110" s="444">
        <v>289</v>
      </c>
      <c r="V110" s="444">
        <f>1147-S110-T110-U110</f>
        <v>299.74700000000007</v>
      </c>
      <c r="W110" s="444">
        <v>321</v>
      </c>
      <c r="X110" s="444">
        <v>321</v>
      </c>
      <c r="Y110" s="444">
        <v>355</v>
      </c>
      <c r="Z110" s="444">
        <v>355</v>
      </c>
      <c r="AA110" s="444">
        <v>425</v>
      </c>
      <c r="AB110" s="444">
        <v>365</v>
      </c>
      <c r="AC110" s="444">
        <v>271.39400000000001</v>
      </c>
      <c r="AD110" s="444">
        <v>321</v>
      </c>
      <c r="AE110" s="444">
        <v>228</v>
      </c>
      <c r="AF110" s="444">
        <v>269.60000000000002</v>
      </c>
      <c r="AG110" s="444">
        <v>242.29</v>
      </c>
      <c r="AH110" s="444">
        <v>259</v>
      </c>
      <c r="AI110" s="444">
        <v>271.3</v>
      </c>
      <c r="AJ110" s="444">
        <v>260.39999999999998</v>
      </c>
      <c r="AK110" s="447">
        <v>260</v>
      </c>
      <c r="AL110" s="447">
        <f>AM110-AI110-AJ110-AK110</f>
        <v>262.08729051981993</v>
      </c>
      <c r="AM110" s="452">
        <f>Nigeria!L54</f>
        <v>1053.7872905198199</v>
      </c>
      <c r="AN110" s="451"/>
      <c r="AO110" s="953"/>
      <c r="AQ110" s="953"/>
      <c r="AR110">
        <v>232.7</v>
      </c>
      <c r="AS110" s="46">
        <f>AI110/AR110-1</f>
        <v>0.16587881392350678</v>
      </c>
      <c r="AT110" s="832"/>
      <c r="AU110" s="108"/>
      <c r="AV110" s="1114">
        <f>AJ110/DA110-1</f>
        <v>2.117647058823513E-2</v>
      </c>
      <c r="AW110">
        <v>250.9</v>
      </c>
      <c r="AX110" s="1114">
        <f>AJ110/AW110-1</f>
        <v>3.7863690713431541E-2</v>
      </c>
      <c r="BR110" s="461"/>
      <c r="BS110" s="461"/>
      <c r="BT110" s="461"/>
      <c r="BU110" s="461"/>
      <c r="BV110" s="461"/>
      <c r="BW110" s="461"/>
      <c r="BX110" s="461"/>
      <c r="BY110" s="461"/>
      <c r="BZ110" s="154">
        <f>Y110*1.363</f>
        <v>483.86500000000001</v>
      </c>
      <c r="CA110" s="154"/>
      <c r="CB110" s="154"/>
      <c r="CC110" s="154"/>
      <c r="CD110" s="451"/>
      <c r="CE110" s="447">
        <v>263.46494731922849</v>
      </c>
      <c r="CF110" s="108">
        <f>AD110/CE110-1</f>
        <v>0.21837839631493328</v>
      </c>
      <c r="CG110" s="451">
        <v>266</v>
      </c>
      <c r="CH110" s="446">
        <f>AD110/CG110-1</f>
        <v>0.20676691729323315</v>
      </c>
      <c r="CI110" s="446"/>
      <c r="CJ110" s="446"/>
      <c r="CK110" s="452">
        <f>Nigeria!J54</f>
        <v>1381.627</v>
      </c>
      <c r="CL110" s="832">
        <v>200</v>
      </c>
      <c r="CM110" s="665">
        <f>AE110/CL110-1</f>
        <v>0.1399999999999999</v>
      </c>
      <c r="CN110" s="444">
        <v>194.5</v>
      </c>
      <c r="CO110" s="665">
        <f>AE110/CN110-1</f>
        <v>0.17223650385604117</v>
      </c>
      <c r="CP110" s="461"/>
      <c r="CQ110" s="832">
        <v>230</v>
      </c>
      <c r="CR110" s="665">
        <f>AF110/CQ110-1</f>
        <v>0.17217391304347829</v>
      </c>
      <c r="CS110" s="444">
        <v>232.1</v>
      </c>
      <c r="CT110" s="665">
        <f>AF110/CS110-1</f>
        <v>0.16156828953037494</v>
      </c>
      <c r="CU110" s="461"/>
      <c r="CV110" s="461"/>
      <c r="CW110" s="451">
        <v>212.17647377168223</v>
      </c>
      <c r="CX110" s="452">
        <f>Nigeria!K54</f>
        <v>998.46600000000001</v>
      </c>
      <c r="CY110" s="461"/>
      <c r="CZ110" s="461"/>
      <c r="DA110" s="447">
        <v>255</v>
      </c>
    </row>
    <row r="111" spans="1:105">
      <c r="A111" s="465" t="s">
        <v>633</v>
      </c>
      <c r="B111" s="155"/>
      <c r="C111" s="155"/>
      <c r="D111" s="155"/>
      <c r="E111" s="155"/>
      <c r="F111" s="155"/>
      <c r="I111" s="155"/>
      <c r="J111" s="155"/>
      <c r="K111" s="155"/>
      <c r="L111" s="155"/>
      <c r="M111" s="155"/>
      <c r="N111" s="155"/>
      <c r="O111" s="155"/>
      <c r="P111" s="155"/>
      <c r="Q111" s="155"/>
      <c r="R111" s="155"/>
      <c r="S111" s="446">
        <f t="shared" ref="S111:Y111" si="108">S110/O110-1</f>
        <v>5.0086015627512026E-2</v>
      </c>
      <c r="T111" s="446">
        <f t="shared" si="108"/>
        <v>0.22727272727272729</v>
      </c>
      <c r="U111" s="446">
        <f t="shared" si="108"/>
        <v>5.4744525547445244E-2</v>
      </c>
      <c r="V111" s="446">
        <f t="shared" si="108"/>
        <v>9.7138443969430277E-2</v>
      </c>
      <c r="W111" s="446">
        <f t="shared" si="108"/>
        <v>0.22869402456622523</v>
      </c>
      <c r="X111" s="446">
        <f t="shared" si="108"/>
        <v>8.0808080808080884E-2</v>
      </c>
      <c r="Y111" s="446">
        <f t="shared" si="108"/>
        <v>0.22837370242214527</v>
      </c>
      <c r="Z111" s="446">
        <f>Z110/V110-1</f>
        <v>0.18433212008794064</v>
      </c>
      <c r="AA111" s="446">
        <f>AA110/W110-1</f>
        <v>0.32398753894081</v>
      </c>
      <c r="AB111" s="446">
        <f>AB110/X110-1</f>
        <v>0.13707165109034269</v>
      </c>
      <c r="AC111" s="446">
        <f t="shared" ref="AC111:AD111" si="109">AC110/Y110-1</f>
        <v>-0.23550985915492961</v>
      </c>
      <c r="AD111" s="446">
        <f t="shared" si="109"/>
        <v>-9.5774647887323927E-2</v>
      </c>
      <c r="AE111" s="446">
        <f t="shared" ref="AE111:AF111" si="110">AE110/AA110-1</f>
        <v>-0.46352941176470586</v>
      </c>
      <c r="AF111" s="446">
        <f t="shared" si="110"/>
        <v>-0.26136986301369858</v>
      </c>
      <c r="AG111" s="446">
        <f t="shared" ref="AG111" si="111">AG110/AC110-1</f>
        <v>-0.10723892201006657</v>
      </c>
      <c r="AH111" s="446">
        <f t="shared" ref="AH111" si="112">AH110/AD110-1</f>
        <v>-0.19314641744548289</v>
      </c>
      <c r="AI111" s="446">
        <f>AI110/AE110-1</f>
        <v>0.18991228070175437</v>
      </c>
      <c r="AJ111" s="446">
        <f t="shared" ref="AJ111" si="113">AJ110/AF110-1</f>
        <v>-3.4124629080118818E-2</v>
      </c>
      <c r="AK111" s="1089">
        <f>AK110/AG110-1</f>
        <v>7.3094225927607503E-2</v>
      </c>
      <c r="AL111" s="1089">
        <f>AL110/AH110-1</f>
        <v>1.1920040617065419E-2</v>
      </c>
      <c r="AM111" s="453"/>
      <c r="AN111" s="446"/>
      <c r="AT111" s="446"/>
      <c r="BY111" s="154"/>
      <c r="BZ111" s="154"/>
      <c r="CA111" s="154"/>
      <c r="CB111" s="154"/>
      <c r="CC111" s="154"/>
      <c r="CD111" s="451"/>
      <c r="CE111" s="446">
        <v>-0.25784521881907474</v>
      </c>
      <c r="CF111" s="446"/>
      <c r="CG111" s="155"/>
      <c r="CH111" s="155"/>
      <c r="CI111" s="446"/>
      <c r="CJ111" s="155"/>
      <c r="CK111" s="453"/>
      <c r="CL111" s="446">
        <v>-0.52941176470588236</v>
      </c>
      <c r="CQ111" s="446">
        <v>-0.36986301369863017</v>
      </c>
      <c r="CW111" s="446">
        <v>-0.33901410039974389</v>
      </c>
      <c r="CX111" s="453"/>
      <c r="DA111" s="1089">
        <v>-5.555555555555558E-2</v>
      </c>
    </row>
    <row r="112" spans="1:105">
      <c r="A112" s="465" t="s">
        <v>634</v>
      </c>
      <c r="B112" s="461"/>
      <c r="C112" s="461"/>
      <c r="D112" s="461"/>
      <c r="E112" s="461"/>
      <c r="F112" s="461"/>
      <c r="I112" s="461"/>
      <c r="J112" s="461"/>
      <c r="K112" s="461"/>
      <c r="L112" s="461"/>
      <c r="M112" s="461"/>
      <c r="N112" s="461"/>
      <c r="O112" s="461"/>
      <c r="P112" s="461"/>
      <c r="Q112" s="461"/>
      <c r="R112" s="461"/>
      <c r="S112" s="461"/>
      <c r="T112" s="461">
        <v>0.307</v>
      </c>
      <c r="U112" s="461">
        <v>0.122</v>
      </c>
      <c r="V112" s="461">
        <v>0.186</v>
      </c>
      <c r="W112" s="468">
        <f>W111</f>
        <v>0.22869402456622523</v>
      </c>
      <c r="X112" s="461">
        <v>0.104</v>
      </c>
      <c r="Y112" s="461">
        <v>0.22500000000000001</v>
      </c>
      <c r="Z112" s="461">
        <v>0.27300000000000002</v>
      </c>
      <c r="AA112" s="469">
        <v>0.46600000000000003</v>
      </c>
      <c r="AB112" s="461">
        <v>0.36699999999999999</v>
      </c>
      <c r="AC112" s="461">
        <v>0.36299999999999999</v>
      </c>
      <c r="AD112" s="461">
        <v>0.65</v>
      </c>
      <c r="AE112" s="461">
        <v>0.45900000000000002</v>
      </c>
      <c r="AF112" s="461">
        <v>1.0509999999999999</v>
      </c>
      <c r="AG112" s="461">
        <v>0.86799999999999999</v>
      </c>
      <c r="AH112" s="461">
        <v>0.61499999999999999</v>
      </c>
      <c r="AI112" s="461">
        <v>0.45900000000000002</v>
      </c>
      <c r="AJ112" s="461">
        <v>0.104</v>
      </c>
      <c r="AK112" s="1089"/>
      <c r="AL112" s="1089"/>
      <c r="AM112" s="463"/>
      <c r="AN112" s="461"/>
      <c r="AT112" s="461"/>
      <c r="BR112" s="461"/>
      <c r="BS112" s="461"/>
      <c r="BT112" s="461"/>
      <c r="BU112" s="461"/>
      <c r="BV112" s="461"/>
      <c r="BW112" s="461"/>
      <c r="BX112" s="461"/>
      <c r="BY112" s="154"/>
      <c r="BZ112" s="154"/>
      <c r="CA112" s="154"/>
      <c r="CB112" s="154"/>
      <c r="CC112" s="154"/>
      <c r="CD112" s="154"/>
      <c r="CE112" s="468"/>
      <c r="CF112" s="468"/>
      <c r="CG112" s="155"/>
      <c r="CH112" s="155"/>
      <c r="CI112" s="155"/>
      <c r="CJ112" s="155"/>
      <c r="CK112" s="463"/>
      <c r="CL112" s="461"/>
      <c r="CM112" s="461"/>
      <c r="CN112" s="461"/>
      <c r="CO112" s="461"/>
      <c r="CP112" s="461"/>
      <c r="CQ112" s="461"/>
      <c r="CR112" s="461"/>
      <c r="CS112" s="461"/>
      <c r="CT112" s="461"/>
      <c r="CU112" s="461"/>
      <c r="CV112" s="461"/>
      <c r="CW112" s="461"/>
      <c r="CX112" s="463"/>
      <c r="CY112" s="461"/>
      <c r="CZ112" s="461"/>
      <c r="DA112" s="1089"/>
    </row>
    <row r="113" spans="1:105">
      <c r="A113" s="465"/>
      <c r="B113" s="461"/>
      <c r="C113" s="461"/>
      <c r="D113" s="461"/>
      <c r="E113" s="461"/>
      <c r="F113" s="461"/>
      <c r="I113" s="461"/>
      <c r="J113" s="461"/>
      <c r="K113" s="461"/>
      <c r="L113" s="461"/>
      <c r="M113" s="461"/>
      <c r="N113" s="461"/>
      <c r="O113" s="461"/>
      <c r="P113" s="461"/>
      <c r="Q113" s="461"/>
      <c r="R113" s="461"/>
      <c r="S113" s="461"/>
      <c r="T113" s="461"/>
      <c r="U113" s="461"/>
      <c r="V113" s="461"/>
      <c r="W113" s="461"/>
      <c r="X113" s="461"/>
      <c r="Y113" s="461"/>
      <c r="Z113" s="461"/>
      <c r="AA113" s="461"/>
      <c r="AB113" s="461"/>
      <c r="AC113" s="461"/>
      <c r="AD113" s="461"/>
      <c r="AE113" s="461"/>
      <c r="AF113" s="461"/>
      <c r="AG113" s="461"/>
      <c r="AH113" s="461"/>
      <c r="AI113" s="470"/>
      <c r="AJ113" s="470"/>
      <c r="AK113" s="1089"/>
      <c r="AL113" s="1089"/>
      <c r="AM113" s="463"/>
      <c r="AN113" s="461"/>
      <c r="AT113" s="461"/>
      <c r="BR113" s="461"/>
      <c r="BS113" s="461"/>
      <c r="BT113" s="461"/>
      <c r="BU113" s="461"/>
      <c r="BV113" s="461"/>
      <c r="BW113" s="461"/>
      <c r="BX113" s="461"/>
      <c r="BY113" s="154"/>
      <c r="BZ113" s="154"/>
      <c r="CA113" s="154"/>
      <c r="CB113" s="154"/>
      <c r="CC113" s="154"/>
      <c r="CD113" s="154"/>
      <c r="CE113" s="461"/>
      <c r="CF113" s="461"/>
      <c r="CG113" s="155"/>
      <c r="CH113" s="155"/>
      <c r="CI113" s="155"/>
      <c r="CJ113" s="155"/>
      <c r="CK113" s="463"/>
      <c r="CL113" s="461"/>
      <c r="CM113" s="461"/>
      <c r="CN113" s="461"/>
      <c r="CO113" s="461"/>
      <c r="CP113" s="461"/>
      <c r="CQ113" s="461"/>
      <c r="CR113" s="461"/>
      <c r="CS113" s="461"/>
      <c r="CT113" s="461"/>
      <c r="CU113" s="461"/>
      <c r="CV113" s="461"/>
      <c r="CW113" s="461"/>
      <c r="CX113" s="463"/>
      <c r="CY113" s="461"/>
      <c r="CZ113" s="461"/>
      <c r="DA113" s="1089"/>
    </row>
    <row r="114" spans="1:105">
      <c r="A114" s="465" t="s">
        <v>709</v>
      </c>
      <c r="B114" s="155"/>
      <c r="C114" s="155"/>
      <c r="D114" s="155"/>
      <c r="E114" s="155"/>
      <c r="F114" s="155"/>
      <c r="I114" s="155"/>
      <c r="J114" s="155"/>
      <c r="K114" s="155"/>
      <c r="L114" s="155"/>
      <c r="M114" s="155"/>
      <c r="N114" s="155"/>
      <c r="O114" s="470">
        <v>76.316999999999993</v>
      </c>
      <c r="P114" s="470">
        <v>76</v>
      </c>
      <c r="Q114" s="470">
        <v>79</v>
      </c>
      <c r="R114" s="470">
        <f>313-O114-P114-Q114</f>
        <v>81.682999999999993</v>
      </c>
      <c r="S114" s="470">
        <v>83.17</v>
      </c>
      <c r="T114" s="470">
        <v>84</v>
      </c>
      <c r="U114" s="470">
        <v>89</v>
      </c>
      <c r="V114" s="470">
        <f>344-S114-T114-U114</f>
        <v>87.829999999999984</v>
      </c>
      <c r="W114" s="470">
        <v>86</v>
      </c>
      <c r="X114" s="470">
        <v>95</v>
      </c>
      <c r="Y114" s="470">
        <v>115</v>
      </c>
      <c r="Z114" s="470">
        <v>117</v>
      </c>
      <c r="AA114" s="470">
        <v>122</v>
      </c>
      <c r="AB114" s="470">
        <v>123</v>
      </c>
      <c r="AC114" s="470">
        <v>133.48099999999999</v>
      </c>
      <c r="AD114" s="470">
        <v>124</v>
      </c>
      <c r="AE114" s="470">
        <v>131</v>
      </c>
      <c r="AF114" s="470">
        <v>108</v>
      </c>
      <c r="AG114" s="470">
        <v>120.139</v>
      </c>
      <c r="AH114" s="470">
        <v>124</v>
      </c>
      <c r="AI114" s="470">
        <v>120.7</v>
      </c>
      <c r="AJ114" s="470">
        <v>128</v>
      </c>
      <c r="AK114" s="1100">
        <v>128</v>
      </c>
      <c r="AL114" s="447">
        <f>AM114-AI114-AJ114-AK114</f>
        <v>108</v>
      </c>
      <c r="AM114" s="452">
        <f>SSA!L98</f>
        <v>484.7</v>
      </c>
      <c r="AN114" s="470"/>
      <c r="AO114" s="953"/>
      <c r="AQ114" s="953"/>
      <c r="AR114">
        <v>126</v>
      </c>
      <c r="AS114" s="46">
        <f>AI114/AR114-1</f>
        <v>-4.2063492063492025E-2</v>
      </c>
      <c r="AT114" s="832"/>
      <c r="AU114" s="108"/>
      <c r="AV114" s="1114">
        <f>AJ114/DA114-1</f>
        <v>4.9180327868852514E-2</v>
      </c>
      <c r="AW114">
        <v>113.6</v>
      </c>
      <c r="AX114" s="1114">
        <f>AJ114/AW114-1</f>
        <v>0.12676056338028174</v>
      </c>
      <c r="BR114" s="461"/>
      <c r="BS114" s="461"/>
      <c r="BT114" s="461"/>
      <c r="BU114" s="461"/>
      <c r="BV114" s="461"/>
      <c r="BW114" s="461"/>
      <c r="BX114" s="461"/>
      <c r="BY114" s="461"/>
      <c r="BZ114" s="154"/>
      <c r="CA114" s="154"/>
      <c r="CB114" s="154"/>
      <c r="CC114" s="154"/>
      <c r="CD114" s="154"/>
      <c r="CE114" s="447">
        <v>143.40724289435741</v>
      </c>
      <c r="CF114" s="108">
        <f>AD114/CE114-1</f>
        <v>-0.13532958658618088</v>
      </c>
      <c r="CG114" s="451">
        <v>124</v>
      </c>
      <c r="CH114" s="446">
        <f>AD114/CG114-1</f>
        <v>0</v>
      </c>
      <c r="CI114" s="446"/>
      <c r="CJ114" s="446"/>
      <c r="CK114" s="452">
        <f>SSA!J98</f>
        <v>503.04899999999998</v>
      </c>
      <c r="CL114" s="832">
        <v>133</v>
      </c>
      <c r="CM114" s="665">
        <f>AE114/CL114-1</f>
        <v>-1.5037593984962405E-2</v>
      </c>
      <c r="CN114" s="444">
        <v>134.6</v>
      </c>
      <c r="CO114" s="665">
        <f>AE114/CN114-1</f>
        <v>-2.6745913818722045E-2</v>
      </c>
      <c r="CP114" s="461"/>
      <c r="CQ114" s="832">
        <v>139</v>
      </c>
      <c r="CR114" s="665">
        <f>AF114/CQ114-1</f>
        <v>-0.2230215827338129</v>
      </c>
      <c r="CS114" s="444">
        <v>144.9</v>
      </c>
      <c r="CT114" s="665">
        <f>AF114/CS114-1</f>
        <v>-0.25465838509316774</v>
      </c>
      <c r="CU114" s="461"/>
      <c r="CV114" s="461"/>
      <c r="CW114" s="451">
        <v>129.95326529082621</v>
      </c>
      <c r="CX114" s="452">
        <f>SSA!K98</f>
        <v>483.84199999999998</v>
      </c>
      <c r="CY114" s="461"/>
      <c r="CZ114" s="461"/>
      <c r="DA114" s="1100">
        <v>122</v>
      </c>
    </row>
    <row r="115" spans="1:105">
      <c r="A115" s="465" t="s">
        <v>633</v>
      </c>
      <c r="B115" s="155"/>
      <c r="C115" s="155"/>
      <c r="D115" s="155"/>
      <c r="E115" s="155"/>
      <c r="F115" s="155"/>
      <c r="I115" s="155"/>
      <c r="J115" s="155"/>
      <c r="K115" s="155"/>
      <c r="L115" s="155"/>
      <c r="M115" s="155"/>
      <c r="N115" s="155"/>
      <c r="O115" s="155"/>
      <c r="P115" s="155"/>
      <c r="Q115" s="155"/>
      <c r="R115" s="155"/>
      <c r="S115" s="446">
        <f t="shared" ref="S115:Y115" si="114">S114/O114-1</f>
        <v>8.9796506676101062E-2</v>
      </c>
      <c r="T115" s="446">
        <f t="shared" si="114"/>
        <v>0.10526315789473695</v>
      </c>
      <c r="U115" s="446">
        <f t="shared" si="114"/>
        <v>0.12658227848101267</v>
      </c>
      <c r="V115" s="446">
        <f t="shared" si="114"/>
        <v>7.5254336887724316E-2</v>
      </c>
      <c r="W115" s="446">
        <f t="shared" si="114"/>
        <v>3.4026692316941221E-2</v>
      </c>
      <c r="X115" s="446">
        <f t="shared" si="114"/>
        <v>0.13095238095238093</v>
      </c>
      <c r="Y115" s="446">
        <f t="shared" si="114"/>
        <v>0.2921348314606742</v>
      </c>
      <c r="Z115" s="446">
        <f>Z114/V114-1</f>
        <v>0.33211886599111939</v>
      </c>
      <c r="AA115" s="446">
        <f>AA114/W114-1</f>
        <v>0.41860465116279078</v>
      </c>
      <c r="AB115" s="446">
        <f t="shared" ref="AB115" si="115">AB114/X114-1</f>
        <v>0.29473684210526319</v>
      </c>
      <c r="AC115" s="446">
        <f t="shared" ref="AC115" si="116">AC114/Y114-1</f>
        <v>0.160704347826087</v>
      </c>
      <c r="AD115" s="446">
        <f t="shared" ref="AD115" si="117">AD114/Z114-1</f>
        <v>5.9829059829059839E-2</v>
      </c>
      <c r="AE115" s="446">
        <f t="shared" ref="AE115:AF115" si="118">AE114/AA114-1</f>
        <v>7.3770491803278659E-2</v>
      </c>
      <c r="AF115" s="446">
        <f t="shared" si="118"/>
        <v>-0.12195121951219512</v>
      </c>
      <c r="AG115" s="446">
        <f t="shared" ref="AG115" si="119">AG114/AC114-1</f>
        <v>-9.9954300612072111E-2</v>
      </c>
      <c r="AH115" s="446">
        <f t="shared" ref="AH115" si="120">AH114/AD114-1</f>
        <v>0</v>
      </c>
      <c r="AI115" s="446">
        <f>AI114/AE114-1</f>
        <v>-7.8625954198473291E-2</v>
      </c>
      <c r="AJ115" s="446">
        <f t="shared" ref="AJ115" si="121">AJ114/AF114-1</f>
        <v>0.18518518518518512</v>
      </c>
      <c r="AK115" s="1089">
        <f>AK114/AG114-1</f>
        <v>6.5432540640424808E-2</v>
      </c>
      <c r="AL115" s="1089">
        <f>AL114/AH114-1</f>
        <v>-0.12903225806451613</v>
      </c>
      <c r="AM115" s="453"/>
      <c r="AN115" s="446"/>
      <c r="AT115" s="446"/>
      <c r="BR115" s="446"/>
      <c r="BS115" s="446"/>
      <c r="BT115" s="446"/>
      <c r="BU115" s="446"/>
      <c r="BV115" s="446"/>
      <c r="BW115" s="446"/>
      <c r="BX115" s="446"/>
      <c r="BY115" s="154"/>
      <c r="BZ115" s="154"/>
      <c r="CA115" s="154"/>
      <c r="CB115" s="154"/>
      <c r="CC115" s="154"/>
      <c r="CD115" s="154"/>
      <c r="CE115" s="446">
        <v>0.22570293072100345</v>
      </c>
      <c r="CF115" s="446"/>
      <c r="CG115" s="155"/>
      <c r="CH115" s="155"/>
      <c r="CI115" s="446"/>
      <c r="CJ115" s="155"/>
      <c r="CK115" s="453"/>
      <c r="CL115" s="446">
        <v>9.0163934426229497E-2</v>
      </c>
      <c r="CM115" s="446"/>
      <c r="CN115" s="446"/>
      <c r="CO115" s="446"/>
      <c r="CP115" s="446"/>
      <c r="CQ115" s="446">
        <v>0.13008130081300817</v>
      </c>
      <c r="CR115" s="446"/>
      <c r="CS115" s="446"/>
      <c r="CT115" s="446"/>
      <c r="CU115" s="446"/>
      <c r="CV115" s="446"/>
      <c r="CW115" s="446">
        <v>4.8010203958275932E-2</v>
      </c>
      <c r="CX115" s="453"/>
      <c r="CY115" s="446"/>
      <c r="CZ115" s="446"/>
      <c r="DA115" s="1089">
        <v>0.12962962962962954</v>
      </c>
    </row>
    <row r="116" spans="1:105">
      <c r="A116" s="465" t="s">
        <v>634</v>
      </c>
      <c r="B116" s="155"/>
      <c r="C116" s="155"/>
      <c r="D116" s="155"/>
      <c r="E116" s="155"/>
      <c r="F116" s="155"/>
      <c r="G116" s="155"/>
      <c r="H116" s="155"/>
      <c r="I116" s="155"/>
      <c r="J116" s="155"/>
      <c r="K116" s="155"/>
      <c r="L116" s="155"/>
      <c r="M116" s="155"/>
      <c r="N116" s="155"/>
      <c r="O116" s="155"/>
      <c r="P116" s="155"/>
      <c r="Q116" s="155"/>
      <c r="R116" s="155"/>
      <c r="S116" s="446"/>
      <c r="T116" s="446"/>
      <c r="U116" s="446"/>
      <c r="V116" s="446"/>
      <c r="W116" s="446"/>
      <c r="X116" s="461">
        <v>4.5999999999999999E-2</v>
      </c>
      <c r="Y116" s="461">
        <v>3.1E-2</v>
      </c>
      <c r="Z116" s="461">
        <v>9.1999999999999998E-2</v>
      </c>
      <c r="AA116" s="461">
        <v>0.156</v>
      </c>
      <c r="AB116" s="461">
        <v>0.152</v>
      </c>
      <c r="AC116" s="461">
        <v>0.20699999999999999</v>
      </c>
      <c r="AD116" s="461">
        <v>0.12</v>
      </c>
      <c r="AE116" s="461">
        <v>0.151</v>
      </c>
      <c r="AF116" s="461">
        <v>-4.7E-2</v>
      </c>
      <c r="AG116" s="461">
        <v>-6.2E-2</v>
      </c>
      <c r="AH116" s="461">
        <v>3.1E-2</v>
      </c>
      <c r="AI116" s="461">
        <v>-4.5999999999999999E-2</v>
      </c>
      <c r="AJ116" s="461">
        <v>0.161</v>
      </c>
      <c r="AK116" s="1089"/>
      <c r="AL116" s="1089"/>
      <c r="AM116" s="463"/>
      <c r="AN116" s="461"/>
      <c r="AT116" s="461"/>
      <c r="BR116" s="461"/>
      <c r="BS116" s="461"/>
      <c r="BT116" s="461"/>
      <c r="BU116" s="461"/>
      <c r="BV116" s="461"/>
      <c r="BW116" s="461"/>
      <c r="BX116" s="461"/>
      <c r="BY116" s="154"/>
      <c r="BZ116" s="154"/>
      <c r="CA116" s="154"/>
      <c r="CB116" s="154"/>
      <c r="CC116" s="154"/>
      <c r="CD116" s="154"/>
      <c r="CE116" s="461"/>
      <c r="CF116" s="461"/>
      <c r="CG116" s="155"/>
      <c r="CH116" s="155"/>
      <c r="CI116" s="155"/>
      <c r="CJ116" s="155"/>
      <c r="CK116" s="463"/>
      <c r="CL116" s="461"/>
      <c r="CM116" s="461"/>
      <c r="CN116" s="461"/>
      <c r="CO116" s="461"/>
      <c r="CP116" s="461"/>
      <c r="CQ116" s="461"/>
      <c r="CR116" s="461"/>
      <c r="CS116" s="461"/>
      <c r="CT116" s="461"/>
      <c r="CU116" s="461"/>
      <c r="CV116" s="461"/>
      <c r="CW116" s="461"/>
      <c r="CX116" s="463"/>
      <c r="CY116" s="461"/>
      <c r="CZ116" s="461"/>
      <c r="DA116" s="1089"/>
    </row>
    <row r="117" spans="1:105">
      <c r="A117" s="465"/>
      <c r="B117" s="155"/>
      <c r="C117" s="155"/>
      <c r="D117" s="155"/>
      <c r="E117" s="155"/>
      <c r="F117" s="155"/>
      <c r="G117" s="155"/>
      <c r="H117" s="155"/>
      <c r="I117" s="155"/>
      <c r="J117" s="155"/>
      <c r="K117" s="155"/>
      <c r="L117" s="155"/>
      <c r="M117" s="155"/>
      <c r="N117" s="155"/>
      <c r="O117" s="155"/>
      <c r="P117" s="155"/>
      <c r="Q117" s="155"/>
      <c r="R117" s="155"/>
      <c r="S117" s="446"/>
      <c r="T117" s="446"/>
      <c r="U117" s="446"/>
      <c r="V117" s="446"/>
      <c r="W117" s="446"/>
      <c r="X117" s="451"/>
      <c r="Y117" s="461"/>
      <c r="Z117" s="461"/>
      <c r="AA117" s="461"/>
      <c r="AB117" s="451"/>
      <c r="AC117" s="461"/>
      <c r="AD117" s="461"/>
      <c r="AE117" s="461"/>
      <c r="AF117" s="461"/>
      <c r="AG117" s="461"/>
      <c r="AH117" s="461"/>
      <c r="AI117" s="461"/>
      <c r="AJ117" s="461"/>
      <c r="AK117" s="1089"/>
      <c r="AL117" s="1089"/>
      <c r="AM117" s="463"/>
      <c r="AN117" s="461"/>
      <c r="AT117" s="461"/>
      <c r="BR117" s="461"/>
      <c r="BS117" s="461"/>
      <c r="BT117" s="461"/>
      <c r="BU117" s="461"/>
      <c r="BV117" s="461"/>
      <c r="BW117" s="461"/>
      <c r="BX117" s="461"/>
      <c r="BY117" s="154"/>
      <c r="BZ117" s="154"/>
      <c r="CA117" s="154"/>
      <c r="CB117" s="154"/>
      <c r="CC117" s="154"/>
      <c r="CD117" s="154"/>
      <c r="CE117" s="461"/>
      <c r="CF117" s="461"/>
      <c r="CG117" s="155"/>
      <c r="CH117" s="155"/>
      <c r="CI117" s="155"/>
      <c r="CJ117" s="155"/>
      <c r="CK117" s="463"/>
      <c r="CL117" s="461"/>
      <c r="CM117" s="461"/>
      <c r="CN117" s="461"/>
      <c r="CO117" s="461"/>
      <c r="CP117" s="461"/>
      <c r="CQ117" s="461"/>
      <c r="CR117" s="461"/>
      <c r="CS117" s="461"/>
      <c r="CT117" s="461"/>
      <c r="CU117" s="461"/>
      <c r="CV117" s="461"/>
      <c r="CW117" s="461"/>
      <c r="CX117" s="463"/>
      <c r="CY117" s="461"/>
      <c r="CZ117" s="461"/>
      <c r="DA117" s="1089"/>
    </row>
    <row r="118" spans="1:105">
      <c r="A118" s="465" t="s">
        <v>710</v>
      </c>
      <c r="B118" s="444"/>
      <c r="C118" s="444"/>
      <c r="D118" s="444"/>
      <c r="E118" s="444"/>
      <c r="F118" s="444"/>
      <c r="G118" s="444"/>
      <c r="H118" s="444"/>
      <c r="I118" s="444"/>
      <c r="J118" s="444"/>
      <c r="K118" s="444"/>
      <c r="L118" s="444"/>
      <c r="M118" s="444"/>
      <c r="N118" s="444"/>
      <c r="O118" s="444">
        <v>4.2489999999999997</v>
      </c>
      <c r="P118" s="444">
        <v>8</v>
      </c>
      <c r="Q118" s="444">
        <v>9</v>
      </c>
      <c r="R118" s="444">
        <f>30-O118-P118-Q118</f>
        <v>8.7510000000000012</v>
      </c>
      <c r="S118" s="444">
        <v>10.503</v>
      </c>
      <c r="T118" s="444">
        <v>14</v>
      </c>
      <c r="U118" s="444">
        <v>15</v>
      </c>
      <c r="V118" s="444">
        <f>60-S118-T118-U118</f>
        <v>20.497</v>
      </c>
      <c r="W118" s="444">
        <v>31</v>
      </c>
      <c r="X118" s="444">
        <v>43</v>
      </c>
      <c r="Y118" s="444">
        <v>42</v>
      </c>
      <c r="Z118" s="444">
        <v>44</v>
      </c>
      <c r="AA118" s="444">
        <v>46</v>
      </c>
      <c r="AB118" s="444">
        <v>48</v>
      </c>
      <c r="AC118" s="444">
        <v>51.883000000000003</v>
      </c>
      <c r="AD118" s="444">
        <v>54</v>
      </c>
      <c r="AE118" s="444">
        <v>48</v>
      </c>
      <c r="AF118" s="444">
        <v>46</v>
      </c>
      <c r="AG118" s="444">
        <v>45.148000000000003</v>
      </c>
      <c r="AH118" s="444">
        <v>45</v>
      </c>
      <c r="AI118" s="444">
        <v>47.5</v>
      </c>
      <c r="AJ118" s="444">
        <v>45</v>
      </c>
      <c r="AK118" s="447">
        <v>47</v>
      </c>
      <c r="AL118" s="447">
        <f>AM118-AI118-AJ118-AK118</f>
        <v>47.290449999999993</v>
      </c>
      <c r="AM118" s="452">
        <f>Latam!L73</f>
        <v>186.79044999999999</v>
      </c>
      <c r="AN118" s="444"/>
      <c r="AT118" s="832"/>
      <c r="AU118" s="108"/>
      <c r="AV118" s="1114">
        <f>AJ118/DA118-1</f>
        <v>-4.2553191489361653E-2</v>
      </c>
      <c r="AX118" s="1114" t="e">
        <f>AJ118/AW118-1</f>
        <v>#DIV/0!</v>
      </c>
      <c r="BR118" s="444"/>
      <c r="BS118" s="444"/>
      <c r="BT118" s="444"/>
      <c r="BU118" s="444"/>
      <c r="BV118" s="444"/>
      <c r="BW118" s="444"/>
      <c r="BX118" s="444"/>
      <c r="BY118" s="154"/>
      <c r="BZ118" s="154"/>
      <c r="CA118" s="154"/>
      <c r="CB118" s="154"/>
      <c r="CC118" s="154"/>
      <c r="CD118" s="154"/>
      <c r="CE118" s="447">
        <v>54.010000000000019</v>
      </c>
      <c r="CF118" s="108">
        <f>AD118/CE118-1</f>
        <v>-1.851508979822114E-4</v>
      </c>
      <c r="CG118" s="451"/>
      <c r="CH118" s="446" t="e">
        <f>AD118/CG118-1</f>
        <v>#DIV/0!</v>
      </c>
      <c r="CI118" s="446"/>
      <c r="CJ118" s="446"/>
      <c r="CK118" s="452">
        <f>Latam!J73</f>
        <v>200.20699999999999</v>
      </c>
      <c r="CL118" s="832">
        <v>56</v>
      </c>
      <c r="CM118" s="665">
        <f>AE118/CL118-1</f>
        <v>-0.1428571428571429</v>
      </c>
      <c r="CN118" s="444">
        <v>56.3</v>
      </c>
      <c r="CO118" s="665">
        <f>AE118/CN118-1</f>
        <v>-0.14742451154529301</v>
      </c>
      <c r="CP118" s="444"/>
      <c r="CQ118" s="832">
        <v>58</v>
      </c>
      <c r="CR118" s="665">
        <f>AF118/CQ118-1</f>
        <v>-0.2068965517241379</v>
      </c>
      <c r="CS118" s="444">
        <v>48.3</v>
      </c>
      <c r="CT118" s="665">
        <f>AF118/CS118-1</f>
        <v>-4.7619047619047561E-2</v>
      </c>
      <c r="CU118" s="444"/>
      <c r="CV118" s="444"/>
      <c r="CW118" s="451">
        <v>65.063140000000004</v>
      </c>
      <c r="CX118" s="452">
        <f>Latam!K73</f>
        <v>184.03</v>
      </c>
      <c r="CY118" s="444"/>
      <c r="CZ118" s="444"/>
      <c r="DA118" s="447">
        <v>47</v>
      </c>
    </row>
    <row r="119" spans="1:105">
      <c r="A119" s="465" t="s">
        <v>633</v>
      </c>
      <c r="B119" s="155"/>
      <c r="C119" s="155"/>
      <c r="D119" s="155"/>
      <c r="E119" s="155"/>
      <c r="F119" s="155"/>
      <c r="G119" s="155"/>
      <c r="H119" s="155"/>
      <c r="I119" s="155"/>
      <c r="J119" s="155"/>
      <c r="K119" s="155"/>
      <c r="L119" s="155"/>
      <c r="M119" s="155"/>
      <c r="N119" s="155"/>
      <c r="O119" s="155"/>
      <c r="P119" s="155"/>
      <c r="Q119" s="155"/>
      <c r="R119" s="155"/>
      <c r="S119" s="446">
        <f t="shared" ref="S119:Y119" si="122">S118/O118-1</f>
        <v>1.4718757354671688</v>
      </c>
      <c r="T119" s="446">
        <f t="shared" si="122"/>
        <v>0.75</v>
      </c>
      <c r="U119" s="446">
        <f t="shared" si="122"/>
        <v>0.66666666666666674</v>
      </c>
      <c r="V119" s="446">
        <f t="shared" si="122"/>
        <v>1.3422466003885267</v>
      </c>
      <c r="W119" s="446">
        <f t="shared" si="122"/>
        <v>1.9515376559078357</v>
      </c>
      <c r="X119" s="446">
        <f t="shared" si="122"/>
        <v>2.0714285714285716</v>
      </c>
      <c r="Y119" s="446">
        <f t="shared" si="122"/>
        <v>1.7999999999999998</v>
      </c>
      <c r="Z119" s="446">
        <f>Z118/V118-1</f>
        <v>1.1466556081377761</v>
      </c>
      <c r="AA119" s="446">
        <f>AA118/W118-1</f>
        <v>0.4838709677419355</v>
      </c>
      <c r="AB119" s="446">
        <f t="shared" ref="AB119" si="123">AB118/X118-1</f>
        <v>0.11627906976744184</v>
      </c>
      <c r="AC119" s="446">
        <f t="shared" ref="AC119" si="124">AC118/Y118-1</f>
        <v>0.23530952380952397</v>
      </c>
      <c r="AD119" s="446">
        <f t="shared" ref="AD119" si="125">AD118/Z118-1</f>
        <v>0.22727272727272729</v>
      </c>
      <c r="AE119" s="446">
        <f t="shared" ref="AE119:AF119" si="126">AE118/AA118-1</f>
        <v>4.3478260869565188E-2</v>
      </c>
      <c r="AF119" s="446">
        <f t="shared" si="126"/>
        <v>-4.166666666666663E-2</v>
      </c>
      <c r="AG119" s="446">
        <f t="shared" ref="AG119" si="127">AG118/AC118-1</f>
        <v>-0.12981130620819925</v>
      </c>
      <c r="AH119" s="446">
        <f t="shared" ref="AH119" si="128">AH118/AD118-1</f>
        <v>-0.16666666666666663</v>
      </c>
      <c r="AI119" s="446">
        <f>AI118/AE118-1</f>
        <v>-1.041666666666663E-2</v>
      </c>
      <c r="AJ119" s="446">
        <f t="shared" ref="AJ119" si="129">AJ118/AF118-1</f>
        <v>-2.1739130434782594E-2</v>
      </c>
      <c r="AK119" s="1089">
        <f>AK118/AG118-1</f>
        <v>4.1020643217861252E-2</v>
      </c>
      <c r="AL119" s="1089">
        <f>AL118/AH118-1</f>
        <v>5.0898888888888827E-2</v>
      </c>
      <c r="AM119" s="453"/>
      <c r="AN119" s="446"/>
      <c r="AT119" s="446"/>
      <c r="BR119" s="446"/>
      <c r="BS119" s="446"/>
      <c r="BT119" s="446"/>
      <c r="BU119" s="446"/>
      <c r="BV119" s="446"/>
      <c r="BW119" s="446"/>
      <c r="BX119" s="446"/>
      <c r="BY119" s="154"/>
      <c r="BZ119" s="154"/>
      <c r="CA119" s="154"/>
      <c r="CB119" s="154"/>
      <c r="CC119" s="154"/>
      <c r="CD119" s="154"/>
      <c r="CE119" s="446">
        <v>0.22750000000000048</v>
      </c>
      <c r="CF119" s="446"/>
      <c r="CG119" s="154"/>
      <c r="CH119" s="154"/>
      <c r="CI119" s="154"/>
      <c r="CJ119" s="154"/>
      <c r="CK119" s="453"/>
      <c r="CL119" s="446">
        <v>0.21739130434782616</v>
      </c>
      <c r="CM119" s="446"/>
      <c r="CN119" s="446"/>
      <c r="CO119" s="446"/>
      <c r="CP119" s="446"/>
      <c r="CQ119" s="446">
        <v>0.20833333333333326</v>
      </c>
      <c r="CR119" s="446"/>
      <c r="CS119" s="446"/>
      <c r="CT119" s="446"/>
      <c r="CU119" s="446"/>
      <c r="CV119" s="446"/>
      <c r="CW119" s="446">
        <v>0.20487296296296309</v>
      </c>
      <c r="CX119" s="453"/>
      <c r="CY119" s="446"/>
      <c r="CZ119" s="446"/>
      <c r="DA119" s="1089">
        <v>2.1739130434782705E-2</v>
      </c>
    </row>
    <row r="120" spans="1:105">
      <c r="A120" s="465" t="s">
        <v>634</v>
      </c>
      <c r="B120" s="155"/>
      <c r="C120" s="155"/>
      <c r="D120" s="155"/>
      <c r="E120" s="155"/>
      <c r="F120" s="155"/>
      <c r="G120" s="155"/>
      <c r="H120" s="155"/>
      <c r="I120" s="155"/>
      <c r="J120" s="155"/>
      <c r="K120" s="155"/>
      <c r="L120" s="155"/>
      <c r="M120" s="155"/>
      <c r="N120" s="155"/>
      <c r="O120" s="155"/>
      <c r="P120" s="155"/>
      <c r="Q120" s="155"/>
      <c r="R120" s="155"/>
      <c r="S120" s="446"/>
      <c r="T120" s="446"/>
      <c r="U120" s="446"/>
      <c r="V120" s="446"/>
      <c r="W120" s="461">
        <v>0.33</v>
      </c>
      <c r="X120" s="461">
        <v>0.27900000000000003</v>
      </c>
      <c r="Y120" s="461">
        <v>0.36099999999999999</v>
      </c>
      <c r="Z120" s="461">
        <v>0.316</v>
      </c>
      <c r="AA120" s="461">
        <v>0.184</v>
      </c>
      <c r="AB120" s="461">
        <v>0.13800000000000001</v>
      </c>
      <c r="AC120" s="461">
        <v>0.14799999999999999</v>
      </c>
      <c r="AD120" s="461">
        <v>0.16600000000000001</v>
      </c>
      <c r="AE120" s="461">
        <v>-4.0000000000000001E-3</v>
      </c>
      <c r="AF120" s="461">
        <v>1.4999999999999999E-2</v>
      </c>
      <c r="AG120" s="461">
        <v>-6.0000000000000001E-3</v>
      </c>
      <c r="AH120" s="461">
        <v>-2.7E-2</v>
      </c>
      <c r="AI120" s="461">
        <v>0.18099999999999999</v>
      </c>
      <c r="AJ120" s="461">
        <v>0.06</v>
      </c>
      <c r="AK120" s="1089"/>
      <c r="AL120" s="1089"/>
      <c r="AM120" s="463"/>
      <c r="AN120" s="461"/>
      <c r="AT120" s="461"/>
      <c r="BR120" s="461"/>
      <c r="BS120" s="461"/>
      <c r="BT120" s="461"/>
      <c r="BU120" s="461"/>
      <c r="BV120" s="461"/>
      <c r="BW120" s="461"/>
      <c r="BX120" s="461"/>
      <c r="BY120" s="154"/>
      <c r="BZ120" s="154"/>
      <c r="CA120" s="154"/>
      <c r="CB120" s="154"/>
      <c r="CC120" s="154"/>
      <c r="CD120" s="154"/>
      <c r="CE120" s="461"/>
      <c r="CF120" s="461"/>
      <c r="CG120" s="154"/>
      <c r="CH120" s="154"/>
      <c r="CI120" s="154"/>
      <c r="CJ120" s="154"/>
      <c r="CK120" s="463"/>
      <c r="CL120" s="461"/>
      <c r="CM120" s="461"/>
      <c r="CN120" s="461"/>
      <c r="CO120" s="461"/>
      <c r="CP120" s="461"/>
      <c r="CQ120" s="461"/>
      <c r="CR120" s="461"/>
      <c r="CS120" s="461"/>
      <c r="CT120" s="461"/>
      <c r="CU120" s="461"/>
      <c r="CV120" s="461"/>
      <c r="CW120" s="461"/>
      <c r="CX120" s="463"/>
      <c r="CY120" s="461"/>
      <c r="CZ120" s="461"/>
      <c r="DA120" s="1089"/>
    </row>
    <row r="121" spans="1:105">
      <c r="A121" s="465"/>
      <c r="B121" s="155"/>
      <c r="C121" s="155"/>
      <c r="D121" s="155"/>
      <c r="E121" s="155"/>
      <c r="F121" s="155"/>
      <c r="G121" s="155"/>
      <c r="H121" s="155"/>
      <c r="I121" s="155"/>
      <c r="J121" s="155"/>
      <c r="K121" s="155"/>
      <c r="L121" s="155"/>
      <c r="M121" s="155"/>
      <c r="N121" s="155"/>
      <c r="O121" s="155"/>
      <c r="P121" s="155"/>
      <c r="Q121" s="155"/>
      <c r="R121" s="155"/>
      <c r="S121" s="446"/>
      <c r="T121" s="446"/>
      <c r="U121" s="446"/>
      <c r="V121" s="446"/>
      <c r="W121" s="461"/>
      <c r="X121" s="461"/>
      <c r="Y121" s="461"/>
      <c r="Z121" s="461"/>
      <c r="AA121" s="461"/>
      <c r="AB121" s="461"/>
      <c r="AC121" s="461"/>
      <c r="AD121" s="461"/>
      <c r="AE121" s="461"/>
      <c r="AF121" s="461"/>
      <c r="AG121" s="461"/>
      <c r="AH121" s="461"/>
      <c r="AI121" s="461"/>
      <c r="AJ121" s="461"/>
      <c r="AK121" s="1089"/>
      <c r="AL121" s="1089"/>
      <c r="AM121" s="463"/>
      <c r="AN121" s="461"/>
      <c r="AT121" s="461"/>
      <c r="BR121" s="461"/>
      <c r="BS121" s="461"/>
      <c r="BT121" s="461"/>
      <c r="BU121" s="461"/>
      <c r="BV121" s="461"/>
      <c r="BW121" s="461"/>
      <c r="BX121" s="461"/>
      <c r="BY121" s="154"/>
      <c r="BZ121" s="154"/>
      <c r="CA121" s="154"/>
      <c r="CB121" s="154"/>
      <c r="CC121" s="154"/>
      <c r="CD121" s="154"/>
      <c r="CE121" s="461"/>
      <c r="CF121" s="461"/>
      <c r="CG121" s="154"/>
      <c r="CH121" s="154"/>
      <c r="CI121" s="154"/>
      <c r="CJ121" s="154"/>
      <c r="CK121" s="463"/>
      <c r="CL121" s="461"/>
      <c r="CM121" s="461"/>
      <c r="CN121" s="461"/>
      <c r="CO121" s="461"/>
      <c r="CP121" s="461"/>
      <c r="CQ121" s="461"/>
      <c r="CR121" s="461"/>
      <c r="CS121" s="461"/>
      <c r="CT121" s="461"/>
      <c r="CU121" s="461"/>
      <c r="CV121" s="461"/>
      <c r="CW121" s="461"/>
      <c r="CX121" s="463"/>
      <c r="CY121" s="461"/>
      <c r="CZ121" s="461"/>
      <c r="DA121" s="1089"/>
    </row>
    <row r="122" spans="1:105">
      <c r="A122" s="465" t="s">
        <v>273</v>
      </c>
      <c r="B122" s="444"/>
      <c r="C122" s="444"/>
      <c r="D122" s="444"/>
      <c r="E122" s="444"/>
      <c r="F122" s="444"/>
      <c r="G122" s="444"/>
      <c r="H122" s="444"/>
      <c r="I122" s="444"/>
      <c r="J122" s="444"/>
      <c r="K122" s="444"/>
      <c r="L122" s="444"/>
      <c r="M122" s="444"/>
      <c r="N122" s="444"/>
      <c r="O122" s="444">
        <v>3.2309999999999999</v>
      </c>
      <c r="P122" s="444">
        <v>6</v>
      </c>
      <c r="Q122" s="444">
        <v>6</v>
      </c>
      <c r="R122" s="444">
        <f>22-O122-P122-Q122</f>
        <v>6.7689999999999984</v>
      </c>
      <c r="S122" s="444">
        <v>6.7240000000000002</v>
      </c>
      <c r="T122" s="444">
        <v>7</v>
      </c>
      <c r="U122" s="444">
        <v>7</v>
      </c>
      <c r="V122" s="444">
        <f>29-S122-T122-U122</f>
        <v>8.2759999999999998</v>
      </c>
      <c r="W122" s="444">
        <v>9</v>
      </c>
      <c r="X122" s="444">
        <v>9</v>
      </c>
      <c r="Y122" s="444">
        <v>9</v>
      </c>
      <c r="Z122" s="444">
        <v>10</v>
      </c>
      <c r="AA122" s="444">
        <v>10</v>
      </c>
      <c r="AB122" s="444">
        <v>10</v>
      </c>
      <c r="AC122" s="444">
        <v>10.265000000000001</v>
      </c>
      <c r="AD122" s="444">
        <v>11</v>
      </c>
      <c r="AE122" s="444">
        <v>11</v>
      </c>
      <c r="AF122" s="444">
        <v>11</v>
      </c>
      <c r="AG122" s="444">
        <v>12.705</v>
      </c>
      <c r="AH122" s="451"/>
      <c r="AI122" s="444"/>
      <c r="AJ122" s="444"/>
      <c r="AK122" s="447"/>
      <c r="AL122" s="447"/>
      <c r="AM122" s="452"/>
      <c r="AN122" s="451"/>
      <c r="AP122" s="108"/>
      <c r="AT122" s="832"/>
      <c r="AU122" s="108"/>
      <c r="AX122" s="108"/>
      <c r="BR122" s="451"/>
      <c r="BS122" s="451"/>
      <c r="BT122" s="451"/>
      <c r="BU122" s="451"/>
      <c r="BV122" s="451"/>
      <c r="BW122" s="451"/>
      <c r="BX122" s="451"/>
      <c r="BY122" s="154"/>
      <c r="BZ122" s="154"/>
      <c r="CA122" s="154"/>
      <c r="CB122" s="154"/>
      <c r="CC122" s="154"/>
      <c r="CD122" s="154"/>
      <c r="CE122" s="447">
        <v>10.670175266142088</v>
      </c>
      <c r="CF122" s="108">
        <f>AD122/CE122-1</f>
        <v>3.0910901239316058E-2</v>
      </c>
      <c r="CG122" s="451"/>
      <c r="CH122" s="446" t="e">
        <f>AD122/CG122-1</f>
        <v>#DIV/0!</v>
      </c>
      <c r="CI122" s="446"/>
      <c r="CJ122" s="446"/>
      <c r="CK122" s="452">
        <f>MENA!J45</f>
        <v>40.655999999999999</v>
      </c>
      <c r="CL122" s="832">
        <v>11</v>
      </c>
      <c r="CM122" s="665">
        <f>AE122/CL122-1</f>
        <v>0</v>
      </c>
      <c r="CN122" s="444">
        <v>11.2</v>
      </c>
      <c r="CO122" s="665">
        <f>AE122/CN122-1</f>
        <v>-1.7857142857142794E-2</v>
      </c>
      <c r="CP122" s="451"/>
      <c r="CQ122" s="832">
        <v>11.5</v>
      </c>
      <c r="CR122" s="665">
        <f>AF122/CQ122-1</f>
        <v>-4.3478260869565188E-2</v>
      </c>
      <c r="CS122" s="444">
        <v>10.7</v>
      </c>
      <c r="CT122" s="665">
        <f>AF122/CS122-1</f>
        <v>2.8037383177570208E-2</v>
      </c>
      <c r="CU122" s="451"/>
      <c r="CV122" s="451"/>
      <c r="CW122" s="451">
        <v>10.365729886177908</v>
      </c>
      <c r="CX122" s="452">
        <f>MENA!K45</f>
        <v>44.887</v>
      </c>
      <c r="CY122" s="451"/>
      <c r="CZ122" s="451"/>
      <c r="DA122" s="447"/>
    </row>
    <row r="123" spans="1:105">
      <c r="A123" s="465" t="s">
        <v>633</v>
      </c>
      <c r="B123" s="155"/>
      <c r="C123" s="155"/>
      <c r="D123" s="155"/>
      <c r="E123" s="155"/>
      <c r="F123" s="155"/>
      <c r="G123" s="155"/>
      <c r="H123" s="155"/>
      <c r="I123" s="155"/>
      <c r="J123" s="155"/>
      <c r="K123" s="155"/>
      <c r="L123" s="155"/>
      <c r="M123" s="155"/>
      <c r="N123" s="155"/>
      <c r="O123" s="155"/>
      <c r="P123" s="155"/>
      <c r="Q123" s="155"/>
      <c r="R123" s="155"/>
      <c r="S123" s="446">
        <f t="shared" ref="S123:Y123" si="130">S122/O122-1</f>
        <v>1.0810894459919531</v>
      </c>
      <c r="T123" s="446">
        <f t="shared" si="130"/>
        <v>0.16666666666666674</v>
      </c>
      <c r="U123" s="446">
        <f t="shared" si="130"/>
        <v>0.16666666666666674</v>
      </c>
      <c r="V123" s="446">
        <f t="shared" si="130"/>
        <v>0.22263258974737798</v>
      </c>
      <c r="W123" s="446">
        <f t="shared" si="130"/>
        <v>0.33848899464604387</v>
      </c>
      <c r="X123" s="446">
        <f t="shared" si="130"/>
        <v>0.28571428571428581</v>
      </c>
      <c r="Y123" s="446">
        <f t="shared" si="130"/>
        <v>0.28571428571428581</v>
      </c>
      <c r="Z123" s="446">
        <f>Z122/V122-1</f>
        <v>0.20831319478008692</v>
      </c>
      <c r="AA123" s="446">
        <f>AA122/W122-1</f>
        <v>0.11111111111111116</v>
      </c>
      <c r="AB123" s="446">
        <f t="shared" ref="AB123" si="131">AB122/X122-1</f>
        <v>0.11111111111111116</v>
      </c>
      <c r="AC123" s="446">
        <f t="shared" ref="AC123" si="132">AC122/Y122-1</f>
        <v>0.14055555555555554</v>
      </c>
      <c r="AD123" s="446">
        <f t="shared" ref="AD123" si="133">AD122/Z122-1</f>
        <v>0.10000000000000009</v>
      </c>
      <c r="AE123" s="446">
        <f t="shared" ref="AE123:AF123" si="134">AE122/AA122-1</f>
        <v>0.10000000000000009</v>
      </c>
      <c r="AF123" s="446">
        <f t="shared" si="134"/>
        <v>0.10000000000000009</v>
      </c>
      <c r="AG123" s="446">
        <f t="shared" ref="AG123" si="135">AG122/AC122-1</f>
        <v>0.23770092547491473</v>
      </c>
      <c r="AH123" s="446"/>
      <c r="AI123" s="446"/>
      <c r="AJ123" s="446"/>
      <c r="AK123" s="1089"/>
      <c r="AL123" s="1089"/>
      <c r="AM123" s="453"/>
      <c r="AN123" s="446"/>
      <c r="AT123" s="446"/>
      <c r="BR123" s="446"/>
      <c r="BS123" s="446"/>
      <c r="BT123" s="446"/>
      <c r="BU123" s="446"/>
      <c r="BV123" s="446"/>
      <c r="BW123" s="446"/>
      <c r="BX123" s="446"/>
      <c r="BY123" s="154"/>
      <c r="BZ123" s="154"/>
      <c r="CA123" s="154"/>
      <c r="CB123" s="154"/>
      <c r="CC123" s="154"/>
      <c r="CD123" s="154"/>
      <c r="CE123" s="446">
        <v>6.7017526614208789E-2</v>
      </c>
      <c r="CF123" s="446"/>
      <c r="CG123" s="155"/>
      <c r="CH123" s="155"/>
      <c r="CI123" s="155"/>
      <c r="CJ123" s="155"/>
      <c r="CK123" s="453"/>
      <c r="CL123" s="446">
        <v>0.10000000000000009</v>
      </c>
      <c r="CM123" s="446"/>
      <c r="CN123" s="446"/>
      <c r="CO123" s="446"/>
      <c r="CP123" s="446"/>
      <c r="CQ123" s="446">
        <v>0.14999999999999991</v>
      </c>
      <c r="CR123" s="446"/>
      <c r="CS123" s="446"/>
      <c r="CT123" s="446"/>
      <c r="CU123" s="446"/>
      <c r="CV123" s="446"/>
      <c r="CW123" s="446">
        <v>-5.7660919438372038E-2</v>
      </c>
      <c r="CX123" s="453"/>
      <c r="CY123" s="446"/>
      <c r="CZ123" s="446"/>
      <c r="DA123" s="1089"/>
    </row>
    <row r="124" spans="1:105">
      <c r="A124" s="465" t="s">
        <v>634</v>
      </c>
      <c r="B124" s="155"/>
      <c r="C124" s="155"/>
      <c r="D124" s="155"/>
      <c r="E124" s="155"/>
      <c r="F124" s="155"/>
      <c r="G124" s="155"/>
      <c r="H124" s="155"/>
      <c r="I124" s="155"/>
      <c r="J124" s="155"/>
      <c r="K124" s="155"/>
      <c r="L124" s="155"/>
      <c r="M124" s="155"/>
      <c r="N124" s="155"/>
      <c r="O124" s="156"/>
      <c r="P124" s="156"/>
      <c r="Q124" s="156"/>
      <c r="R124" s="156"/>
      <c r="S124" s="156"/>
      <c r="T124" s="156"/>
      <c r="U124" s="156"/>
      <c r="V124" s="156"/>
      <c r="W124" s="156"/>
      <c r="X124" s="461">
        <v>0.13500000000000001</v>
      </c>
      <c r="Y124" s="461">
        <v>0.16200000000000001</v>
      </c>
      <c r="Z124" s="461">
        <v>0.151</v>
      </c>
      <c r="AA124" s="461">
        <v>0.112</v>
      </c>
      <c r="AB124" s="461">
        <v>8.4000000000000005E-2</v>
      </c>
      <c r="AC124" s="461">
        <v>7.3999999999999996E-2</v>
      </c>
      <c r="AD124" s="461">
        <v>6.4000000000000001E-2</v>
      </c>
      <c r="AE124" s="461">
        <v>0.06</v>
      </c>
      <c r="AF124" s="461">
        <v>6.4000000000000001E-2</v>
      </c>
      <c r="AG124" s="461">
        <v>0.192</v>
      </c>
      <c r="AH124" s="461">
        <v>7.4999999999999997E-2</v>
      </c>
      <c r="AI124" s="461"/>
      <c r="AJ124" s="461"/>
      <c r="AK124" s="1089"/>
      <c r="AL124" s="1089"/>
      <c r="AM124" s="463"/>
      <c r="AN124" s="461"/>
      <c r="AT124" s="461"/>
      <c r="BR124" s="461"/>
      <c r="BS124" s="461"/>
      <c r="BT124" s="461"/>
      <c r="BU124" s="461"/>
      <c r="BV124" s="461"/>
      <c r="BW124" s="461"/>
      <c r="BX124" s="461"/>
      <c r="BY124" s="154"/>
      <c r="BZ124" s="154"/>
      <c r="CA124" s="154"/>
      <c r="CB124" s="154"/>
      <c r="CC124" s="154"/>
      <c r="CD124" s="154"/>
      <c r="CE124" s="461"/>
      <c r="CF124" s="461"/>
      <c r="CG124" s="155"/>
      <c r="CH124" s="155"/>
      <c r="CI124" s="155"/>
      <c r="CJ124" s="155"/>
      <c r="CK124" s="463"/>
      <c r="CL124" s="461"/>
      <c r="CM124" s="461"/>
      <c r="CN124" s="461"/>
      <c r="CO124" s="461"/>
      <c r="CP124" s="461"/>
      <c r="CQ124" s="461"/>
      <c r="CR124" s="461"/>
      <c r="CS124" s="461"/>
      <c r="CT124" s="461"/>
      <c r="CU124" s="461"/>
      <c r="CV124" s="461"/>
      <c r="CW124" s="461"/>
      <c r="CX124" s="463"/>
      <c r="CY124" s="461"/>
      <c r="CZ124" s="461"/>
      <c r="DA124" s="1089"/>
    </row>
    <row r="125" spans="1:105">
      <c r="A125" s="154"/>
      <c r="B125" s="155"/>
      <c r="C125" s="155"/>
      <c r="D125" s="155"/>
      <c r="E125" s="155"/>
      <c r="F125" s="155"/>
      <c r="G125" s="155"/>
      <c r="H125" s="155"/>
      <c r="I125" s="155"/>
      <c r="J125" s="155"/>
      <c r="K125" s="155"/>
      <c r="L125" s="155"/>
      <c r="M125" s="155"/>
      <c r="N125" s="155"/>
      <c r="O125" s="156"/>
      <c r="P125" s="156"/>
      <c r="Q125" s="156"/>
      <c r="R125" s="156"/>
      <c r="S125" s="156"/>
      <c r="T125" s="156"/>
      <c r="U125" s="156"/>
      <c r="V125" s="156"/>
      <c r="W125" s="156"/>
      <c r="X125" s="156"/>
      <c r="Y125" s="156"/>
      <c r="Z125" s="156"/>
      <c r="AA125" s="156"/>
      <c r="AB125" s="156"/>
      <c r="AC125" s="156"/>
      <c r="AD125" s="156"/>
      <c r="AE125" s="156"/>
      <c r="AF125" s="156"/>
      <c r="AG125" s="156"/>
      <c r="AH125" s="156"/>
      <c r="AI125" s="156"/>
      <c r="AJ125" s="156"/>
      <c r="AK125" s="447"/>
      <c r="AL125" s="447"/>
      <c r="AM125" s="450"/>
      <c r="AN125" s="156"/>
      <c r="AT125" s="156"/>
      <c r="BR125" s="156"/>
      <c r="BS125" s="156"/>
      <c r="BT125" s="156"/>
      <c r="BU125" s="156"/>
      <c r="BV125" s="156"/>
      <c r="BW125" s="156"/>
      <c r="BX125" s="156"/>
      <c r="BY125" s="154"/>
      <c r="BZ125" s="154"/>
      <c r="CA125" s="154"/>
      <c r="CB125" s="154"/>
      <c r="CC125" s="154"/>
      <c r="CD125" s="154"/>
      <c r="CE125" s="156"/>
      <c r="CF125" s="156"/>
      <c r="CG125" s="155"/>
      <c r="CH125" s="155"/>
      <c r="CI125" s="155"/>
      <c r="CJ125" s="155"/>
      <c r="CK125" s="450"/>
      <c r="CL125" s="156"/>
      <c r="CM125" s="156"/>
      <c r="CN125" s="156"/>
      <c r="CO125" s="156"/>
      <c r="CP125" s="156"/>
      <c r="CQ125" s="156"/>
      <c r="CR125" s="156"/>
      <c r="CS125" s="156"/>
      <c r="CT125" s="156"/>
      <c r="CU125" s="156"/>
      <c r="CV125" s="156"/>
      <c r="CW125" s="156"/>
      <c r="CX125" s="450"/>
      <c r="CY125" s="156"/>
      <c r="CZ125" s="156"/>
      <c r="DA125" s="447"/>
    </row>
    <row r="126" spans="1:105">
      <c r="A126" s="154"/>
      <c r="B126" s="155"/>
      <c r="C126" s="155"/>
      <c r="D126" s="155"/>
      <c r="E126" s="155"/>
      <c r="F126" s="155"/>
      <c r="G126" s="155"/>
      <c r="H126" s="155"/>
      <c r="I126" s="155"/>
      <c r="J126" s="155"/>
      <c r="K126" s="155"/>
      <c r="L126" s="155"/>
      <c r="M126" s="155"/>
      <c r="N126" s="155"/>
      <c r="O126" s="155"/>
      <c r="P126" s="155"/>
      <c r="Q126" s="155"/>
      <c r="R126" s="155"/>
      <c r="S126" s="155"/>
      <c r="T126" s="156"/>
      <c r="U126" s="155"/>
      <c r="V126" s="155"/>
      <c r="W126" s="155"/>
      <c r="X126" s="155"/>
      <c r="Y126" s="155"/>
      <c r="Z126" s="155"/>
      <c r="AA126" s="162">
        <f>AA127/W128-1</f>
        <v>0.17190690077582693</v>
      </c>
      <c r="AB126" s="162">
        <f>AB127/X128-1</f>
        <v>0.22050209205020921</v>
      </c>
      <c r="AD126" s="155"/>
      <c r="AE126" s="155"/>
      <c r="AF126" s="155"/>
      <c r="AG126" s="155"/>
      <c r="AH126" s="155"/>
      <c r="AI126" s="155"/>
      <c r="AJ126" s="155"/>
      <c r="AK126" s="768"/>
      <c r="AL126" s="768"/>
      <c r="AM126" s="408"/>
      <c r="AT126" s="155"/>
      <c r="BR126" s="666"/>
      <c r="BS126" s="666"/>
      <c r="BT126" s="666"/>
      <c r="BU126" s="666"/>
      <c r="BV126" s="666"/>
      <c r="BW126" s="666"/>
      <c r="BX126" s="666"/>
      <c r="BY126" s="154"/>
      <c r="BZ126" s="154"/>
      <c r="CA126" s="154"/>
      <c r="CB126" s="154"/>
      <c r="CC126" s="154"/>
      <c r="CD126" s="154"/>
      <c r="CE126" s="155"/>
      <c r="CF126" s="155"/>
      <c r="CG126" s="155"/>
      <c r="CH126" s="155"/>
      <c r="CI126" s="155"/>
      <c r="CJ126" s="155"/>
      <c r="CK126" s="408"/>
      <c r="CL126" s="155"/>
      <c r="CM126" s="666"/>
      <c r="CN126" s="666"/>
      <c r="CO126" s="666"/>
      <c r="CP126" s="666"/>
      <c r="CQ126" s="155"/>
      <c r="CR126" s="666"/>
      <c r="CS126" s="666"/>
      <c r="CT126" s="666"/>
      <c r="CU126" s="666"/>
      <c r="CV126" s="666"/>
      <c r="CW126" s="155"/>
      <c r="CX126" s="408"/>
      <c r="CY126" s="666"/>
      <c r="CZ126" s="666"/>
      <c r="DA126" s="768"/>
    </row>
    <row r="127" spans="1:105">
      <c r="A127" s="154"/>
      <c r="B127" s="155"/>
      <c r="C127" s="155"/>
      <c r="D127" s="155"/>
      <c r="E127" s="155"/>
      <c r="F127" s="155"/>
      <c r="G127" s="155"/>
      <c r="H127" s="155"/>
      <c r="I127" s="155"/>
      <c r="J127" s="155"/>
      <c r="K127" s="155"/>
      <c r="L127" s="155"/>
      <c r="M127" s="155"/>
      <c r="N127" s="155"/>
      <c r="O127" s="155"/>
      <c r="P127" s="155"/>
      <c r="Q127" s="155"/>
      <c r="R127" s="155"/>
      <c r="S127" s="155"/>
      <c r="T127" s="155"/>
      <c r="U127" s="155"/>
      <c r="V127" s="155"/>
      <c r="W127" s="155"/>
      <c r="X127" s="155"/>
      <c r="Y127" s="670">
        <f>U128-1.186</f>
        <v>218.81399999999999</v>
      </c>
      <c r="Z127" s="155"/>
      <c r="AA127" s="156">
        <f>AA128-48</f>
        <v>287</v>
      </c>
      <c r="AB127" s="156">
        <f>AB128-12</f>
        <v>291.7</v>
      </c>
      <c r="AC127" s="155"/>
      <c r="AD127" s="155"/>
      <c r="AE127" s="155"/>
      <c r="AG127" s="155"/>
      <c r="AH127" s="155"/>
      <c r="AI127" s="155"/>
      <c r="AJ127" s="155"/>
      <c r="AK127" s="768"/>
      <c r="AL127" s="768"/>
      <c r="AM127" s="408"/>
      <c r="AN127" s="155"/>
      <c r="AO127" s="155"/>
      <c r="AT127" s="155"/>
      <c r="BR127" s="155"/>
      <c r="BS127" s="155"/>
      <c r="BT127" s="155"/>
      <c r="BU127" s="155"/>
      <c r="BV127" s="155"/>
      <c r="BW127" s="155"/>
      <c r="BX127" s="155"/>
      <c r="BY127" s="154"/>
      <c r="BZ127" s="154"/>
      <c r="CA127" s="154"/>
      <c r="CB127" s="154"/>
      <c r="CC127" s="154"/>
      <c r="CD127" s="154"/>
      <c r="CE127" s="155"/>
      <c r="CF127" s="155"/>
      <c r="CG127" s="155"/>
      <c r="CH127" s="155"/>
      <c r="CI127" s="155"/>
      <c r="CJ127" s="155"/>
      <c r="CK127" s="408"/>
      <c r="CL127" s="155"/>
      <c r="CM127" s="155"/>
      <c r="CN127" s="155"/>
      <c r="CO127" s="155"/>
      <c r="CP127" s="155"/>
      <c r="CQ127" s="847"/>
      <c r="CR127" s="155"/>
      <c r="CS127" s="155"/>
      <c r="CT127" s="155"/>
      <c r="CU127" s="155"/>
      <c r="CV127" s="155"/>
      <c r="CW127" s="155"/>
      <c r="CX127" s="408"/>
      <c r="CY127" s="155"/>
      <c r="CZ127" s="155"/>
      <c r="DA127" s="768"/>
    </row>
    <row r="128" spans="1:105" ht="14.1" customHeight="1">
      <c r="A128" s="443" t="s">
        <v>636</v>
      </c>
      <c r="B128" s="161"/>
      <c r="C128" s="161"/>
      <c r="D128" s="161"/>
      <c r="E128" s="161"/>
      <c r="F128" s="161"/>
      <c r="G128" s="161"/>
      <c r="H128" s="161"/>
      <c r="I128" s="161"/>
      <c r="J128" s="161"/>
      <c r="K128" s="161"/>
      <c r="L128" s="161"/>
      <c r="M128" s="161"/>
      <c r="N128" s="161"/>
      <c r="O128" s="457">
        <f>375-P128</f>
        <v>186</v>
      </c>
      <c r="P128" s="457">
        <v>189</v>
      </c>
      <c r="Q128" s="457">
        <v>229</v>
      </c>
      <c r="R128" s="457">
        <v>215</v>
      </c>
      <c r="S128" s="457">
        <v>215</v>
      </c>
      <c r="T128" s="457">
        <v>275</v>
      </c>
      <c r="U128" s="457">
        <v>220</v>
      </c>
      <c r="V128" s="457">
        <v>217</v>
      </c>
      <c r="W128" s="457">
        <v>244.9</v>
      </c>
      <c r="X128" s="457">
        <v>239</v>
      </c>
      <c r="Y128" s="457">
        <v>274.39999999999998</v>
      </c>
      <c r="Z128" s="457">
        <v>273</v>
      </c>
      <c r="AA128" s="457">
        <v>335</v>
      </c>
      <c r="AB128" s="457">
        <v>303.7</v>
      </c>
      <c r="AC128" s="457">
        <v>238.102</v>
      </c>
      <c r="AD128" s="457">
        <v>274.2</v>
      </c>
      <c r="AE128" s="457">
        <v>185</v>
      </c>
      <c r="AF128" s="457">
        <v>251</v>
      </c>
      <c r="AG128" s="457">
        <v>245.97499999999999</v>
      </c>
      <c r="AH128" s="457">
        <v>246.4</v>
      </c>
      <c r="AI128" s="457">
        <v>252.6</v>
      </c>
      <c r="AJ128" s="457">
        <v>248</v>
      </c>
      <c r="AK128" s="471">
        <f t="shared" ref="AK128:AL128" si="136">AK136+AK142+AK146+AK154</f>
        <v>253</v>
      </c>
      <c r="AL128" s="471">
        <f t="shared" si="136"/>
        <v>245.05849699308112</v>
      </c>
      <c r="AM128" s="459">
        <f>Consolidation!K32</f>
        <v>998.65849699308114</v>
      </c>
      <c r="AO128" s="444">
        <f>4*AI128</f>
        <v>1010.4</v>
      </c>
      <c r="AP128" t="str">
        <f>Consolidation!K35</f>
        <v>985-1005</v>
      </c>
      <c r="AQ128" s="953"/>
      <c r="AR128">
        <v>231.9</v>
      </c>
      <c r="AS128" s="46">
        <f>AI128/AR128-1</f>
        <v>8.9262613195342677E-2</v>
      </c>
      <c r="AT128" s="458"/>
      <c r="AU128" s="108"/>
      <c r="AV128" s="1114">
        <f>AJ128/DA128-1</f>
        <v>2.4793388429751984E-2</v>
      </c>
      <c r="AW128" s="458">
        <v>237.3</v>
      </c>
      <c r="AX128" s="1114">
        <f>AJ128/AW128-1</f>
        <v>4.509060261272646E-2</v>
      </c>
      <c r="BD128" s="167"/>
      <c r="BE128" s="167"/>
      <c r="BR128" s="461"/>
      <c r="BS128" s="461"/>
      <c r="BT128" s="461"/>
      <c r="BU128" s="461"/>
      <c r="BV128" s="461"/>
      <c r="BW128" s="461"/>
      <c r="BX128" s="461"/>
      <c r="BY128" s="461"/>
      <c r="BZ128" s="154"/>
      <c r="CA128" s="154"/>
      <c r="CB128" s="154"/>
      <c r="CC128" s="154"/>
      <c r="CD128" s="154"/>
      <c r="CE128" s="458">
        <v>251.94502514918111</v>
      </c>
      <c r="CF128" s="108">
        <f>AD128/CE128-1</f>
        <v>8.8332662403797446E-2</v>
      </c>
      <c r="CG128" s="458">
        <v>259</v>
      </c>
      <c r="CH128" s="446">
        <f>AD128/CG128-1</f>
        <v>5.8687258687258659E-2</v>
      </c>
      <c r="CI128" s="446"/>
      <c r="CJ128" s="446"/>
      <c r="CK128" s="459">
        <f>Consolidation!I32</f>
        <v>1132.5350000000001</v>
      </c>
      <c r="CL128" s="458">
        <v>200</v>
      </c>
      <c r="CM128" s="665">
        <f>AE128/CL128-1</f>
        <v>-7.4999999999999956E-2</v>
      </c>
      <c r="CN128" s="457">
        <v>202.7</v>
      </c>
      <c r="CO128" s="665">
        <f>AE128/CN128-1</f>
        <v>-8.7321164282190389E-2</v>
      </c>
      <c r="CP128" s="461"/>
      <c r="CQ128" s="458">
        <v>247.25</v>
      </c>
      <c r="CR128" s="665">
        <f>AF128/CQ128-1</f>
        <v>1.5166835187057526E-2</v>
      </c>
      <c r="CS128" s="457">
        <v>249.3</v>
      </c>
      <c r="CT128" s="665">
        <f>AF128/CS128-1</f>
        <v>6.8190934616927379E-3</v>
      </c>
      <c r="CU128" s="461"/>
      <c r="CV128" s="461"/>
      <c r="CW128" s="458">
        <v>237.11839522685926</v>
      </c>
      <c r="CX128" s="459">
        <f>Consolidation!J32</f>
        <v>928.35399999999993</v>
      </c>
      <c r="CY128" s="461"/>
      <c r="CZ128" s="461"/>
      <c r="DA128" s="471">
        <v>242</v>
      </c>
    </row>
    <row r="129" spans="1:105">
      <c r="A129" s="154" t="s">
        <v>633</v>
      </c>
      <c r="B129" s="155"/>
      <c r="C129" s="155"/>
      <c r="D129" s="155"/>
      <c r="E129" s="155"/>
      <c r="F129" s="155"/>
      <c r="G129" s="155"/>
      <c r="H129" s="155"/>
      <c r="I129" s="155"/>
      <c r="J129" s="155"/>
      <c r="K129" s="155"/>
      <c r="L129" s="155"/>
      <c r="M129" s="155"/>
      <c r="N129" s="155"/>
      <c r="O129" s="155"/>
      <c r="P129" s="155"/>
      <c r="Q129" s="155"/>
      <c r="R129" s="155"/>
      <c r="S129" s="446">
        <f t="shared" ref="S129:Y129" si="137">S128/O128-1</f>
        <v>0.15591397849462374</v>
      </c>
      <c r="T129" s="446">
        <f t="shared" si="137"/>
        <v>0.45502645502645511</v>
      </c>
      <c r="U129" s="446">
        <f t="shared" si="137"/>
        <v>-3.9301310043668103E-2</v>
      </c>
      <c r="V129" s="446">
        <f t="shared" si="137"/>
        <v>9.302325581395321E-3</v>
      </c>
      <c r="W129" s="446">
        <f t="shared" si="137"/>
        <v>0.13906976744186039</v>
      </c>
      <c r="X129" s="446">
        <f t="shared" si="137"/>
        <v>-0.13090909090909086</v>
      </c>
      <c r="Y129" s="446">
        <f t="shared" si="137"/>
        <v>0.24727272727272709</v>
      </c>
      <c r="Z129" s="446">
        <f>Z128/V128-1</f>
        <v>0.25806451612903225</v>
      </c>
      <c r="AA129" s="446">
        <f>AA128/W128-1</f>
        <v>0.36790526745610452</v>
      </c>
      <c r="AB129" s="446">
        <f t="shared" ref="AB129:AD129" si="138">AB128/X128-1</f>
        <v>0.27071129707112962</v>
      </c>
      <c r="AC129" s="446">
        <f t="shared" si="138"/>
        <v>-0.1322813411078716</v>
      </c>
      <c r="AD129" s="446">
        <f t="shared" si="138"/>
        <v>4.39560439560438E-3</v>
      </c>
      <c r="AE129" s="446">
        <f t="shared" ref="AE129:AF129" si="139">AE128/AA128-1</f>
        <v>-0.44776119402985071</v>
      </c>
      <c r="AF129" s="446">
        <f t="shared" si="139"/>
        <v>-0.17352650642081002</v>
      </c>
      <c r="AG129" s="446">
        <f t="shared" ref="AG129" si="140">AG128/AC128-1</f>
        <v>3.3065660935229335E-2</v>
      </c>
      <c r="AH129" s="446">
        <f t="shared" ref="AH129" si="141">AH128/AD128-1</f>
        <v>-0.10138584974471188</v>
      </c>
      <c r="AI129" s="446">
        <f>AI128/AE128-1</f>
        <v>0.36540540540540545</v>
      </c>
      <c r="AJ129" s="446">
        <f>AJ128/AF128-1</f>
        <v>-1.195219123505975E-2</v>
      </c>
      <c r="AK129" s="1083">
        <f>AK128/AG128-1</f>
        <v>2.8559812989124911E-2</v>
      </c>
      <c r="AL129" s="1083">
        <f>AL128/AH128-1</f>
        <v>-5.4444115540539517E-3</v>
      </c>
      <c r="AM129" s="453"/>
      <c r="AO129">
        <f>AO128/980-1</f>
        <v>3.1020408163265234E-2</v>
      </c>
      <c r="AT129" s="446"/>
      <c r="BD129" s="167"/>
      <c r="BE129" s="167"/>
      <c r="BR129" s="446"/>
      <c r="BS129" s="446"/>
      <c r="BT129" s="446"/>
      <c r="BU129" s="446"/>
      <c r="BV129" s="446"/>
      <c r="BW129" s="446"/>
      <c r="BX129" s="446"/>
      <c r="BY129" s="154"/>
      <c r="BZ129" s="154"/>
      <c r="CA129" s="154"/>
      <c r="CB129" s="154"/>
      <c r="CC129" s="154"/>
      <c r="CD129" s="154"/>
      <c r="CE129" s="446">
        <v>-7.7124450002999612E-2</v>
      </c>
      <c r="CF129" s="446"/>
      <c r="CG129" s="155"/>
      <c r="CH129" s="155"/>
      <c r="CI129" s="155"/>
      <c r="CJ129" s="155"/>
      <c r="CK129" s="453"/>
      <c r="CL129" s="446">
        <v>-0.40298507462686572</v>
      </c>
      <c r="CM129" s="446"/>
      <c r="CN129" s="446"/>
      <c r="CO129" s="446"/>
      <c r="CP129" s="446"/>
      <c r="CQ129" s="446">
        <v>-0.18587421797826797</v>
      </c>
      <c r="CR129" s="446"/>
      <c r="CS129" s="446"/>
      <c r="CT129" s="446"/>
      <c r="CU129" s="446"/>
      <c r="CV129" s="446"/>
      <c r="CW129" s="446">
        <v>-7.4472106625113055E-2</v>
      </c>
      <c r="CX129" s="453"/>
      <c r="CY129" s="446"/>
      <c r="CZ129" s="446"/>
      <c r="DA129" s="1083">
        <v>-3.5856573705179251E-2</v>
      </c>
    </row>
    <row r="130" spans="1:105">
      <c r="A130" s="154" t="s">
        <v>871</v>
      </c>
      <c r="B130" s="155"/>
      <c r="C130" s="155"/>
      <c r="D130" s="155"/>
      <c r="E130" s="155"/>
      <c r="F130" s="155"/>
      <c r="G130" s="155"/>
      <c r="H130" s="155"/>
      <c r="I130" s="155"/>
      <c r="J130" s="155"/>
      <c r="K130" s="155"/>
      <c r="L130" s="155"/>
      <c r="M130" s="155"/>
      <c r="N130" s="155"/>
      <c r="O130" s="155"/>
      <c r="P130" s="155"/>
      <c r="Q130" s="155"/>
      <c r="R130" s="155"/>
      <c r="S130" s="446"/>
      <c r="T130" s="446"/>
      <c r="U130" s="446"/>
      <c r="V130" s="446"/>
      <c r="W130" s="461">
        <v>0.13900000000000001</v>
      </c>
      <c r="X130" s="461">
        <v>0.11600000000000001</v>
      </c>
      <c r="Y130" s="461">
        <v>0.16800000000000001</v>
      </c>
      <c r="Z130" s="461">
        <v>0.25900000000000001</v>
      </c>
      <c r="AA130" s="461">
        <v>0.17299999999999999</v>
      </c>
      <c r="AB130" s="667">
        <f>(AB128-12)/X128-1</f>
        <v>0.22050209205020921</v>
      </c>
      <c r="AC130" s="446"/>
      <c r="AD130" s="446"/>
      <c r="AE130" s="446"/>
      <c r="AF130" s="446"/>
      <c r="AG130" s="446"/>
      <c r="AH130" s="446"/>
      <c r="AI130" s="446"/>
      <c r="AJ130" s="446"/>
      <c r="AK130" s="1089"/>
      <c r="AL130" s="1089"/>
      <c r="AM130" s="453"/>
      <c r="AP130">
        <v>970</v>
      </c>
      <c r="AT130" s="446"/>
      <c r="BD130" s="165"/>
      <c r="BE130" s="165"/>
      <c r="BF130" s="157"/>
      <c r="BR130" s="446"/>
      <c r="BS130" s="446"/>
      <c r="BT130" s="446"/>
      <c r="BU130" s="446"/>
      <c r="BV130" s="446"/>
      <c r="BW130" s="446"/>
      <c r="BX130" s="446"/>
      <c r="BY130" s="154"/>
      <c r="BZ130" s="154"/>
      <c r="CA130" s="154"/>
      <c r="CB130" s="154"/>
      <c r="CC130" s="154"/>
      <c r="CD130" s="154"/>
      <c r="CE130" s="446"/>
      <c r="CF130" s="446"/>
      <c r="CG130" s="155"/>
      <c r="CH130" s="155"/>
      <c r="CI130" s="155"/>
      <c r="CJ130" s="155"/>
      <c r="CK130" s="453"/>
      <c r="CL130" s="446"/>
      <c r="CM130" s="446"/>
      <c r="CN130" s="446"/>
      <c r="CO130" s="446"/>
      <c r="CP130" s="446"/>
      <c r="CQ130" s="446"/>
      <c r="CR130" s="446"/>
      <c r="CS130" s="446"/>
      <c r="CT130" s="446"/>
      <c r="CU130" s="446"/>
      <c r="CV130" s="446"/>
      <c r="CW130" s="446"/>
      <c r="CX130" s="453"/>
      <c r="CY130" s="446"/>
      <c r="CZ130" s="446"/>
      <c r="DA130" s="1089"/>
    </row>
    <row r="131" spans="1:105">
      <c r="A131" s="154" t="s">
        <v>634</v>
      </c>
      <c r="B131" s="155"/>
      <c r="C131" s="155"/>
      <c r="D131" s="155"/>
      <c r="E131" s="155"/>
      <c r="F131" s="155"/>
      <c r="G131" s="155"/>
      <c r="H131" s="155"/>
      <c r="I131" s="155"/>
      <c r="J131" s="155"/>
      <c r="K131" s="155"/>
      <c r="L131" s="155"/>
      <c r="M131" s="155"/>
      <c r="N131" s="155"/>
      <c r="O131" s="155"/>
      <c r="P131" s="155"/>
      <c r="Q131" s="155"/>
      <c r="R131" s="155"/>
      <c r="S131" s="155"/>
      <c r="T131" s="461"/>
      <c r="U131" s="461"/>
      <c r="V131" s="155"/>
      <c r="W131" s="446"/>
      <c r="X131" s="462">
        <v>0.11600000000000001</v>
      </c>
      <c r="Y131" s="462">
        <v>0.16800000000000001</v>
      </c>
      <c r="Z131" s="464">
        <f>(Z128-SSA!B162/4-1)/V128-1</f>
        <v>0.15552995391705071</v>
      </c>
      <c r="AA131" s="464">
        <f>(AA128-SSA!B162/4-48)/W128-1</f>
        <v>8.5136790526745498E-2</v>
      </c>
      <c r="AB131" s="464">
        <f>(AB128-(SSA!B162/4)*2/3-12)/X128-1</f>
        <v>0.16122733612273343</v>
      </c>
      <c r="AC131" s="669">
        <f>(AC128+105.1)/Y128-1</f>
        <v>0.25073615160349871</v>
      </c>
      <c r="AD131" s="461"/>
      <c r="AE131" s="573">
        <f>(AE128/(AA128-48))-1</f>
        <v>-0.35540069686411146</v>
      </c>
      <c r="AF131" s="461">
        <v>-0.11899999999999999</v>
      </c>
      <c r="AG131" s="461"/>
      <c r="AH131" s="461"/>
      <c r="AI131" s="573"/>
      <c r="AJ131" s="573"/>
      <c r="AK131" s="1089"/>
      <c r="AL131" s="1089"/>
      <c r="AM131" s="463"/>
      <c r="AP131">
        <v>1695</v>
      </c>
      <c r="AT131" s="461"/>
      <c r="BD131" s="154"/>
      <c r="BE131" s="461"/>
      <c r="BR131" s="461"/>
      <c r="BS131" s="461"/>
      <c r="BT131" s="461"/>
      <c r="BU131" s="461"/>
      <c r="BV131" s="461"/>
      <c r="BW131" s="461"/>
      <c r="BX131" s="461"/>
      <c r="BY131" s="154"/>
      <c r="BZ131" s="154"/>
      <c r="CA131" s="154"/>
      <c r="CB131" s="154"/>
      <c r="CC131" s="154"/>
      <c r="CD131" s="154"/>
      <c r="CE131" s="461"/>
      <c r="CF131" s="154"/>
      <c r="CG131" s="155"/>
      <c r="CH131" s="155"/>
      <c r="CI131" s="155"/>
      <c r="CJ131" s="155"/>
      <c r="CK131" s="463"/>
      <c r="CL131" s="461"/>
      <c r="CM131" s="461"/>
      <c r="CN131" s="461"/>
      <c r="CO131" s="461"/>
      <c r="CP131" s="461"/>
      <c r="CQ131" s="461"/>
      <c r="CR131" s="461"/>
      <c r="CS131" s="461"/>
      <c r="CT131" s="461"/>
      <c r="CU131" s="461"/>
      <c r="CV131" s="461"/>
      <c r="CW131" s="461"/>
      <c r="CX131" s="463"/>
      <c r="CY131" s="461"/>
      <c r="CZ131" s="461"/>
      <c r="DA131" s="1089"/>
    </row>
    <row r="132" spans="1:105">
      <c r="A132" s="154" t="s">
        <v>357</v>
      </c>
      <c r="B132" s="155"/>
      <c r="C132" s="155"/>
      <c r="D132" s="155"/>
      <c r="E132" s="155"/>
      <c r="F132" s="155"/>
      <c r="G132" s="155"/>
      <c r="H132" s="155"/>
      <c r="I132" s="155"/>
      <c r="J132" s="155"/>
      <c r="K132" s="155"/>
      <c r="L132" s="155"/>
      <c r="M132" s="155"/>
      <c r="N132" s="155"/>
      <c r="O132" s="446">
        <f t="shared" ref="O132:AH132" si="142">O128/O99</f>
        <v>0.5592488025761525</v>
      </c>
      <c r="P132" s="446">
        <f t="shared" si="142"/>
        <v>0.56927710843373491</v>
      </c>
      <c r="Q132" s="446">
        <f t="shared" si="142"/>
        <v>0.62228260869565222</v>
      </c>
      <c r="R132" s="446">
        <f t="shared" si="142"/>
        <v>0.57951482479784366</v>
      </c>
      <c r="S132" s="446">
        <f t="shared" si="142"/>
        <v>0.59449744227844603</v>
      </c>
      <c r="T132" s="446">
        <f t="shared" si="142"/>
        <v>0.6840796019900498</v>
      </c>
      <c r="U132" s="446">
        <f t="shared" si="142"/>
        <v>0.54862842892768082</v>
      </c>
      <c r="V132" s="446">
        <f t="shared" si="142"/>
        <v>0.52163461538461542</v>
      </c>
      <c r="W132" s="446">
        <f t="shared" si="142"/>
        <v>0.54898004931629674</v>
      </c>
      <c r="X132" s="446">
        <f t="shared" si="142"/>
        <v>0.51068376068376065</v>
      </c>
      <c r="Y132" s="446">
        <f t="shared" si="142"/>
        <v>0.52667946257197695</v>
      </c>
      <c r="Z132" s="446">
        <f t="shared" si="142"/>
        <v>0.51901140684410652</v>
      </c>
      <c r="AA132" s="446">
        <f t="shared" si="142"/>
        <v>0.55555555555555558</v>
      </c>
      <c r="AB132" s="446">
        <f t="shared" si="142"/>
        <v>0.55602343463932624</v>
      </c>
      <c r="AC132" s="446">
        <f t="shared" si="142"/>
        <v>0.50982928035664199</v>
      </c>
      <c r="AD132" s="446">
        <f t="shared" si="142"/>
        <v>0.53785798352295011</v>
      </c>
      <c r="AE132" s="446">
        <f t="shared" si="142"/>
        <v>0.44258373205741625</v>
      </c>
      <c r="AF132" s="446">
        <f t="shared" si="142"/>
        <v>0.57701149425287357</v>
      </c>
      <c r="AG132" s="446">
        <f t="shared" si="142"/>
        <v>0.58526180041020082</v>
      </c>
      <c r="AH132" s="446">
        <f t="shared" si="142"/>
        <v>0.56281407035175879</v>
      </c>
      <c r="AI132" s="446">
        <f>AI128/AI99</f>
        <v>0.57461328480436757</v>
      </c>
      <c r="AJ132" s="446">
        <f t="shared" ref="AJ132:AM132" si="143">AJ128/AJ99</f>
        <v>0.5727482678983834</v>
      </c>
      <c r="AK132" s="1083">
        <f t="shared" si="143"/>
        <v>0.58160919540229883</v>
      </c>
      <c r="AL132" s="1083">
        <f t="shared" si="143"/>
        <v>0.587138395756024</v>
      </c>
      <c r="AM132" s="453">
        <f t="shared" si="143"/>
        <v>0.57883926369570449</v>
      </c>
      <c r="AN132" s="154"/>
      <c r="AO132" s="446"/>
      <c r="AP132">
        <f>AP130/AP131</f>
        <v>0.57227138643067843</v>
      </c>
      <c r="AT132" s="937"/>
      <c r="BR132" s="446"/>
      <c r="BS132" s="446"/>
      <c r="BT132" s="446"/>
      <c r="BU132" s="446"/>
      <c r="BV132" s="446"/>
      <c r="BW132" s="446"/>
      <c r="BX132" s="446"/>
      <c r="BY132" s="154"/>
      <c r="BZ132" s="154"/>
      <c r="CA132" s="154"/>
      <c r="CB132" s="154"/>
      <c r="CC132" s="154"/>
      <c r="CD132" s="154"/>
      <c r="CE132" s="446">
        <v>0.53428854055873076</v>
      </c>
      <c r="CF132" s="446"/>
      <c r="CG132" s="155"/>
      <c r="CH132" s="155"/>
      <c r="CI132" s="155"/>
      <c r="CJ132" s="155"/>
      <c r="CK132" s="453"/>
      <c r="CL132" s="446">
        <v>0.5</v>
      </c>
      <c r="CM132" s="446"/>
      <c r="CN132" s="446"/>
      <c r="CO132" s="446"/>
      <c r="CP132" s="446"/>
      <c r="CQ132" s="446">
        <v>0.56385404789053595</v>
      </c>
      <c r="CR132" s="446"/>
      <c r="CS132" s="446"/>
      <c r="CT132" s="446"/>
      <c r="CU132" s="446"/>
      <c r="CV132" s="446">
        <f>AE132</f>
        <v>0.44258373205741625</v>
      </c>
      <c r="CW132" s="937">
        <v>0.56786853424928074</v>
      </c>
      <c r="CX132" s="453"/>
      <c r="CY132" s="555">
        <v>0.56999999999999995</v>
      </c>
      <c r="CZ132" s="446">
        <f>AVERAGE(CV132:CY132)</f>
        <v>0.52681742210223226</v>
      </c>
      <c r="DA132" s="1083">
        <v>0.57075471698113212</v>
      </c>
    </row>
    <row r="133" spans="1:105">
      <c r="A133" s="154" t="s">
        <v>1172</v>
      </c>
      <c r="B133" s="154"/>
      <c r="C133" s="154"/>
      <c r="D133" s="154"/>
      <c r="E133" s="154"/>
      <c r="F133" s="154"/>
      <c r="G133" s="154"/>
      <c r="H133" s="154"/>
      <c r="I133" s="154"/>
      <c r="J133" s="154"/>
      <c r="K133" s="154"/>
      <c r="L133" s="154"/>
      <c r="M133" s="154"/>
      <c r="N133" s="154"/>
      <c r="O133" s="154"/>
      <c r="P133" s="154"/>
      <c r="Q133" s="154"/>
      <c r="R133" s="154"/>
      <c r="S133" s="154"/>
      <c r="T133" s="154"/>
      <c r="U133" s="154"/>
      <c r="V133" s="154"/>
      <c r="W133" s="157">
        <f>W132-S132</f>
        <v>-4.5517392962149295E-2</v>
      </c>
      <c r="X133" s="157">
        <f>X132-T132</f>
        <v>-0.17339584130628916</v>
      </c>
      <c r="Y133" s="157">
        <f>Y132-U132</f>
        <v>-2.1948966355703869E-2</v>
      </c>
      <c r="Z133" s="157"/>
      <c r="AA133" s="451">
        <f>AA136-48</f>
        <v>224</v>
      </c>
      <c r="AB133" s="157"/>
      <c r="AC133" s="157">
        <f>AC132-Y132</f>
        <v>-1.6850182215334963E-2</v>
      </c>
      <c r="AD133" s="157">
        <f>AD132-Z132</f>
        <v>1.8846576678843596E-2</v>
      </c>
      <c r="AE133" s="157">
        <f>AE132-AA132</f>
        <v>-0.11297182349813933</v>
      </c>
      <c r="AF133" s="157">
        <f>AF132-AB132</f>
        <v>2.0988059613547327E-2</v>
      </c>
      <c r="AG133" s="157">
        <f t="shared" ref="AG133:AH133" si="144">AG132-AC132</f>
        <v>7.5432520053558827E-2</v>
      </c>
      <c r="AH133" s="157">
        <f t="shared" si="144"/>
        <v>2.4956086828808677E-2</v>
      </c>
      <c r="AI133" s="157">
        <f>AI132-AE132</f>
        <v>0.13202955274695133</v>
      </c>
      <c r="AJ133" s="157">
        <f t="shared" ref="AJ133" si="145">AJ132-AF132</f>
        <v>-4.2632263544901683E-3</v>
      </c>
      <c r="AK133" s="1088">
        <f>AK132-AG132</f>
        <v>-3.6526050079019878E-3</v>
      </c>
      <c r="AL133" s="1088">
        <f>AL132-AH132</f>
        <v>2.4324325404265212E-2</v>
      </c>
      <c r="AM133" s="409"/>
      <c r="AN133" s="162"/>
      <c r="AO133" s="157"/>
      <c r="AT133" s="157"/>
      <c r="BR133" s="157"/>
      <c r="BS133" s="157"/>
      <c r="BT133" s="157"/>
      <c r="BU133" s="157"/>
      <c r="BV133" s="157"/>
      <c r="BW133" s="157"/>
      <c r="BX133" s="157"/>
      <c r="BY133" s="154"/>
      <c r="BZ133" s="154"/>
      <c r="CA133" s="154"/>
      <c r="CB133" s="154"/>
      <c r="CC133" s="154"/>
      <c r="CD133" s="154"/>
      <c r="CE133" s="157"/>
      <c r="CF133" s="157"/>
      <c r="CG133" s="155"/>
      <c r="CH133" s="155"/>
      <c r="CI133" s="155"/>
      <c r="CJ133" s="155"/>
      <c r="CK133" s="409"/>
      <c r="CL133" s="157"/>
      <c r="CM133" s="157"/>
      <c r="CN133" s="157"/>
      <c r="CO133" s="157"/>
      <c r="CP133" s="157"/>
      <c r="CQ133" s="157"/>
      <c r="CR133" s="157"/>
      <c r="CS133" s="157"/>
      <c r="CT133" s="157"/>
      <c r="CU133" s="157"/>
      <c r="CV133" s="157"/>
      <c r="CW133" s="157"/>
      <c r="CX133" s="409"/>
      <c r="CY133" s="157"/>
      <c r="CZ133" s="157"/>
      <c r="DA133" s="1088">
        <v>-6.2567772717414538E-3</v>
      </c>
    </row>
    <row r="134" spans="1:105">
      <c r="A134" s="154" t="s">
        <v>1173</v>
      </c>
      <c r="B134" s="154"/>
      <c r="C134" s="154"/>
      <c r="D134" s="154"/>
      <c r="E134" s="154"/>
      <c r="F134" s="154"/>
      <c r="G134" s="154"/>
      <c r="H134" s="154"/>
      <c r="I134" s="154"/>
      <c r="J134" s="154"/>
      <c r="K134" s="154"/>
      <c r="L134" s="154"/>
      <c r="M134" s="154"/>
      <c r="N134" s="154"/>
      <c r="O134" s="154"/>
      <c r="P134" s="157">
        <f t="shared" ref="P134:AH134" si="146">P132-O132</f>
        <v>1.0028305857582409E-2</v>
      </c>
      <c r="Q134" s="157">
        <f t="shared" si="146"/>
        <v>5.3005500261917304E-2</v>
      </c>
      <c r="R134" s="157">
        <f t="shared" si="146"/>
        <v>-4.2767783897808553E-2</v>
      </c>
      <c r="S134" s="157">
        <f t="shared" si="146"/>
        <v>1.4982617480602367E-2</v>
      </c>
      <c r="T134" s="157">
        <f t="shared" si="146"/>
        <v>8.958215971160377E-2</v>
      </c>
      <c r="U134" s="157">
        <f t="shared" si="146"/>
        <v>-0.13545117306236898</v>
      </c>
      <c r="V134" s="157">
        <f t="shared" si="146"/>
        <v>-2.6993813543065404E-2</v>
      </c>
      <c r="W134" s="157">
        <f t="shared" si="146"/>
        <v>2.7345433931681318E-2</v>
      </c>
      <c r="X134" s="157">
        <f t="shared" si="146"/>
        <v>-3.8296288632536091E-2</v>
      </c>
      <c r="Y134" s="157">
        <f t="shared" si="146"/>
        <v>1.5995701888216307E-2</v>
      </c>
      <c r="Z134" s="157">
        <f t="shared" si="146"/>
        <v>-7.6680557278704375E-3</v>
      </c>
      <c r="AA134" s="157">
        <f t="shared" si="146"/>
        <v>3.6544148711449065E-2</v>
      </c>
      <c r="AB134" s="157">
        <f t="shared" si="146"/>
        <v>4.6787908377066145E-4</v>
      </c>
      <c r="AC134" s="157">
        <f t="shared" si="146"/>
        <v>-4.6194154282684252E-2</v>
      </c>
      <c r="AD134" s="157">
        <f t="shared" si="146"/>
        <v>2.8028703166308122E-2</v>
      </c>
      <c r="AE134" s="157">
        <f t="shared" si="146"/>
        <v>-9.5274251465533866E-2</v>
      </c>
      <c r="AF134" s="157">
        <f t="shared" si="146"/>
        <v>0.13442776219545732</v>
      </c>
      <c r="AG134" s="157">
        <f t="shared" si="146"/>
        <v>8.2503061573272474E-3</v>
      </c>
      <c r="AH134" s="157">
        <f t="shared" si="146"/>
        <v>-2.2447730058442028E-2</v>
      </c>
      <c r="AI134" s="157">
        <f>AI132-AH132</f>
        <v>1.1799214452608786E-2</v>
      </c>
      <c r="AJ134" s="157">
        <f t="shared" ref="AJ134:AL134" si="147">AJ132-AI132</f>
        <v>-1.8650169059841737E-3</v>
      </c>
      <c r="AK134" s="1088">
        <f>AK132-AJ132</f>
        <v>8.8609275039154278E-3</v>
      </c>
      <c r="AL134" s="1088">
        <f t="shared" si="147"/>
        <v>5.5292003537251722E-3</v>
      </c>
      <c r="AM134" s="409"/>
      <c r="AN134" s="162"/>
      <c r="AO134">
        <f>(AI128+AJ128)*2</f>
        <v>1001.2</v>
      </c>
      <c r="AT134" s="157"/>
      <c r="BR134" s="157"/>
      <c r="BS134" s="157"/>
      <c r="BT134" s="157"/>
      <c r="BU134" s="157"/>
      <c r="BV134" s="157"/>
      <c r="BW134" s="157"/>
      <c r="BX134" s="157"/>
      <c r="BY134" s="154"/>
      <c r="BZ134" s="154"/>
      <c r="CA134" s="154"/>
      <c r="CB134" s="154"/>
      <c r="CC134" s="154"/>
      <c r="CD134" s="154"/>
      <c r="CE134" s="157"/>
      <c r="CF134" s="157"/>
      <c r="CG134" s="155"/>
      <c r="CH134" s="155"/>
      <c r="CI134" s="155"/>
      <c r="CJ134" s="155"/>
      <c r="CK134" s="409"/>
      <c r="CL134" s="157"/>
      <c r="CM134" s="157"/>
      <c r="CN134" s="157"/>
      <c r="CO134" s="157"/>
      <c r="CP134" s="157"/>
      <c r="CQ134" s="157"/>
      <c r="CR134" s="157"/>
      <c r="CS134" s="157"/>
      <c r="CT134" s="157"/>
      <c r="CU134" s="157"/>
      <c r="CV134" s="157"/>
      <c r="CW134" s="157"/>
      <c r="CX134" s="409"/>
      <c r="CY134" s="157"/>
      <c r="CZ134" s="157"/>
      <c r="DA134" s="1088">
        <v>-3.8585678232354592E-3</v>
      </c>
    </row>
    <row r="135" spans="1:105">
      <c r="A135" s="154"/>
      <c r="B135" s="154"/>
      <c r="C135" s="154"/>
      <c r="D135" s="154"/>
      <c r="E135" s="154"/>
      <c r="F135" s="154"/>
      <c r="G135" s="154"/>
      <c r="H135" s="154"/>
      <c r="I135" s="154"/>
      <c r="J135" s="154"/>
      <c r="K135" s="154"/>
      <c r="L135" s="154"/>
      <c r="M135" s="154"/>
      <c r="N135" s="154"/>
      <c r="O135" s="154"/>
      <c r="P135" s="154"/>
      <c r="Q135" s="154"/>
      <c r="R135" s="154"/>
      <c r="S135" s="154"/>
      <c r="T135" s="154"/>
      <c r="U135" s="154"/>
      <c r="V135" s="154"/>
      <c r="W135" s="157"/>
      <c r="X135" s="157"/>
      <c r="Y135" s="157"/>
      <c r="Z135" s="157"/>
      <c r="AA135" s="451"/>
      <c r="AB135" s="157"/>
      <c r="AC135" s="157"/>
      <c r="AD135" s="157"/>
      <c r="AE135" s="157"/>
      <c r="AF135" s="157"/>
      <c r="AG135" s="157"/>
      <c r="AH135" s="157"/>
      <c r="AI135" s="157"/>
      <c r="AJ135" s="157"/>
      <c r="AK135" s="776"/>
      <c r="AL135" s="776"/>
      <c r="AM135" s="409"/>
      <c r="AN135" s="162"/>
      <c r="AO135" s="157"/>
      <c r="AT135" s="157"/>
      <c r="BR135" s="157"/>
      <c r="BS135" s="157"/>
      <c r="BT135" s="157"/>
      <c r="BU135" s="157"/>
      <c r="BV135" s="157"/>
      <c r="BW135" s="157"/>
      <c r="BX135" s="157"/>
      <c r="BY135" s="154"/>
      <c r="BZ135" s="154"/>
      <c r="CA135" s="154"/>
      <c r="CB135" s="154"/>
      <c r="CC135" s="154"/>
      <c r="CD135" s="154"/>
      <c r="CE135" s="157"/>
      <c r="CF135" s="157"/>
      <c r="CG135" s="155"/>
      <c r="CH135" s="155"/>
      <c r="CI135" s="155"/>
      <c r="CJ135" s="155"/>
      <c r="CK135" s="409"/>
      <c r="CL135" s="157"/>
      <c r="CM135" s="157"/>
      <c r="CN135" s="157"/>
      <c r="CO135" s="157"/>
      <c r="CP135" s="157"/>
      <c r="CQ135" s="157"/>
      <c r="CR135" s="157"/>
      <c r="CS135" s="157"/>
      <c r="CT135" s="157"/>
      <c r="CU135" s="157"/>
      <c r="CV135" s="157"/>
      <c r="CW135" s="157"/>
      <c r="CX135" s="409"/>
      <c r="CY135" s="157"/>
      <c r="CZ135" s="157"/>
      <c r="DA135" s="776"/>
    </row>
    <row r="136" spans="1:105">
      <c r="A136" s="465" t="s">
        <v>203</v>
      </c>
      <c r="B136" s="444"/>
      <c r="C136" s="444"/>
      <c r="D136" s="444"/>
      <c r="E136" s="444"/>
      <c r="F136" s="444"/>
      <c r="G136" s="444"/>
      <c r="H136" s="444"/>
      <c r="I136" s="444"/>
      <c r="J136" s="444"/>
      <c r="K136" s="444"/>
      <c r="L136" s="444"/>
      <c r="M136" s="444"/>
      <c r="N136" s="444"/>
      <c r="O136" s="444">
        <v>164.55199999999999</v>
      </c>
      <c r="P136" s="444">
        <v>163</v>
      </c>
      <c r="Q136" s="444">
        <v>196</v>
      </c>
      <c r="R136" s="444">
        <f>701-O136-P136-Q136</f>
        <v>177.44799999999998</v>
      </c>
      <c r="S136" s="444">
        <v>179.923</v>
      </c>
      <c r="T136" s="444">
        <v>240</v>
      </c>
      <c r="U136" s="444">
        <v>179</v>
      </c>
      <c r="V136" s="444">
        <v>184</v>
      </c>
      <c r="W136" s="444">
        <v>203</v>
      </c>
      <c r="X136" s="444">
        <v>184</v>
      </c>
      <c r="Y136" s="444">
        <v>210</v>
      </c>
      <c r="Z136" s="444">
        <v>206</v>
      </c>
      <c r="AA136" s="444">
        <v>272</v>
      </c>
      <c r="AB136" s="444">
        <v>238</v>
      </c>
      <c r="AC136" s="444">
        <v>164.15199999999999</v>
      </c>
      <c r="AD136" s="444">
        <v>200</v>
      </c>
      <c r="AE136" s="444">
        <v>103</v>
      </c>
      <c r="AF136" s="444">
        <v>171</v>
      </c>
      <c r="AG136" s="444">
        <v>158.9</v>
      </c>
      <c r="AH136" s="444">
        <v>155</v>
      </c>
      <c r="AI136" s="444">
        <v>179.1</v>
      </c>
      <c r="AJ136" s="444">
        <v>171</v>
      </c>
      <c r="AK136" s="447">
        <v>172</v>
      </c>
      <c r="AL136" s="447">
        <f>AM136-AI136-AJ136-AK136</f>
        <v>173.3996117430811</v>
      </c>
      <c r="AM136" s="452">
        <f>Nigeria!L70</f>
        <v>695.49961174308112</v>
      </c>
      <c r="AN136" s="451"/>
      <c r="AT136" s="832"/>
      <c r="AU136" s="108"/>
      <c r="AV136" s="1114">
        <f>AJ136/DA136-1</f>
        <v>7.547169811320753E-2</v>
      </c>
      <c r="AX136" s="1114" t="e">
        <f>AJ136/AW136-1</f>
        <v>#DIV/0!</v>
      </c>
      <c r="BA136" s="458"/>
      <c r="BR136" s="458"/>
      <c r="BS136" s="458"/>
      <c r="BT136" s="458"/>
      <c r="BU136" s="458"/>
      <c r="BV136" s="458"/>
      <c r="BW136" s="458"/>
      <c r="BX136" s="458"/>
      <c r="BY136" s="154"/>
      <c r="BZ136" s="167">
        <f>AB136-AC136</f>
        <v>73.848000000000013</v>
      </c>
      <c r="CA136" s="154"/>
      <c r="CB136" s="154"/>
      <c r="CC136" s="154"/>
      <c r="CD136" s="154"/>
      <c r="CE136" s="447">
        <v>170.76573528851395</v>
      </c>
      <c r="CF136" s="451"/>
      <c r="CG136" s="446"/>
      <c r="CH136" s="451"/>
      <c r="CI136" s="446"/>
      <c r="CJ136" s="446"/>
      <c r="CK136" s="452">
        <f>Nigeria!J70</f>
        <v>855.31700000000001</v>
      </c>
      <c r="CL136" s="832">
        <v>117</v>
      </c>
      <c r="CM136" s="665">
        <f>AE136/CL136-1</f>
        <v>-0.11965811965811968</v>
      </c>
      <c r="CN136" s="444">
        <v>110.4</v>
      </c>
      <c r="CO136" s="665">
        <f>AE136/CN136-1</f>
        <v>-6.7028985507246452E-2</v>
      </c>
      <c r="CP136" s="458"/>
      <c r="CQ136" s="832">
        <v>159</v>
      </c>
      <c r="CR136" s="665">
        <f>AF136/CQ136-1</f>
        <v>7.547169811320753E-2</v>
      </c>
      <c r="CS136" s="444">
        <v>155.9</v>
      </c>
      <c r="CT136" s="665">
        <f>AF136/CS136-1</f>
        <v>9.6856959589480374E-2</v>
      </c>
      <c r="CU136" s="458"/>
      <c r="CV136" s="458"/>
      <c r="CW136" s="451">
        <v>138.57988426300935</v>
      </c>
      <c r="CX136" s="452">
        <f>Nigeria!K70</f>
        <v>588.03099999999995</v>
      </c>
      <c r="CY136" s="458"/>
      <c r="CZ136" s="458"/>
      <c r="DA136" s="447">
        <v>159</v>
      </c>
    </row>
    <row r="137" spans="1:105">
      <c r="A137" s="465" t="s">
        <v>633</v>
      </c>
      <c r="B137" s="155"/>
      <c r="C137" s="155"/>
      <c r="D137" s="155"/>
      <c r="E137" s="155"/>
      <c r="F137" s="155"/>
      <c r="G137" s="155"/>
      <c r="H137" s="155"/>
      <c r="I137" s="155"/>
      <c r="J137" s="155"/>
      <c r="K137" s="155"/>
      <c r="L137" s="155"/>
      <c r="M137" s="155"/>
      <c r="N137" s="155"/>
      <c r="O137" s="155"/>
      <c r="P137" s="155"/>
      <c r="Q137" s="155"/>
      <c r="R137" s="155"/>
      <c r="S137" s="446">
        <f t="shared" ref="S137:Y137" si="148">S136/O136-1</f>
        <v>9.3411201322378457E-2</v>
      </c>
      <c r="T137" s="446">
        <f t="shared" si="148"/>
        <v>0.47239263803680975</v>
      </c>
      <c r="U137" s="446">
        <f t="shared" si="148"/>
        <v>-8.6734693877551061E-2</v>
      </c>
      <c r="V137" s="446">
        <f t="shared" si="148"/>
        <v>3.6923493079662917E-2</v>
      </c>
      <c r="W137" s="446">
        <f t="shared" si="148"/>
        <v>0.12826042251407554</v>
      </c>
      <c r="X137" s="446">
        <f t="shared" si="148"/>
        <v>-0.23333333333333328</v>
      </c>
      <c r="Y137" s="446">
        <f t="shared" si="148"/>
        <v>0.17318435754189943</v>
      </c>
      <c r="Z137" s="446">
        <f>Z136/V136-1</f>
        <v>0.11956521739130443</v>
      </c>
      <c r="AA137" s="446">
        <f>AA136/W136-1</f>
        <v>0.33990147783251223</v>
      </c>
      <c r="AB137" s="446">
        <f t="shared" ref="AB137:AD137" si="149">AB136/X136-1</f>
        <v>0.29347826086956519</v>
      </c>
      <c r="AC137" s="446">
        <f t="shared" si="149"/>
        <v>-0.21832380952380959</v>
      </c>
      <c r="AD137" s="446">
        <f t="shared" si="149"/>
        <v>-2.9126213592232997E-2</v>
      </c>
      <c r="AE137" s="446">
        <f t="shared" ref="AE137" si="150">AE136/AA136-1</f>
        <v>-0.62132352941176472</v>
      </c>
      <c r="AF137" s="461">
        <v>-0.219</v>
      </c>
      <c r="AG137" s="461">
        <f t="shared" ref="AG137" si="151">AG136/AC136-1</f>
        <v>-3.1994736585603478E-2</v>
      </c>
      <c r="AH137" s="446">
        <f t="shared" ref="AH137" si="152">AH136/AD136-1</f>
        <v>-0.22499999999999998</v>
      </c>
      <c r="AI137" s="446">
        <f>AI136/AE136-1</f>
        <v>0.73883495145631062</v>
      </c>
      <c r="AJ137" s="446">
        <f>AJ136/AF136-1</f>
        <v>0</v>
      </c>
      <c r="AK137" s="1083">
        <f>AK136/AG136-1</f>
        <v>8.2441787287602208E-2</v>
      </c>
      <c r="AL137" s="1083">
        <f>AL136/AH136-1</f>
        <v>0.11870717253600716</v>
      </c>
      <c r="AM137" s="453"/>
      <c r="AN137" s="446"/>
      <c r="AT137" s="446"/>
      <c r="BA137" s="446"/>
      <c r="BR137" s="446"/>
      <c r="BS137" s="446"/>
      <c r="BT137" s="446"/>
      <c r="BU137" s="446"/>
      <c r="BV137" s="446"/>
      <c r="BW137" s="446"/>
      <c r="BX137" s="446"/>
      <c r="BY137" s="154" t="s">
        <v>913</v>
      </c>
      <c r="BZ137" s="154">
        <v>139</v>
      </c>
      <c r="CA137" s="154">
        <f>0.45*BZ137</f>
        <v>62.550000000000004</v>
      </c>
      <c r="CB137" s="154"/>
      <c r="CC137" s="154"/>
      <c r="CD137" s="154"/>
      <c r="CE137" s="446">
        <v>-0.17104011995867019</v>
      </c>
      <c r="CF137" s="446"/>
      <c r="CG137" s="155"/>
      <c r="CH137" s="155"/>
      <c r="CI137" s="155"/>
      <c r="CJ137" s="155"/>
      <c r="CK137" s="453"/>
      <c r="CL137" s="446">
        <v>-0.56985294117647056</v>
      </c>
      <c r="CM137" s="446"/>
      <c r="CN137" s="446"/>
      <c r="CO137" s="446"/>
      <c r="CP137" s="446"/>
      <c r="CQ137" s="446">
        <v>-0.33193277310924374</v>
      </c>
      <c r="CR137" s="446"/>
      <c r="CS137" s="446"/>
      <c r="CT137" s="446"/>
      <c r="CU137" s="446"/>
      <c r="CV137" s="446"/>
      <c r="CW137" s="446">
        <v>-0.23506259894014114</v>
      </c>
      <c r="CX137" s="453"/>
      <c r="CY137" s="446"/>
      <c r="CZ137" s="446"/>
      <c r="DA137" s="1083">
        <v>-7.0175438596491224E-2</v>
      </c>
    </row>
    <row r="138" spans="1:105">
      <c r="A138" s="465" t="s">
        <v>634</v>
      </c>
      <c r="B138" s="461"/>
      <c r="C138" s="461"/>
      <c r="D138" s="461"/>
      <c r="E138" s="461"/>
      <c r="F138" s="461"/>
      <c r="G138" s="461"/>
      <c r="H138" s="461"/>
      <c r="I138" s="461"/>
      <c r="J138" s="461"/>
      <c r="K138" s="461"/>
      <c r="L138" s="461"/>
      <c r="M138" s="461"/>
      <c r="N138" s="461"/>
      <c r="O138" s="461"/>
      <c r="P138" s="461"/>
      <c r="Q138" s="461"/>
      <c r="R138" s="461"/>
      <c r="S138" s="461"/>
      <c r="T138" s="461">
        <v>0.307</v>
      </c>
      <c r="U138" s="461">
        <v>0.122</v>
      </c>
      <c r="V138" s="461">
        <v>0.186</v>
      </c>
      <c r="W138" s="468">
        <f>W137</f>
        <v>0.12826042251407554</v>
      </c>
      <c r="X138" s="461">
        <f>X136/(T136-61)-1</f>
        <v>2.7932960893854775E-2</v>
      </c>
      <c r="Y138" s="461">
        <f>(Y136-18)/(U136)-1</f>
        <v>7.2625698324022325E-2</v>
      </c>
      <c r="Z138" s="468">
        <f>Z137</f>
        <v>0.11956521739130443</v>
      </c>
      <c r="AA138" s="461">
        <f>(272-48)/203-1</f>
        <v>0.10344827586206895</v>
      </c>
      <c r="AB138" s="461">
        <f>(238-12)/184-1</f>
        <v>0.22826086956521729</v>
      </c>
      <c r="AC138" s="669">
        <f>(AC136+105.1)/Y136-1</f>
        <v>0.28215238095238071</v>
      </c>
      <c r="AD138" s="461"/>
      <c r="AE138" s="461"/>
      <c r="AF138" s="461"/>
      <c r="AG138" s="461"/>
      <c r="AH138" s="461"/>
      <c r="AI138" s="461"/>
      <c r="AJ138" s="461"/>
      <c r="AK138" s="1089"/>
      <c r="AL138" s="1089"/>
      <c r="AM138" s="463"/>
      <c r="AN138" s="461"/>
      <c r="AT138" s="461"/>
      <c r="BA138" s="461"/>
      <c r="BR138" s="461"/>
      <c r="BS138" s="461"/>
      <c r="BT138" s="461"/>
      <c r="BU138" s="461"/>
      <c r="BV138" s="461"/>
      <c r="BW138" s="461"/>
      <c r="BX138" s="461"/>
      <c r="BY138" s="154"/>
      <c r="BZ138" s="167">
        <f>BZ137-BZ136</f>
        <v>65.151999999999987</v>
      </c>
      <c r="CA138" s="154"/>
      <c r="CB138" s="154"/>
      <c r="CC138" s="154"/>
      <c r="CD138" s="154"/>
      <c r="CE138" s="461"/>
      <c r="CF138" s="461"/>
      <c r="CG138" s="155"/>
      <c r="CH138" s="155"/>
      <c r="CI138" s="155"/>
      <c r="CJ138" s="155"/>
      <c r="CK138" s="463"/>
      <c r="CL138" s="461"/>
      <c r="CM138" s="461"/>
      <c r="CN138" s="461"/>
      <c r="CO138" s="461"/>
      <c r="CP138" s="461"/>
      <c r="CQ138" s="461"/>
      <c r="CR138" s="461"/>
      <c r="CS138" s="461"/>
      <c r="CT138" s="461"/>
      <c r="CU138" s="461"/>
      <c r="CV138" s="461"/>
      <c r="CW138" s="461"/>
      <c r="CX138" s="463"/>
      <c r="CY138" s="461"/>
      <c r="CZ138" s="461"/>
      <c r="DA138" s="1089"/>
    </row>
    <row r="139" spans="1:105">
      <c r="A139" s="465" t="s">
        <v>357</v>
      </c>
      <c r="B139" s="461"/>
      <c r="C139" s="461"/>
      <c r="D139" s="461"/>
      <c r="E139" s="461"/>
      <c r="F139" s="461"/>
      <c r="G139" s="461"/>
      <c r="H139" s="461"/>
      <c r="I139" s="461"/>
      <c r="J139" s="461"/>
      <c r="K139" s="461"/>
      <c r="L139" s="461"/>
      <c r="M139" s="461"/>
      <c r="N139" s="461"/>
      <c r="O139" s="468">
        <f t="shared" ref="O139:AH139" si="153">O136/O110</f>
        <v>0.66140390366249713</v>
      </c>
      <c r="P139" s="468">
        <f t="shared" si="153"/>
        <v>0.67355371900826444</v>
      </c>
      <c r="Q139" s="468">
        <f t="shared" si="153"/>
        <v>0.71532846715328469</v>
      </c>
      <c r="R139" s="468">
        <f t="shared" si="153"/>
        <v>0.64949781851190302</v>
      </c>
      <c r="S139" s="468">
        <f t="shared" si="153"/>
        <v>0.68869257003747331</v>
      </c>
      <c r="T139" s="468">
        <f t="shared" si="153"/>
        <v>0.80808080808080807</v>
      </c>
      <c r="U139" s="468">
        <f t="shared" si="153"/>
        <v>0.61937716262975784</v>
      </c>
      <c r="V139" s="468">
        <f t="shared" si="153"/>
        <v>0.61385101435543965</v>
      </c>
      <c r="W139" s="468">
        <f t="shared" si="153"/>
        <v>0.63239875389408096</v>
      </c>
      <c r="X139" s="468">
        <f t="shared" si="153"/>
        <v>0.57320872274143297</v>
      </c>
      <c r="Y139" s="468">
        <f t="shared" si="153"/>
        <v>0.59154929577464788</v>
      </c>
      <c r="Z139" s="468">
        <f t="shared" si="153"/>
        <v>0.58028169014084507</v>
      </c>
      <c r="AA139" s="468">
        <f t="shared" si="153"/>
        <v>0.64</v>
      </c>
      <c r="AB139" s="468">
        <f t="shared" si="153"/>
        <v>0.65205479452054793</v>
      </c>
      <c r="AC139" s="468">
        <f t="shared" si="153"/>
        <v>0.60484756479509494</v>
      </c>
      <c r="AD139" s="468">
        <f t="shared" si="153"/>
        <v>0.62305295950155759</v>
      </c>
      <c r="AE139" s="468">
        <f t="shared" si="153"/>
        <v>0.4517543859649123</v>
      </c>
      <c r="AF139" s="468">
        <f t="shared" si="153"/>
        <v>0.63427299703264095</v>
      </c>
      <c r="AG139" s="468">
        <f t="shared" si="153"/>
        <v>0.65582566346114168</v>
      </c>
      <c r="AH139" s="468">
        <f t="shared" si="153"/>
        <v>0.59845559845559848</v>
      </c>
      <c r="AI139" s="468">
        <f>AI136/AI110</f>
        <v>0.66015481017323996</v>
      </c>
      <c r="AJ139" s="468">
        <f>AJ136/AJ110</f>
        <v>0.65668202764976968</v>
      </c>
      <c r="AK139" s="1089">
        <f t="shared" ref="AK139:AM139" si="154">AK136/AK110</f>
        <v>0.66153846153846152</v>
      </c>
      <c r="AL139" s="1089">
        <f t="shared" si="154"/>
        <v>0.66161015056915939</v>
      </c>
      <c r="AM139" s="1102">
        <f t="shared" si="154"/>
        <v>0.66</v>
      </c>
      <c r="AN139" s="461"/>
      <c r="AT139" s="468"/>
      <c r="BA139" s="461"/>
      <c r="BR139" s="461"/>
      <c r="BS139" s="461"/>
      <c r="BT139" s="461"/>
      <c r="BU139" s="461"/>
      <c r="BV139" s="461"/>
      <c r="BW139" s="461"/>
      <c r="BX139" s="461"/>
      <c r="BY139" s="154"/>
      <c r="BZ139" s="154"/>
      <c r="CA139" s="154"/>
      <c r="CB139" s="154"/>
      <c r="CC139" s="154"/>
      <c r="CD139" s="154"/>
      <c r="CE139" s="468">
        <v>0.64815352868024934</v>
      </c>
      <c r="CF139" s="468"/>
      <c r="CG139" s="155"/>
      <c r="CH139" s="155"/>
      <c r="CI139" s="155"/>
      <c r="CJ139" s="155"/>
      <c r="CK139" s="463"/>
      <c r="CL139" s="468">
        <v>0.58499999999999996</v>
      </c>
      <c r="CM139" s="461"/>
      <c r="CN139" s="461"/>
      <c r="CO139" s="461"/>
      <c r="CP139" s="461"/>
      <c r="CQ139" s="468">
        <v>0.69130434782608696</v>
      </c>
      <c r="CR139" s="461"/>
      <c r="CS139" s="461"/>
      <c r="CT139" s="461"/>
      <c r="CU139" s="461"/>
      <c r="CV139" s="461"/>
      <c r="CW139" s="468">
        <v>0.65313501445090316</v>
      </c>
      <c r="CX139" s="463"/>
      <c r="CY139" s="461"/>
      <c r="CZ139" s="461"/>
      <c r="DA139" s="1089">
        <v>0.62352941176470589</v>
      </c>
    </row>
    <row r="140" spans="1:105">
      <c r="A140" s="465" t="s">
        <v>870</v>
      </c>
      <c r="B140" s="461"/>
      <c r="C140" s="461"/>
      <c r="D140" s="461"/>
      <c r="E140" s="461"/>
      <c r="F140" s="461"/>
      <c r="G140" s="461"/>
      <c r="H140" s="461"/>
      <c r="I140" s="461"/>
      <c r="J140" s="461"/>
      <c r="K140" s="461"/>
      <c r="L140" s="461"/>
      <c r="M140" s="461"/>
      <c r="N140" s="461"/>
      <c r="O140" s="468"/>
      <c r="P140" s="468"/>
      <c r="Q140" s="468"/>
      <c r="R140" s="468"/>
      <c r="S140" s="468"/>
      <c r="T140" s="468"/>
      <c r="U140" s="468"/>
      <c r="V140" s="468"/>
      <c r="W140" s="468"/>
      <c r="X140" s="468"/>
      <c r="Y140" s="468"/>
      <c r="Z140" s="468"/>
      <c r="AA140" s="461">
        <f>(AA136-48)/(AA110-48)</f>
        <v>0.59416445623342173</v>
      </c>
      <c r="AB140" s="461">
        <f>(AB136-12)/(AB110-12)</f>
        <v>0.64022662889518411</v>
      </c>
      <c r="AC140" s="468"/>
      <c r="AD140" s="468"/>
      <c r="AE140" s="468"/>
      <c r="AF140" s="468"/>
      <c r="AG140" s="468"/>
      <c r="AH140" s="468"/>
      <c r="AI140" s="468"/>
      <c r="AJ140" s="468"/>
      <c r="AK140" s="1089"/>
      <c r="AL140" s="1089"/>
      <c r="AM140" s="463"/>
      <c r="AN140" s="461"/>
      <c r="AT140" s="468"/>
      <c r="BA140" s="461"/>
      <c r="BR140" s="461"/>
      <c r="BS140" s="461"/>
      <c r="BT140" s="461"/>
      <c r="BU140" s="461"/>
      <c r="BV140" s="461"/>
      <c r="BW140" s="461"/>
      <c r="BX140" s="461"/>
      <c r="BY140" s="154"/>
      <c r="BZ140" s="154">
        <v>214</v>
      </c>
      <c r="CA140" s="167">
        <f>BZ140+AC128</f>
        <v>452.10199999999998</v>
      </c>
      <c r="CB140" s="154"/>
      <c r="CC140" s="154"/>
      <c r="CD140" s="154"/>
      <c r="CE140" s="468"/>
      <c r="CF140" s="468"/>
      <c r="CG140" s="155"/>
      <c r="CH140" s="155"/>
      <c r="CI140" s="155"/>
      <c r="CJ140" s="155"/>
      <c r="CK140" s="463"/>
      <c r="CL140" s="468"/>
      <c r="CM140" s="461"/>
      <c r="CN140" s="461"/>
      <c r="CO140" s="461"/>
      <c r="CP140" s="461"/>
      <c r="CQ140" s="468"/>
      <c r="CR140" s="461"/>
      <c r="CS140" s="461"/>
      <c r="CT140" s="461"/>
      <c r="CU140" s="461"/>
      <c r="CV140" s="461"/>
      <c r="CW140" s="468"/>
      <c r="CX140" s="463"/>
      <c r="CY140" s="461"/>
      <c r="CZ140" s="461"/>
      <c r="DA140" s="1089"/>
    </row>
    <row r="141" spans="1:105">
      <c r="A141" s="465"/>
      <c r="B141" s="461"/>
      <c r="C141" s="461"/>
      <c r="D141" s="461"/>
      <c r="E141" s="461"/>
      <c r="F141" s="461"/>
      <c r="G141" s="461"/>
      <c r="H141" s="461"/>
      <c r="I141" s="461"/>
      <c r="J141" s="461"/>
      <c r="K141" s="461"/>
      <c r="L141" s="461"/>
      <c r="M141" s="461"/>
      <c r="N141" s="461"/>
      <c r="O141" s="468"/>
      <c r="P141" s="468"/>
      <c r="Q141" s="468"/>
      <c r="R141" s="468"/>
      <c r="S141" s="468"/>
      <c r="T141" s="468"/>
      <c r="U141" s="468"/>
      <c r="V141" s="468"/>
      <c r="W141" s="468"/>
      <c r="X141" s="468"/>
      <c r="Y141" s="468"/>
      <c r="Z141" s="468"/>
      <c r="AA141" s="468"/>
      <c r="AB141" s="468"/>
      <c r="AC141" s="468"/>
      <c r="AD141" s="468"/>
      <c r="AE141" s="468"/>
      <c r="AF141" s="468"/>
      <c r="AG141" s="468"/>
      <c r="AH141" s="468"/>
      <c r="AI141" s="470"/>
      <c r="AJ141" s="470"/>
      <c r="AK141" s="1089"/>
      <c r="AL141" s="1089"/>
      <c r="AM141" s="463"/>
      <c r="AN141" s="461"/>
      <c r="AT141" s="468"/>
      <c r="AX141" s="108"/>
      <c r="BA141" s="461"/>
      <c r="BR141" s="461"/>
      <c r="BS141" s="461"/>
      <c r="BT141" s="461"/>
      <c r="BU141" s="461"/>
      <c r="BV141" s="461"/>
      <c r="BW141" s="461"/>
      <c r="BX141" s="461"/>
      <c r="BY141" s="154"/>
      <c r="BZ141" s="154" t="s">
        <v>912</v>
      </c>
      <c r="CA141" s="154"/>
      <c r="CB141" s="154"/>
      <c r="CC141" s="154"/>
      <c r="CD141" s="154"/>
      <c r="CE141" s="468"/>
      <c r="CF141" s="468"/>
      <c r="CG141" s="155"/>
      <c r="CH141" s="155"/>
      <c r="CI141" s="155"/>
      <c r="CJ141" s="155"/>
      <c r="CK141" s="463"/>
      <c r="CL141" s="468"/>
      <c r="CM141" s="461"/>
      <c r="CN141" s="461"/>
      <c r="CO141" s="461"/>
      <c r="CP141" s="461"/>
      <c r="CQ141" s="468"/>
      <c r="CR141" s="461"/>
      <c r="CS141" s="461"/>
      <c r="CT141" s="461"/>
      <c r="CU141" s="461"/>
      <c r="CV141" s="461"/>
      <c r="CW141" s="468"/>
      <c r="CX141" s="463"/>
      <c r="CY141" s="461"/>
      <c r="CZ141" s="461"/>
      <c r="DA141" s="1089"/>
    </row>
    <row r="142" spans="1:105">
      <c r="A142" s="465" t="s">
        <v>709</v>
      </c>
      <c r="B142" s="155"/>
      <c r="C142" s="155"/>
      <c r="D142" s="155"/>
      <c r="E142" s="155"/>
      <c r="F142" s="155"/>
      <c r="G142" s="155"/>
      <c r="H142" s="155"/>
      <c r="I142" s="155"/>
      <c r="J142" s="155"/>
      <c r="K142" s="155"/>
      <c r="L142" s="155"/>
      <c r="M142" s="155"/>
      <c r="N142" s="155"/>
      <c r="O142" s="470">
        <v>41.011000000000003</v>
      </c>
      <c r="P142" s="470">
        <v>40</v>
      </c>
      <c r="Q142" s="470">
        <v>44</v>
      </c>
      <c r="R142" s="470">
        <f>171-O142-P142-Q142</f>
        <v>45.989000000000004</v>
      </c>
      <c r="S142" s="470">
        <v>48.619</v>
      </c>
      <c r="T142" s="470">
        <v>46</v>
      </c>
      <c r="U142" s="470">
        <v>50</v>
      </c>
      <c r="V142" s="470">
        <v>46</v>
      </c>
      <c r="W142" s="470">
        <v>47</v>
      </c>
      <c r="X142" s="470">
        <v>53</v>
      </c>
      <c r="Y142" s="470">
        <v>64</v>
      </c>
      <c r="Z142" s="470">
        <v>67</v>
      </c>
      <c r="AA142" s="470">
        <v>65</v>
      </c>
      <c r="AB142" s="470">
        <v>63</v>
      </c>
      <c r="AC142" s="470">
        <v>66</v>
      </c>
      <c r="AD142" s="470">
        <v>62</v>
      </c>
      <c r="AE142" s="470">
        <v>70</v>
      </c>
      <c r="AF142" s="470">
        <v>76</v>
      </c>
      <c r="AG142" s="470">
        <v>81.046000000000006</v>
      </c>
      <c r="AH142" s="470">
        <v>81</v>
      </c>
      <c r="AI142" s="470">
        <v>71.7</v>
      </c>
      <c r="AJ142" s="470">
        <v>73</v>
      </c>
      <c r="AK142" s="1100">
        <v>76</v>
      </c>
      <c r="AL142" s="1100">
        <f>AM142-AI142-AJ142-AK142</f>
        <v>66.300000000000011</v>
      </c>
      <c r="AM142" s="452">
        <f>SSA!L112</f>
        <v>287</v>
      </c>
      <c r="AT142" s="832"/>
      <c r="AU142" s="108"/>
      <c r="AV142" s="1114">
        <f>AJ142/DA142-1</f>
        <v>-9.8765432098765427E-2</v>
      </c>
      <c r="AX142" s="1114" t="e">
        <f>AJ142/AW142-1</f>
        <v>#DIV/0!</v>
      </c>
      <c r="BA142" s="458"/>
      <c r="BR142" s="470"/>
      <c r="BS142" s="470"/>
      <c r="BT142" s="470"/>
      <c r="BU142" s="470"/>
      <c r="BV142" s="470"/>
      <c r="BW142" s="470"/>
      <c r="BX142" s="470"/>
      <c r="BY142" s="154"/>
      <c r="BZ142" s="154"/>
      <c r="CA142" s="154"/>
      <c r="CB142" s="154"/>
      <c r="CC142" s="154"/>
      <c r="CD142" s="154"/>
      <c r="CE142" s="447">
        <v>72.960508361911025</v>
      </c>
      <c r="CF142" s="451"/>
      <c r="CG142" s="446"/>
      <c r="CH142" s="451"/>
      <c r="CI142" s="446"/>
      <c r="CJ142" s="446"/>
      <c r="CK142" s="452">
        <f>SSA!J112</f>
        <v>257.072</v>
      </c>
      <c r="CL142" s="832">
        <v>68</v>
      </c>
      <c r="CM142" s="665">
        <f>AE142/CL142-1</f>
        <v>2.9411764705882248E-2</v>
      </c>
      <c r="CN142" s="444">
        <v>73.3</v>
      </c>
      <c r="CO142" s="665">
        <f>AE142/CN142-1</f>
        <v>-4.5020463847203263E-2</v>
      </c>
      <c r="CP142" s="470"/>
      <c r="CQ142" s="832">
        <v>72</v>
      </c>
      <c r="CR142" s="665">
        <f>AF142/CQ142-1</f>
        <v>5.555555555555558E-2</v>
      </c>
      <c r="CS142" s="444">
        <v>81.7</v>
      </c>
      <c r="CT142" s="665">
        <f>AF142/CS142-1</f>
        <v>-6.9767441860465129E-2</v>
      </c>
      <c r="CU142" s="470"/>
      <c r="CV142" s="461"/>
      <c r="CW142" s="451">
        <v>68.854820500949856</v>
      </c>
      <c r="CX142" s="452">
        <f>SSA!K112</f>
        <v>307.95400000000001</v>
      </c>
      <c r="CY142" s="470"/>
      <c r="CZ142" s="470"/>
      <c r="DA142" s="1100">
        <v>81</v>
      </c>
    </row>
    <row r="143" spans="1:105">
      <c r="A143" s="465" t="s">
        <v>633</v>
      </c>
      <c r="B143" s="155"/>
      <c r="C143" s="155"/>
      <c r="D143" s="155"/>
      <c r="E143" s="155"/>
      <c r="F143" s="155"/>
      <c r="G143" s="155"/>
      <c r="H143" s="155"/>
      <c r="I143" s="155"/>
      <c r="J143" s="155"/>
      <c r="K143" s="155"/>
      <c r="L143" s="155"/>
      <c r="M143" s="155"/>
      <c r="N143" s="155"/>
      <c r="O143" s="155"/>
      <c r="P143" s="155"/>
      <c r="Q143" s="155"/>
      <c r="R143" s="155"/>
      <c r="S143" s="446">
        <f t="shared" ref="S143:AD143" si="155">S142/O142-1</f>
        <v>0.18551120431103851</v>
      </c>
      <c r="T143" s="446">
        <f t="shared" si="155"/>
        <v>0.14999999999999991</v>
      </c>
      <c r="U143" s="446">
        <f t="shared" si="155"/>
        <v>0.13636363636363646</v>
      </c>
      <c r="V143" s="446">
        <f t="shared" si="155"/>
        <v>2.3918763182484426E-4</v>
      </c>
      <c r="W143" s="446">
        <f t="shared" si="155"/>
        <v>-3.3299738785248612E-2</v>
      </c>
      <c r="X143" s="446">
        <f t="shared" si="155"/>
        <v>0.15217391304347827</v>
      </c>
      <c r="Y143" s="446">
        <f t="shared" si="155"/>
        <v>0.28000000000000003</v>
      </c>
      <c r="Z143" s="446">
        <f t="shared" si="155"/>
        <v>0.45652173913043481</v>
      </c>
      <c r="AA143" s="446">
        <f t="shared" si="155"/>
        <v>0.38297872340425543</v>
      </c>
      <c r="AB143" s="446">
        <f t="shared" si="155"/>
        <v>0.18867924528301883</v>
      </c>
      <c r="AC143" s="446">
        <f t="shared" si="155"/>
        <v>3.125E-2</v>
      </c>
      <c r="AD143" s="446">
        <f t="shared" si="155"/>
        <v>-7.4626865671641784E-2</v>
      </c>
      <c r="AE143" s="446">
        <f t="shared" ref="AE143:AF143" si="156">AE142/AA142-1</f>
        <v>7.6923076923076872E-2</v>
      </c>
      <c r="AF143" s="446">
        <f t="shared" si="156"/>
        <v>0.20634920634920628</v>
      </c>
      <c r="AG143" s="446">
        <f t="shared" ref="AG143" si="157">AG142/AC142-1</f>
        <v>0.22796969696969716</v>
      </c>
      <c r="AH143" s="446">
        <f t="shared" ref="AH143" si="158">AH142/AD142-1</f>
        <v>0.30645161290322576</v>
      </c>
      <c r="AI143" s="446">
        <f>AI142/AE142-1</f>
        <v>2.4285714285714244E-2</v>
      </c>
      <c r="AJ143" s="446">
        <f>AJ142/AF142-1</f>
        <v>-3.9473684210526327E-2</v>
      </c>
      <c r="AK143" s="1083">
        <f>AK142/AG142-1</f>
        <v>-6.2260938232608698E-2</v>
      </c>
      <c r="AL143" s="1083">
        <f>AL142/AH142-1</f>
        <v>-0.18148148148148135</v>
      </c>
      <c r="AM143" s="453"/>
      <c r="AT143" s="446"/>
      <c r="BA143" s="446"/>
      <c r="BR143" s="446"/>
      <c r="BS143" s="446"/>
      <c r="BT143" s="446"/>
      <c r="BU143" s="446"/>
      <c r="BV143" s="446"/>
      <c r="BW143" s="446"/>
      <c r="BX143" s="446"/>
      <c r="BY143" s="154"/>
      <c r="BZ143" s="154"/>
      <c r="CA143" s="154"/>
      <c r="CB143" s="154"/>
      <c r="CC143" s="154"/>
      <c r="CD143" s="154"/>
      <c r="CE143" s="446">
        <v>8.8962811371806394E-2</v>
      </c>
      <c r="CF143" s="446"/>
      <c r="CG143" s="155"/>
      <c r="CH143" s="155"/>
      <c r="CI143" s="155"/>
      <c r="CJ143" s="155"/>
      <c r="CK143" s="453"/>
      <c r="CL143" s="446">
        <v>4.6153846153846212E-2</v>
      </c>
      <c r="CM143" s="446"/>
      <c r="CN143" s="446"/>
      <c r="CO143" s="446"/>
      <c r="CP143" s="446"/>
      <c r="CQ143" s="446">
        <v>0.14285714285714279</v>
      </c>
      <c r="CR143" s="446"/>
      <c r="CS143" s="446"/>
      <c r="CT143" s="446"/>
      <c r="CU143" s="446"/>
      <c r="CV143" s="461"/>
      <c r="CW143" s="446">
        <v>0.11056162098306221</v>
      </c>
      <c r="CX143" s="453"/>
      <c r="CY143" s="446"/>
      <c r="CZ143" s="446"/>
      <c r="DA143" s="1083">
        <v>6.578947368421062E-2</v>
      </c>
    </row>
    <row r="144" spans="1:105">
      <c r="A144" s="465" t="s">
        <v>357</v>
      </c>
      <c r="B144" s="155"/>
      <c r="C144" s="155"/>
      <c r="D144" s="155"/>
      <c r="E144" s="155"/>
      <c r="F144" s="155"/>
      <c r="G144" s="155"/>
      <c r="H144" s="155"/>
      <c r="I144" s="155"/>
      <c r="J144" s="155"/>
      <c r="K144" s="155"/>
      <c r="L144" s="155"/>
      <c r="M144" s="155"/>
      <c r="N144" s="155"/>
      <c r="O144" s="446">
        <f t="shared" ref="O144:AH144" si="159">O142/O114</f>
        <v>0.53737699333045075</v>
      </c>
      <c r="P144" s="446">
        <f t="shared" si="159"/>
        <v>0.52631578947368418</v>
      </c>
      <c r="Q144" s="446">
        <f t="shared" si="159"/>
        <v>0.55696202531645567</v>
      </c>
      <c r="R144" s="446">
        <f t="shared" si="159"/>
        <v>0.56301800864316942</v>
      </c>
      <c r="S144" s="446">
        <f t="shared" si="159"/>
        <v>0.58457376457857402</v>
      </c>
      <c r="T144" s="446">
        <f t="shared" si="159"/>
        <v>0.54761904761904767</v>
      </c>
      <c r="U144" s="446">
        <f t="shared" si="159"/>
        <v>0.5617977528089888</v>
      </c>
      <c r="V144" s="446">
        <f t="shared" si="159"/>
        <v>0.52373904132984184</v>
      </c>
      <c r="W144" s="446">
        <f t="shared" si="159"/>
        <v>0.54651162790697672</v>
      </c>
      <c r="X144" s="446">
        <f t="shared" si="159"/>
        <v>0.55789473684210522</v>
      </c>
      <c r="Y144" s="446">
        <f t="shared" si="159"/>
        <v>0.55652173913043479</v>
      </c>
      <c r="Z144" s="446">
        <f t="shared" si="159"/>
        <v>0.57264957264957261</v>
      </c>
      <c r="AA144" s="446">
        <f t="shared" si="159"/>
        <v>0.53278688524590168</v>
      </c>
      <c r="AB144" s="446">
        <f t="shared" si="159"/>
        <v>0.51219512195121952</v>
      </c>
      <c r="AC144" s="446">
        <f t="shared" si="159"/>
        <v>0.49445239397367419</v>
      </c>
      <c r="AD144" s="446">
        <f t="shared" si="159"/>
        <v>0.5</v>
      </c>
      <c r="AE144" s="446">
        <f t="shared" si="159"/>
        <v>0.53435114503816794</v>
      </c>
      <c r="AF144" s="446">
        <f t="shared" si="159"/>
        <v>0.70370370370370372</v>
      </c>
      <c r="AG144" s="446">
        <f t="shared" si="159"/>
        <v>0.6746019194433116</v>
      </c>
      <c r="AH144" s="446">
        <f t="shared" si="159"/>
        <v>0.65322580645161288</v>
      </c>
      <c r="AI144" s="446">
        <f>AI142/AI114</f>
        <v>0.59403479701739847</v>
      </c>
      <c r="AJ144" s="446">
        <f>AJ142/AJ114</f>
        <v>0.5703125</v>
      </c>
      <c r="AK144" s="1083">
        <f t="shared" ref="AK144:AM144" si="160">AK142/AK114</f>
        <v>0.59375</v>
      </c>
      <c r="AL144" s="1083">
        <f t="shared" si="160"/>
        <v>0.61388888888888904</v>
      </c>
      <c r="AM144" s="453">
        <f t="shared" si="160"/>
        <v>0.5921188363936456</v>
      </c>
      <c r="AN144" s="446"/>
      <c r="AT144" s="446"/>
      <c r="BA144" s="446"/>
      <c r="BR144" s="446"/>
      <c r="BS144" s="446"/>
      <c r="BT144" s="446"/>
      <c r="BU144" s="446"/>
      <c r="BV144" s="446"/>
      <c r="BW144" s="446"/>
      <c r="BX144" s="446"/>
      <c r="BY144" s="154"/>
      <c r="BZ144" s="154"/>
      <c r="CA144" s="154"/>
      <c r="CB144" s="154"/>
      <c r="CC144" s="154"/>
      <c r="CD144" s="154"/>
      <c r="CE144" s="446">
        <v>0.50876445909819368</v>
      </c>
      <c r="CF144" s="446"/>
      <c r="CG144" s="155"/>
      <c r="CH144" s="155"/>
      <c r="CI144" s="155"/>
      <c r="CJ144" s="155"/>
      <c r="CK144" s="453"/>
      <c r="CL144" s="446">
        <v>0.51127819548872178</v>
      </c>
      <c r="CM144" s="446"/>
      <c r="CN144" s="446"/>
      <c r="CO144" s="446"/>
      <c r="CP144" s="446"/>
      <c r="CQ144" s="446">
        <v>0.51798561151079137</v>
      </c>
      <c r="CR144" s="446"/>
      <c r="CS144" s="446"/>
      <c r="CT144" s="446"/>
      <c r="CU144" s="446"/>
      <c r="CV144" s="461"/>
      <c r="CW144" s="446">
        <v>0.52984294274451393</v>
      </c>
      <c r="CX144" s="453"/>
      <c r="CY144" s="446"/>
      <c r="CZ144" s="446"/>
      <c r="DA144" s="1083">
        <v>0.66393442622950816</v>
      </c>
    </row>
    <row r="145" spans="1:105">
      <c r="A145" s="465"/>
      <c r="B145" s="155"/>
      <c r="C145" s="155"/>
      <c r="D145" s="155"/>
      <c r="E145" s="155"/>
      <c r="F145" s="155"/>
      <c r="G145" s="155"/>
      <c r="H145" s="155"/>
      <c r="I145" s="155"/>
      <c r="J145" s="155"/>
      <c r="K145" s="155"/>
      <c r="L145" s="155"/>
      <c r="M145" s="155"/>
      <c r="N145" s="446"/>
      <c r="O145" s="446"/>
      <c r="P145" s="446"/>
      <c r="Q145" s="446"/>
      <c r="R145" s="446"/>
      <c r="S145" s="446">
        <f t="shared" ref="S145:X145" si="161">S144-O144</f>
        <v>4.719677124812327E-2</v>
      </c>
      <c r="T145" s="446">
        <f t="shared" si="161"/>
        <v>2.1303258145363491E-2</v>
      </c>
      <c r="U145" s="446">
        <f t="shared" si="161"/>
        <v>4.8357274925331373E-3</v>
      </c>
      <c r="V145" s="446">
        <f t="shared" si="161"/>
        <v>-3.9278967313327584E-2</v>
      </c>
      <c r="W145" s="446">
        <f t="shared" si="161"/>
        <v>-3.8062136671597302E-2</v>
      </c>
      <c r="X145" s="446">
        <f t="shared" si="161"/>
        <v>1.0275689223057549E-2</v>
      </c>
      <c r="Y145" s="446">
        <f>Y144-U144</f>
        <v>-5.2760136785540146E-3</v>
      </c>
      <c r="Z145" s="446">
        <f>Z144-V144</f>
        <v>4.8910531319730777E-2</v>
      </c>
      <c r="AA145" s="446">
        <f>AA144-W144</f>
        <v>-1.372474266107504E-2</v>
      </c>
      <c r="AB145" s="446"/>
      <c r="AC145" s="446"/>
      <c r="AD145" s="446"/>
      <c r="AE145" s="446"/>
      <c r="AF145" s="446"/>
      <c r="AG145" s="446"/>
      <c r="AH145" s="446"/>
      <c r="AI145" s="446"/>
      <c r="AJ145" s="446"/>
      <c r="AK145" s="1089"/>
      <c r="AL145" s="1089"/>
      <c r="AM145" s="453"/>
      <c r="AN145" s="446"/>
      <c r="AT145" s="446"/>
      <c r="AX145" s="108"/>
      <c r="BA145" s="446"/>
      <c r="BR145" s="446"/>
      <c r="BS145" s="446"/>
      <c r="BT145" s="446"/>
      <c r="BU145" s="446"/>
      <c r="BV145" s="446"/>
      <c r="BW145" s="446"/>
      <c r="BX145" s="446"/>
      <c r="BY145" s="154"/>
      <c r="BZ145" s="154">
        <v>1130</v>
      </c>
      <c r="CA145" s="154"/>
      <c r="CB145" s="154"/>
      <c r="CC145" s="154"/>
      <c r="CD145" s="154"/>
      <c r="CE145" s="446"/>
      <c r="CF145" s="446"/>
      <c r="CG145" s="155"/>
      <c r="CH145" s="155"/>
      <c r="CI145" s="155"/>
      <c r="CJ145" s="155"/>
      <c r="CK145" s="453"/>
      <c r="CL145" s="446"/>
      <c r="CM145" s="446"/>
      <c r="CN145" s="446"/>
      <c r="CO145" s="446"/>
      <c r="CP145" s="446"/>
      <c r="CQ145" s="446"/>
      <c r="CR145" s="446"/>
      <c r="CS145" s="446"/>
      <c r="CT145" s="446"/>
      <c r="CU145" s="446"/>
      <c r="CV145" s="446"/>
      <c r="CW145" s="446"/>
      <c r="CX145" s="453"/>
      <c r="CY145" s="446"/>
      <c r="CZ145" s="446"/>
      <c r="DA145" s="1089"/>
    </row>
    <row r="146" spans="1:105">
      <c r="A146" s="465" t="s">
        <v>710</v>
      </c>
      <c r="B146" s="444"/>
      <c r="C146" s="444"/>
      <c r="D146" s="444"/>
      <c r="E146" s="444"/>
      <c r="F146" s="444"/>
      <c r="G146" s="444"/>
      <c r="H146" s="444"/>
      <c r="I146" s="444"/>
      <c r="J146" s="444"/>
      <c r="K146" s="444"/>
      <c r="L146" s="444"/>
      <c r="M146" s="444"/>
      <c r="N146" s="444"/>
      <c r="O146" s="444">
        <v>2.7530000000000001</v>
      </c>
      <c r="P146" s="444">
        <v>7</v>
      </c>
      <c r="Q146" s="444">
        <v>7</v>
      </c>
      <c r="R146" s="444">
        <f>23-O146-P146-Q146</f>
        <v>6.2469999999999999</v>
      </c>
      <c r="S146" s="444">
        <v>7.47</v>
      </c>
      <c r="T146" s="444">
        <v>10</v>
      </c>
      <c r="U146" s="444">
        <v>11</v>
      </c>
      <c r="V146" s="444">
        <v>14</v>
      </c>
      <c r="W146" s="444">
        <v>22</v>
      </c>
      <c r="X146" s="444">
        <v>31</v>
      </c>
      <c r="Y146" s="444">
        <v>30</v>
      </c>
      <c r="Z146" s="444">
        <v>31</v>
      </c>
      <c r="AA146" s="444">
        <v>31</v>
      </c>
      <c r="AB146" s="444">
        <v>35</v>
      </c>
      <c r="AC146" s="444">
        <v>38</v>
      </c>
      <c r="AD146" s="444">
        <v>41</v>
      </c>
      <c r="AE146" s="444">
        <v>34</v>
      </c>
      <c r="AF146" s="444">
        <v>33</v>
      </c>
      <c r="AG146" s="444">
        <v>33.798000000000002</v>
      </c>
      <c r="AH146" s="444">
        <v>37</v>
      </c>
      <c r="AI146" s="444">
        <v>35.6</v>
      </c>
      <c r="AJ146" s="444">
        <v>33</v>
      </c>
      <c r="AK146" s="447">
        <v>35</v>
      </c>
      <c r="AL146" s="447">
        <f>AM146-AI146-AJ146-AK146</f>
        <v>35.558885250000003</v>
      </c>
      <c r="AM146" s="452">
        <f>Latam!L92</f>
        <v>139.15888525</v>
      </c>
      <c r="AN146" s="444"/>
      <c r="AT146" s="832"/>
      <c r="AU146" s="108"/>
      <c r="AV146" s="1114">
        <f>AJ146/DA146-1</f>
        <v>-8.333333333333337E-2</v>
      </c>
      <c r="AX146" s="1114" t="e">
        <f>AJ146/AW146-1</f>
        <v>#DIV/0!</v>
      </c>
      <c r="BA146" s="458"/>
      <c r="BR146" s="444"/>
      <c r="BS146" s="444"/>
      <c r="BT146" s="444"/>
      <c r="BU146" s="444"/>
      <c r="BV146" s="444"/>
      <c r="BW146" s="444"/>
      <c r="BX146" s="444"/>
      <c r="BY146" s="154"/>
      <c r="BZ146" s="167">
        <f>BZ145-AA128-AB128-AC128</f>
        <v>253.19800000000001</v>
      </c>
      <c r="CA146" s="154"/>
      <c r="CB146" s="154"/>
      <c r="CC146" s="154"/>
      <c r="CD146" s="154"/>
      <c r="CE146" s="447">
        <v>39.007149999999996</v>
      </c>
      <c r="CF146" s="451"/>
      <c r="CG146" s="446"/>
      <c r="CH146" s="451"/>
      <c r="CI146" s="446"/>
      <c r="CJ146" s="446"/>
      <c r="CK146" s="452">
        <f>Latam!J92</f>
        <v>145.75399999999999</v>
      </c>
      <c r="CL146" s="832">
        <v>41</v>
      </c>
      <c r="CM146" s="665">
        <f>AE146/CL146-1</f>
        <v>-0.17073170731707321</v>
      </c>
      <c r="CN146" s="444">
        <v>42</v>
      </c>
      <c r="CO146" s="665">
        <f>AE146/CN146-1</f>
        <v>-0.19047619047619047</v>
      </c>
      <c r="CP146" s="444"/>
      <c r="CQ146" s="832">
        <v>42.5</v>
      </c>
      <c r="CR146" s="665">
        <f>AF146/CQ146-1</f>
        <v>-0.22352941176470587</v>
      </c>
      <c r="CS146" s="444">
        <v>35.1</v>
      </c>
      <c r="CT146" s="665">
        <f>AF146/CS146-1</f>
        <v>-5.9829059829059839E-2</v>
      </c>
      <c r="CU146" s="444"/>
      <c r="CV146" s="444"/>
      <c r="CW146" s="451">
        <v>46.234020799999996</v>
      </c>
      <c r="CX146" s="452">
        <f>Latam!K92</f>
        <v>138.035</v>
      </c>
      <c r="CY146" s="444"/>
      <c r="CZ146" s="444"/>
      <c r="DA146" s="447">
        <v>36</v>
      </c>
    </row>
    <row r="147" spans="1:105">
      <c r="A147" s="465" t="s">
        <v>633</v>
      </c>
      <c r="B147" s="155"/>
      <c r="C147" s="155"/>
      <c r="D147" s="155"/>
      <c r="E147" s="155"/>
      <c r="F147" s="155"/>
      <c r="G147" s="155"/>
      <c r="H147" s="155"/>
      <c r="I147" s="155"/>
      <c r="J147" s="155"/>
      <c r="K147" s="155"/>
      <c r="L147" s="155"/>
      <c r="M147" s="155"/>
      <c r="N147" s="155"/>
      <c r="O147" s="155"/>
      <c r="P147" s="155"/>
      <c r="Q147" s="155"/>
      <c r="R147" s="155"/>
      <c r="S147" s="446">
        <f t="shared" ref="S147:Y147" si="162">S146/O146-1</f>
        <v>1.7134035597529964</v>
      </c>
      <c r="T147" s="446">
        <f t="shared" si="162"/>
        <v>0.4285714285714286</v>
      </c>
      <c r="U147" s="446">
        <f t="shared" si="162"/>
        <v>0.5714285714285714</v>
      </c>
      <c r="V147" s="446">
        <f t="shared" si="162"/>
        <v>1.2410757163438451</v>
      </c>
      <c r="W147" s="446">
        <f t="shared" si="162"/>
        <v>1.9451137884872827</v>
      </c>
      <c r="X147" s="446">
        <f t="shared" si="162"/>
        <v>2.1</v>
      </c>
      <c r="Y147" s="446">
        <f t="shared" si="162"/>
        <v>1.7272727272727271</v>
      </c>
      <c r="Z147" s="446">
        <f>Z146/V146-1</f>
        <v>1.2142857142857144</v>
      </c>
      <c r="AA147" s="446">
        <f>AA146/W146-1</f>
        <v>0.40909090909090917</v>
      </c>
      <c r="AB147" s="446">
        <f>AB146/X146-1</f>
        <v>0.12903225806451624</v>
      </c>
      <c r="AC147" s="446">
        <f>AC146/Y146-1</f>
        <v>0.26666666666666661</v>
      </c>
      <c r="AD147" s="446">
        <f>AD146/Z146-1</f>
        <v>0.32258064516129026</v>
      </c>
      <c r="AE147" s="446">
        <f t="shared" ref="AE147:AH147" si="163">AE146/AA146-1</f>
        <v>9.6774193548387011E-2</v>
      </c>
      <c r="AF147" s="446">
        <f t="shared" si="163"/>
        <v>-5.7142857142857162E-2</v>
      </c>
      <c r="AG147" s="446">
        <f t="shared" si="163"/>
        <v>-0.110578947368421</v>
      </c>
      <c r="AH147" s="446">
        <f t="shared" si="163"/>
        <v>-9.7560975609756073E-2</v>
      </c>
      <c r="AI147" s="446">
        <f>AI146/AE146-1</f>
        <v>4.705882352941182E-2</v>
      </c>
      <c r="AJ147" s="446">
        <f>AJ146/AF146-1</f>
        <v>0</v>
      </c>
      <c r="AK147" s="1083">
        <f>AK146/AG146-1</f>
        <v>3.5564234570092834E-2</v>
      </c>
      <c r="AL147" s="1083">
        <f>AL146/AH146-1</f>
        <v>-3.8949047297297201E-2</v>
      </c>
      <c r="AM147" s="453"/>
      <c r="AN147" s="446"/>
      <c r="AT147" s="446"/>
      <c r="BA147" s="446"/>
      <c r="BR147" s="446"/>
      <c r="BS147" s="446"/>
      <c r="BT147" s="446"/>
      <c r="BU147" s="446"/>
      <c r="BV147" s="446"/>
      <c r="BW147" s="446"/>
      <c r="BX147" s="446"/>
      <c r="BY147" s="154"/>
      <c r="BZ147" s="167">
        <f>BZ146-AC128</f>
        <v>15.096000000000004</v>
      </c>
      <c r="CA147" s="154">
        <v>775</v>
      </c>
      <c r="CB147" s="154">
        <f>1/CA147</f>
        <v>1.2903225806451613E-3</v>
      </c>
      <c r="CC147" s="154"/>
      <c r="CD147" s="154"/>
      <c r="CE147" s="446">
        <v>0.25829516129032237</v>
      </c>
      <c r="CF147" s="446"/>
      <c r="CG147" s="155"/>
      <c r="CH147" s="155"/>
      <c r="CI147" s="155"/>
      <c r="CJ147" s="155"/>
      <c r="CK147" s="453"/>
      <c r="CL147" s="446">
        <v>0.32258064516129026</v>
      </c>
      <c r="CM147" s="446"/>
      <c r="CN147" s="446"/>
      <c r="CO147" s="446"/>
      <c r="CP147" s="446"/>
      <c r="CQ147" s="446">
        <v>0.21428571428571419</v>
      </c>
      <c r="CR147" s="446"/>
      <c r="CS147" s="446"/>
      <c r="CT147" s="446"/>
      <c r="CU147" s="446"/>
      <c r="CV147" s="446"/>
      <c r="CW147" s="446">
        <v>0.12765904390243898</v>
      </c>
      <c r="CX147" s="453"/>
      <c r="CY147" s="446"/>
      <c r="CZ147" s="446"/>
      <c r="DA147" s="1083">
        <v>9.0909090909090828E-2</v>
      </c>
    </row>
    <row r="148" spans="1:105">
      <c r="A148" s="465" t="s">
        <v>357</v>
      </c>
      <c r="B148" s="155"/>
      <c r="C148" s="155"/>
      <c r="D148" s="155"/>
      <c r="E148" s="155"/>
      <c r="F148" s="155"/>
      <c r="G148" s="155"/>
      <c r="H148" s="155"/>
      <c r="I148" s="155"/>
      <c r="J148" s="155"/>
      <c r="K148" s="155"/>
      <c r="L148" s="155"/>
      <c r="M148" s="155"/>
      <c r="N148" s="155"/>
      <c r="O148" s="446">
        <f t="shared" ref="O148:AH148" si="164">O146/O118</f>
        <v>0.64791715697811259</v>
      </c>
      <c r="P148" s="446">
        <f t="shared" si="164"/>
        <v>0.875</v>
      </c>
      <c r="Q148" s="446">
        <f t="shared" si="164"/>
        <v>0.77777777777777779</v>
      </c>
      <c r="R148" s="446">
        <f t="shared" si="164"/>
        <v>0.71386127299737157</v>
      </c>
      <c r="S148" s="446">
        <f t="shared" si="164"/>
        <v>0.71122536418166238</v>
      </c>
      <c r="T148" s="446">
        <f t="shared" si="164"/>
        <v>0.7142857142857143</v>
      </c>
      <c r="U148" s="446">
        <f t="shared" si="164"/>
        <v>0.73333333333333328</v>
      </c>
      <c r="V148" s="446">
        <f t="shared" si="164"/>
        <v>0.68302678440747422</v>
      </c>
      <c r="W148" s="446">
        <f t="shared" si="164"/>
        <v>0.70967741935483875</v>
      </c>
      <c r="X148" s="446">
        <f t="shared" si="164"/>
        <v>0.72093023255813948</v>
      </c>
      <c r="Y148" s="446">
        <f t="shared" si="164"/>
        <v>0.7142857142857143</v>
      </c>
      <c r="Z148" s="446">
        <f t="shared" si="164"/>
        <v>0.70454545454545459</v>
      </c>
      <c r="AA148" s="446">
        <f t="shared" si="164"/>
        <v>0.67391304347826086</v>
      </c>
      <c r="AB148" s="446">
        <f t="shared" si="164"/>
        <v>0.72916666666666663</v>
      </c>
      <c r="AC148" s="446">
        <f t="shared" si="164"/>
        <v>0.7324171694003816</v>
      </c>
      <c r="AD148" s="446">
        <f t="shared" si="164"/>
        <v>0.7592592592592593</v>
      </c>
      <c r="AE148" s="446">
        <f t="shared" si="164"/>
        <v>0.70833333333333337</v>
      </c>
      <c r="AF148" s="446">
        <f t="shared" si="164"/>
        <v>0.71739130434782605</v>
      </c>
      <c r="AG148" s="446">
        <f t="shared" si="164"/>
        <v>0.74860458935058027</v>
      </c>
      <c r="AH148" s="446">
        <f t="shared" si="164"/>
        <v>0.82222222222222219</v>
      </c>
      <c r="AI148" s="446">
        <f>AI146/AI118</f>
        <v>0.74947368421052629</v>
      </c>
      <c r="AJ148" s="446">
        <f>AJ146/AJ118</f>
        <v>0.73333333333333328</v>
      </c>
      <c r="AK148" s="1083">
        <f t="shared" ref="AK148:AM148" si="165">AK146/AK118</f>
        <v>0.74468085106382975</v>
      </c>
      <c r="AL148" s="1083">
        <f t="shared" si="165"/>
        <v>0.75192528829816607</v>
      </c>
      <c r="AM148" s="453">
        <f t="shared" si="165"/>
        <v>0.745</v>
      </c>
      <c r="AN148" s="446"/>
      <c r="AT148" s="446"/>
      <c r="BA148" s="446"/>
      <c r="BR148" s="446"/>
      <c r="BS148" s="446"/>
      <c r="BT148" s="446"/>
      <c r="BU148" s="446"/>
      <c r="BV148" s="446"/>
      <c r="BW148" s="446"/>
      <c r="BX148" s="446"/>
      <c r="BY148" s="154"/>
      <c r="BZ148" s="154"/>
      <c r="CA148" s="154">
        <v>800</v>
      </c>
      <c r="CB148" s="154">
        <f>1/CA148</f>
        <v>1.25E-3</v>
      </c>
      <c r="CC148" s="165">
        <f>CB148/CB147-1</f>
        <v>-3.125E-2</v>
      </c>
      <c r="CD148" s="154"/>
      <c r="CE148" s="446">
        <v>0.722220885021292</v>
      </c>
      <c r="CF148" s="446"/>
      <c r="CG148" s="155"/>
      <c r="CH148" s="155"/>
      <c r="CI148" s="155"/>
      <c r="CJ148" s="155"/>
      <c r="CK148" s="453"/>
      <c r="CL148" s="446">
        <v>0.7321428571428571</v>
      </c>
      <c r="CM148" s="446"/>
      <c r="CN148" s="446"/>
      <c r="CO148" s="446"/>
      <c r="CP148" s="446"/>
      <c r="CQ148" s="446">
        <v>0.73275862068965514</v>
      </c>
      <c r="CR148" s="446"/>
      <c r="CS148" s="446"/>
      <c r="CT148" s="446"/>
      <c r="CU148" s="446"/>
      <c r="CV148" s="446"/>
      <c r="CW148" s="446">
        <v>0.71060235949264039</v>
      </c>
      <c r="CX148" s="453"/>
      <c r="CY148" s="446"/>
      <c r="CZ148" s="446"/>
      <c r="DA148" s="1083">
        <v>0.76595744680851063</v>
      </c>
    </row>
    <row r="149" spans="1:105">
      <c r="A149" s="465"/>
      <c r="B149" s="155"/>
      <c r="C149" s="155"/>
      <c r="D149" s="155"/>
      <c r="E149" s="155"/>
      <c r="F149" s="155"/>
      <c r="G149" s="155"/>
      <c r="H149" s="155"/>
      <c r="I149" s="155"/>
      <c r="J149" s="155"/>
      <c r="K149" s="155"/>
      <c r="L149" s="155"/>
      <c r="M149" s="155"/>
      <c r="N149" s="155"/>
      <c r="O149" s="155"/>
      <c r="P149" s="155"/>
      <c r="Q149" s="155"/>
      <c r="R149" s="155"/>
      <c r="S149" s="446"/>
      <c r="T149" s="446"/>
      <c r="U149" s="446"/>
      <c r="V149" s="446"/>
      <c r="W149" s="446"/>
      <c r="X149" s="446"/>
      <c r="Y149" s="446"/>
      <c r="Z149" s="446"/>
      <c r="AA149" s="446"/>
      <c r="AB149" s="446"/>
      <c r="AC149" s="446"/>
      <c r="AD149" s="446"/>
      <c r="AE149" s="446"/>
      <c r="AF149" s="446"/>
      <c r="AG149" s="446"/>
      <c r="AH149" s="446"/>
      <c r="AI149" s="446"/>
      <c r="AJ149" s="446"/>
      <c r="AK149" s="1089"/>
      <c r="AL149" s="1089"/>
      <c r="AM149" s="453"/>
      <c r="AN149" s="446"/>
      <c r="AT149" s="446"/>
      <c r="AX149" s="108"/>
      <c r="BA149" s="446"/>
      <c r="BR149" s="446"/>
      <c r="BS149" s="446"/>
      <c r="BT149" s="446"/>
      <c r="BU149" s="446"/>
      <c r="BV149" s="446"/>
      <c r="BW149" s="446"/>
      <c r="BX149" s="446"/>
      <c r="BY149" s="154"/>
      <c r="BZ149" s="154"/>
      <c r="CA149" s="154"/>
      <c r="CB149" s="154"/>
      <c r="CC149" s="154"/>
      <c r="CD149" s="154"/>
      <c r="CE149" s="446"/>
      <c r="CF149" s="446"/>
      <c r="CG149" s="155"/>
      <c r="CH149" s="155"/>
      <c r="CI149" s="155"/>
      <c r="CJ149" s="155"/>
      <c r="CK149" s="453"/>
      <c r="CL149" s="446"/>
      <c r="CM149" s="446"/>
      <c r="CN149" s="446"/>
      <c r="CO149" s="446"/>
      <c r="CP149" s="446"/>
      <c r="CQ149" s="446"/>
      <c r="CR149" s="446"/>
      <c r="CS149" s="446"/>
      <c r="CT149" s="446"/>
      <c r="CU149" s="446"/>
      <c r="CV149" s="446"/>
      <c r="CW149" s="446"/>
      <c r="CX149" s="453"/>
      <c r="CY149" s="446"/>
      <c r="CZ149" s="446"/>
      <c r="DA149" s="1089"/>
    </row>
    <row r="150" spans="1:105">
      <c r="A150" s="465" t="s">
        <v>273</v>
      </c>
      <c r="B150" s="444"/>
      <c r="C150" s="444"/>
      <c r="D150" s="444"/>
      <c r="E150" s="444"/>
      <c r="F150" s="444"/>
      <c r="G150" s="444"/>
      <c r="H150" s="444"/>
      <c r="I150" s="444"/>
      <c r="J150" s="444"/>
      <c r="K150" s="444"/>
      <c r="L150" s="444"/>
      <c r="M150" s="444"/>
      <c r="N150" s="444"/>
      <c r="O150" s="444">
        <v>1.268</v>
      </c>
      <c r="P150" s="444">
        <v>3</v>
      </c>
      <c r="Q150" s="444">
        <v>3</v>
      </c>
      <c r="R150" s="444">
        <f>10-O150-P150-Q150</f>
        <v>2.7319999999999993</v>
      </c>
      <c r="S150" s="444">
        <v>3</v>
      </c>
      <c r="T150" s="444">
        <v>3</v>
      </c>
      <c r="U150" s="444">
        <v>3</v>
      </c>
      <c r="V150" s="444">
        <v>4</v>
      </c>
      <c r="W150" s="444">
        <v>4</v>
      </c>
      <c r="X150" s="444">
        <v>4</v>
      </c>
      <c r="Y150" s="444">
        <v>4</v>
      </c>
      <c r="Z150" s="444">
        <v>4</v>
      </c>
      <c r="AA150" s="444">
        <v>4</v>
      </c>
      <c r="AB150" s="444">
        <v>5</v>
      </c>
      <c r="AC150" s="444">
        <v>5</v>
      </c>
      <c r="AD150" s="444">
        <v>8</v>
      </c>
      <c r="AE150" s="444">
        <v>6</v>
      </c>
      <c r="AF150" s="444">
        <v>6</v>
      </c>
      <c r="AG150" s="444">
        <v>8.0139999999999993</v>
      </c>
      <c r="AH150" s="451"/>
      <c r="AI150" s="444"/>
      <c r="AJ150" s="444"/>
      <c r="AK150" s="447"/>
      <c r="AL150" s="447"/>
      <c r="AM150" s="452"/>
      <c r="AN150" s="451"/>
      <c r="AT150" s="832"/>
      <c r="AU150" s="108"/>
      <c r="AV150" s="1114"/>
      <c r="AX150" s="108"/>
      <c r="BA150" s="458"/>
      <c r="BR150" s="451"/>
      <c r="BS150" s="451"/>
      <c r="BT150" s="451"/>
      <c r="BU150" s="451"/>
      <c r="BV150" s="451"/>
      <c r="BW150" s="451"/>
      <c r="BX150" s="451"/>
      <c r="BY150" s="154"/>
      <c r="BZ150" s="154"/>
      <c r="CA150" s="154"/>
      <c r="CB150" s="154"/>
      <c r="CC150" s="154"/>
      <c r="CD150" s="154"/>
      <c r="CE150" s="447">
        <v>4.9116314987560727</v>
      </c>
      <c r="CF150" s="451"/>
      <c r="CG150" s="446"/>
      <c r="CH150" s="451"/>
      <c r="CI150" s="446"/>
      <c r="CJ150" s="446"/>
      <c r="CK150" s="452">
        <f>MENA!J62</f>
        <v>22.120999999999999</v>
      </c>
      <c r="CL150" s="832">
        <v>6</v>
      </c>
      <c r="CM150" s="665">
        <f>AE150/CL150-1</f>
        <v>0</v>
      </c>
      <c r="CN150" s="444">
        <v>6.3</v>
      </c>
      <c r="CO150" s="665">
        <f>AE150/CN150-1</f>
        <v>-4.7619047619047561E-2</v>
      </c>
      <c r="CP150" s="451"/>
      <c r="CQ150" s="832">
        <v>6.25</v>
      </c>
      <c r="CR150" s="665">
        <f>AF150/CQ150-1</f>
        <v>-4.0000000000000036E-2</v>
      </c>
      <c r="CS150" s="444">
        <v>5.7</v>
      </c>
      <c r="CT150" s="665">
        <f>AF150/CS150-1</f>
        <v>5.2631578947368363E-2</v>
      </c>
      <c r="CU150" s="451"/>
      <c r="CV150" s="451"/>
      <c r="CW150" s="451">
        <v>4.5541329055094941</v>
      </c>
      <c r="CX150" s="452">
        <f>MENA!K62</f>
        <v>27.561</v>
      </c>
      <c r="CY150" s="451"/>
      <c r="CZ150" s="451"/>
      <c r="DA150" s="447"/>
    </row>
    <row r="151" spans="1:105">
      <c r="A151" s="465" t="s">
        <v>633</v>
      </c>
      <c r="B151" s="155"/>
      <c r="C151" s="155"/>
      <c r="D151" s="155"/>
      <c r="E151" s="155"/>
      <c r="F151" s="155"/>
      <c r="G151" s="155"/>
      <c r="H151" s="155"/>
      <c r="I151" s="155"/>
      <c r="J151" s="155"/>
      <c r="K151" s="155"/>
      <c r="L151" s="155"/>
      <c r="M151" s="155"/>
      <c r="N151" s="155"/>
      <c r="O151" s="155"/>
      <c r="P151" s="155"/>
      <c r="Q151" s="155"/>
      <c r="R151" s="155"/>
      <c r="S151" s="446">
        <f t="shared" ref="S151:Y151" si="166">S150/O150-1</f>
        <v>1.3659305993690851</v>
      </c>
      <c r="T151" s="446">
        <f t="shared" si="166"/>
        <v>0</v>
      </c>
      <c r="U151" s="446">
        <f t="shared" si="166"/>
        <v>0</v>
      </c>
      <c r="V151" s="446">
        <f t="shared" si="166"/>
        <v>0.46412884333821403</v>
      </c>
      <c r="W151" s="446">
        <f t="shared" si="166"/>
        <v>0.33333333333333326</v>
      </c>
      <c r="X151" s="446">
        <f t="shared" si="166"/>
        <v>0.33333333333333326</v>
      </c>
      <c r="Y151" s="446">
        <f t="shared" si="166"/>
        <v>0.33333333333333326</v>
      </c>
      <c r="Z151" s="446">
        <f>Z150/V150-1</f>
        <v>0</v>
      </c>
      <c r="AA151" s="446">
        <f>AA150/W150-1</f>
        <v>0</v>
      </c>
      <c r="AB151" s="446">
        <f>AB150/X150-1</f>
        <v>0.25</v>
      </c>
      <c r="AC151" s="446">
        <f>AC150/Y150-1</f>
        <v>0.25</v>
      </c>
      <c r="AD151" s="446">
        <f>AD150/Z150-1</f>
        <v>1</v>
      </c>
      <c r="AE151" s="446">
        <f t="shared" ref="AE151:AG151" si="167">AE150/AA150-1</f>
        <v>0.5</v>
      </c>
      <c r="AF151" s="446">
        <f t="shared" si="167"/>
        <v>0.19999999999999996</v>
      </c>
      <c r="AG151" s="446">
        <f t="shared" si="167"/>
        <v>0.60279999999999978</v>
      </c>
      <c r="AH151" s="446"/>
      <c r="AI151" s="446"/>
      <c r="AJ151" s="446"/>
      <c r="AK151" s="1089"/>
      <c r="AL151" s="1089"/>
      <c r="AM151" s="453"/>
      <c r="AN151" s="446"/>
      <c r="AT151" s="446"/>
      <c r="BA151" s="446"/>
      <c r="BR151" s="446"/>
      <c r="BS151" s="446"/>
      <c r="BT151" s="446"/>
      <c r="BU151" s="446"/>
      <c r="BV151" s="446"/>
      <c r="BW151" s="446"/>
      <c r="BX151" s="446"/>
      <c r="BY151" s="154"/>
      <c r="BZ151" s="154"/>
      <c r="CA151" s="154"/>
      <c r="CB151" s="154"/>
      <c r="CC151" s="154"/>
      <c r="CD151" s="154"/>
      <c r="CE151" s="446">
        <v>0.22790787468901819</v>
      </c>
      <c r="CF151" s="446"/>
      <c r="CG151" s="155"/>
      <c r="CH151" s="155"/>
      <c r="CI151" s="155"/>
      <c r="CJ151" s="155"/>
      <c r="CK151" s="453"/>
      <c r="CL151" s="446">
        <v>0.5</v>
      </c>
      <c r="CM151" s="446"/>
      <c r="CN151" s="446"/>
      <c r="CO151" s="446"/>
      <c r="CP151" s="446"/>
      <c r="CQ151" s="446">
        <v>0.25</v>
      </c>
      <c r="CR151" s="446"/>
      <c r="CS151" s="446"/>
      <c r="CT151" s="446"/>
      <c r="CU151" s="446"/>
      <c r="CV151" s="446"/>
      <c r="CW151" s="446">
        <v>-0.43073338681131323</v>
      </c>
      <c r="CX151" s="453"/>
      <c r="CY151" s="446"/>
      <c r="CZ151" s="446"/>
      <c r="DA151" s="1089"/>
    </row>
    <row r="152" spans="1:105">
      <c r="A152" s="465" t="s">
        <v>357</v>
      </c>
      <c r="B152" s="155"/>
      <c r="C152" s="155"/>
      <c r="D152" s="155"/>
      <c r="E152" s="155"/>
      <c r="F152" s="155"/>
      <c r="G152" s="155"/>
      <c r="H152" s="155"/>
      <c r="I152" s="155"/>
      <c r="J152" s="155"/>
      <c r="K152" s="155"/>
      <c r="L152" s="155"/>
      <c r="M152" s="155"/>
      <c r="N152" s="155"/>
      <c r="O152" s="446">
        <f t="shared" ref="O152:AG152" si="168">O150/O122</f>
        <v>0.39244815846487158</v>
      </c>
      <c r="P152" s="446">
        <f t="shared" si="168"/>
        <v>0.5</v>
      </c>
      <c r="Q152" s="446">
        <f t="shared" si="168"/>
        <v>0.5</v>
      </c>
      <c r="R152" s="446">
        <f t="shared" si="168"/>
        <v>0.40360466834096614</v>
      </c>
      <c r="S152" s="446">
        <f t="shared" si="168"/>
        <v>0.44616299821534799</v>
      </c>
      <c r="T152" s="446">
        <f t="shared" si="168"/>
        <v>0.42857142857142855</v>
      </c>
      <c r="U152" s="446">
        <f t="shared" si="168"/>
        <v>0.42857142857142855</v>
      </c>
      <c r="V152" s="446">
        <f t="shared" si="168"/>
        <v>0.48332527791203483</v>
      </c>
      <c r="W152" s="446">
        <f t="shared" si="168"/>
        <v>0.44444444444444442</v>
      </c>
      <c r="X152" s="446">
        <f t="shared" si="168"/>
        <v>0.44444444444444442</v>
      </c>
      <c r="Y152" s="446">
        <f t="shared" si="168"/>
        <v>0.44444444444444442</v>
      </c>
      <c r="Z152" s="446">
        <f t="shared" si="168"/>
        <v>0.4</v>
      </c>
      <c r="AA152" s="446">
        <f t="shared" si="168"/>
        <v>0.4</v>
      </c>
      <c r="AB152" s="446">
        <f t="shared" si="168"/>
        <v>0.5</v>
      </c>
      <c r="AC152" s="446">
        <f t="shared" si="168"/>
        <v>0.48709206039941544</v>
      </c>
      <c r="AD152" s="446">
        <f t="shared" si="168"/>
        <v>0.72727272727272729</v>
      </c>
      <c r="AE152" s="446">
        <f t="shared" si="168"/>
        <v>0.54545454545454541</v>
      </c>
      <c r="AF152" s="446">
        <f t="shared" si="168"/>
        <v>0.54545454545454541</v>
      </c>
      <c r="AG152" s="446">
        <f t="shared" si="168"/>
        <v>0.63077528532073979</v>
      </c>
      <c r="AH152" s="446"/>
      <c r="AI152" s="446"/>
      <c r="AJ152" s="446"/>
      <c r="AK152" s="1089"/>
      <c r="AL152" s="1089"/>
      <c r="AM152" s="453"/>
      <c r="AN152" s="446"/>
      <c r="AT152" s="446"/>
      <c r="BA152" s="446"/>
      <c r="BR152" s="446"/>
      <c r="BS152" s="446"/>
      <c r="BT152" s="446"/>
      <c r="BU152" s="446"/>
      <c r="BV152" s="446"/>
      <c r="BW152" s="446"/>
      <c r="BX152" s="446"/>
      <c r="BY152" s="154"/>
      <c r="BZ152" s="154"/>
      <c r="CA152" s="154"/>
      <c r="CB152" s="154"/>
      <c r="CC152" s="154"/>
      <c r="CD152" s="154"/>
      <c r="CE152" s="446">
        <v>0.46031404135800325</v>
      </c>
      <c r="CF152" s="446"/>
      <c r="CG152" s="155"/>
      <c r="CH152" s="155"/>
      <c r="CI152" s="155"/>
      <c r="CJ152" s="155"/>
      <c r="CK152" s="453"/>
      <c r="CL152" s="446">
        <v>0.54545454545454541</v>
      </c>
      <c r="CM152" s="446"/>
      <c r="CN152" s="446"/>
      <c r="CO152" s="446"/>
      <c r="CP152" s="446"/>
      <c r="CQ152" s="446">
        <v>0.54347826086956519</v>
      </c>
      <c r="CR152" s="446"/>
      <c r="CS152" s="446"/>
      <c r="CT152" s="446"/>
      <c r="CU152" s="446"/>
      <c r="CV152" s="446"/>
      <c r="CW152" s="446">
        <v>0.43934512624935007</v>
      </c>
      <c r="CX152" s="453"/>
      <c r="CY152" s="446"/>
      <c r="CZ152" s="446"/>
      <c r="DA152" s="1089"/>
    </row>
    <row r="153" spans="1:105">
      <c r="A153" s="465"/>
      <c r="B153" s="155"/>
      <c r="C153" s="155"/>
      <c r="D153" s="155"/>
      <c r="E153" s="155"/>
      <c r="F153" s="155"/>
      <c r="G153" s="155"/>
      <c r="H153" s="155"/>
      <c r="I153" s="155"/>
      <c r="J153" s="155"/>
      <c r="K153" s="155"/>
      <c r="L153" s="155"/>
      <c r="M153" s="155"/>
      <c r="N153" s="155"/>
      <c r="O153" s="446"/>
      <c r="P153" s="446"/>
      <c r="Q153" s="446"/>
      <c r="R153" s="446"/>
      <c r="S153" s="446"/>
      <c r="T153" s="446"/>
      <c r="U153" s="446"/>
      <c r="V153" s="446"/>
      <c r="W153" s="446"/>
      <c r="X153" s="446"/>
      <c r="Y153" s="446"/>
      <c r="Z153" s="446"/>
      <c r="AA153" s="446"/>
      <c r="AB153" s="446"/>
      <c r="AC153" s="446"/>
      <c r="AD153" s="446"/>
      <c r="AE153" s="446"/>
      <c r="AF153" s="446"/>
      <c r="AG153" s="446"/>
      <c r="AH153" s="446"/>
      <c r="AI153" s="446"/>
      <c r="AJ153" s="446"/>
      <c r="AK153" s="1089"/>
      <c r="AL153" s="1089"/>
      <c r="AM153" s="453"/>
      <c r="AN153" s="446"/>
      <c r="AT153" s="446"/>
      <c r="AX153" s="108"/>
      <c r="BA153" s="446"/>
      <c r="BR153" s="446"/>
      <c r="BS153" s="446"/>
      <c r="BT153" s="446"/>
      <c r="BU153" s="446"/>
      <c r="BV153" s="446"/>
      <c r="BW153" s="446"/>
      <c r="BX153" s="446"/>
      <c r="BY153" s="154"/>
      <c r="BZ153" s="154"/>
      <c r="CA153" s="154"/>
      <c r="CB153" s="154"/>
      <c r="CC153" s="154"/>
      <c r="CD153" s="154"/>
      <c r="CE153" s="446"/>
      <c r="CF153" s="446"/>
      <c r="CG153" s="155"/>
      <c r="CH153" s="155"/>
      <c r="CI153" s="155"/>
      <c r="CJ153" s="155"/>
      <c r="CK153" s="453"/>
      <c r="CL153" s="446"/>
      <c r="CM153" s="446"/>
      <c r="CN153" s="446"/>
      <c r="CO153" s="446"/>
      <c r="CP153" s="446"/>
      <c r="CQ153" s="446"/>
      <c r="CR153" s="446"/>
      <c r="CS153" s="446"/>
      <c r="CT153" s="446"/>
      <c r="CU153" s="446"/>
      <c r="CV153" s="446"/>
      <c r="CW153" s="446"/>
      <c r="CX153" s="453"/>
      <c r="CY153" s="446"/>
      <c r="CZ153" s="446"/>
      <c r="DA153" s="1089"/>
    </row>
    <row r="154" spans="1:105">
      <c r="A154" s="465" t="s">
        <v>665</v>
      </c>
      <c r="B154" s="444"/>
      <c r="C154" s="444"/>
      <c r="D154" s="444"/>
      <c r="E154" s="444"/>
      <c r="F154" s="444"/>
      <c r="G154" s="444"/>
      <c r="H154" s="444"/>
      <c r="I154" s="444"/>
      <c r="J154" s="444"/>
      <c r="K154" s="444"/>
      <c r="L154" s="444"/>
      <c r="M154" s="444"/>
      <c r="N154" s="444"/>
      <c r="O154" s="451">
        <f>O128-O136-O142-O146-O150</f>
        <v>-23.583999999999996</v>
      </c>
      <c r="P154" s="451">
        <f t="shared" ref="P154:V154" si="169">P128-P136-P142-P146-P150</f>
        <v>-24</v>
      </c>
      <c r="Q154" s="451">
        <f t="shared" si="169"/>
        <v>-21</v>
      </c>
      <c r="R154" s="451">
        <f t="shared" si="169"/>
        <v>-17.415999999999983</v>
      </c>
      <c r="S154" s="451">
        <f t="shared" si="169"/>
        <v>-24.012</v>
      </c>
      <c r="T154" s="451">
        <f t="shared" si="169"/>
        <v>-24</v>
      </c>
      <c r="U154" s="451">
        <f t="shared" si="169"/>
        <v>-23</v>
      </c>
      <c r="V154" s="451">
        <f t="shared" si="169"/>
        <v>-31</v>
      </c>
      <c r="W154" s="451">
        <f t="shared" ref="W154:AE154" si="170">W128-W136-W142-W146-W150</f>
        <v>-31.099999999999994</v>
      </c>
      <c r="X154" s="451">
        <f t="shared" si="170"/>
        <v>-33</v>
      </c>
      <c r="Y154" s="451">
        <f t="shared" si="170"/>
        <v>-33.600000000000023</v>
      </c>
      <c r="Z154" s="451">
        <f t="shared" si="170"/>
        <v>-35</v>
      </c>
      <c r="AA154" s="451">
        <f t="shared" si="170"/>
        <v>-37</v>
      </c>
      <c r="AB154" s="451">
        <f t="shared" si="170"/>
        <v>-37.300000000000011</v>
      </c>
      <c r="AC154" s="451">
        <f t="shared" si="170"/>
        <v>-35.049999999999983</v>
      </c>
      <c r="AD154" s="451">
        <f t="shared" si="170"/>
        <v>-36.800000000000011</v>
      </c>
      <c r="AE154" s="451">
        <f t="shared" si="170"/>
        <v>-28</v>
      </c>
      <c r="AF154" s="451">
        <f t="shared" ref="AF154:AH154" si="171">AF128-AF136-AF142-AF146-AF150</f>
        <v>-35</v>
      </c>
      <c r="AG154" s="451">
        <f t="shared" si="171"/>
        <v>-35.783000000000015</v>
      </c>
      <c r="AH154" s="451">
        <f t="shared" si="171"/>
        <v>-26.599999999999994</v>
      </c>
      <c r="AI154" s="451">
        <f>AI128-AI136-AI142-AI146-AI150</f>
        <v>-33.800000000000004</v>
      </c>
      <c r="AJ154" s="451">
        <f>AJ128-AJ136-AJ142-AJ146-AJ150</f>
        <v>-29</v>
      </c>
      <c r="AK154" s="447">
        <v>-30</v>
      </c>
      <c r="AL154" s="447">
        <f>AM154-AI154-AJ154-AK154</f>
        <v>-30.199999999999989</v>
      </c>
      <c r="AM154" s="452">
        <f>Consolidation!K31</f>
        <v>-123</v>
      </c>
      <c r="AN154" s="451"/>
      <c r="AT154" s="832"/>
      <c r="AU154" s="108"/>
      <c r="AX154" s="108"/>
      <c r="BA154" s="458"/>
      <c r="BR154" s="451"/>
      <c r="BS154" s="451"/>
      <c r="BT154" s="451"/>
      <c r="BU154" s="451"/>
      <c r="BV154" s="451"/>
      <c r="BW154" s="451"/>
      <c r="BX154" s="451"/>
      <c r="BY154" s="154"/>
      <c r="BZ154" s="154"/>
      <c r="CA154" s="154"/>
      <c r="CB154" s="154"/>
      <c r="CC154" s="154"/>
      <c r="CD154" s="154"/>
      <c r="CE154" s="447">
        <v>-35.699999999999989</v>
      </c>
      <c r="CF154" s="451"/>
      <c r="CG154" s="446"/>
      <c r="CH154" s="451"/>
      <c r="CI154" s="446"/>
      <c r="CJ154" s="155"/>
      <c r="CK154" s="452">
        <f>Consolidation!I31</f>
        <v>-147.72900000000001</v>
      </c>
      <c r="CL154" s="832">
        <v>-32</v>
      </c>
      <c r="CM154" s="665">
        <f>AE154/CL154-1</f>
        <v>-0.125</v>
      </c>
      <c r="CN154" s="451"/>
      <c r="CO154" s="451"/>
      <c r="CP154" s="451"/>
      <c r="CQ154" s="832">
        <v>-32.5</v>
      </c>
      <c r="CR154" s="451"/>
      <c r="CS154" s="451"/>
      <c r="CT154" s="451"/>
      <c r="CU154" s="451"/>
      <c r="CV154" s="451"/>
      <c r="CW154" s="451">
        <v>-21.104463242609427</v>
      </c>
      <c r="CX154" s="452">
        <f>Consolidation!J31</f>
        <v>-133.227</v>
      </c>
      <c r="CY154" s="451"/>
      <c r="CZ154" s="451"/>
      <c r="DA154" s="447">
        <v>-34</v>
      </c>
    </row>
    <row r="155" spans="1:105">
      <c r="A155" s="465" t="s">
        <v>633</v>
      </c>
      <c r="B155" s="155"/>
      <c r="C155" s="155"/>
      <c r="D155" s="155"/>
      <c r="E155" s="155"/>
      <c r="F155" s="155"/>
      <c r="G155" s="155"/>
      <c r="H155" s="155"/>
      <c r="I155" s="155"/>
      <c r="J155" s="155"/>
      <c r="K155" s="155"/>
      <c r="L155" s="155"/>
      <c r="M155" s="155"/>
      <c r="N155" s="155"/>
      <c r="O155" s="155"/>
      <c r="P155" s="155"/>
      <c r="Q155" s="155"/>
      <c r="R155" s="155"/>
      <c r="S155" s="446"/>
      <c r="T155" s="446"/>
      <c r="U155" s="446"/>
      <c r="V155" s="446"/>
      <c r="W155" s="446"/>
      <c r="X155" s="446"/>
      <c r="Y155" s="446"/>
      <c r="Z155" s="446"/>
      <c r="AA155" s="446"/>
      <c r="AB155" s="446"/>
      <c r="AC155" s="446"/>
      <c r="AD155" s="446"/>
      <c r="AE155" s="446"/>
      <c r="AF155" s="446"/>
      <c r="AG155" s="446"/>
      <c r="AH155" s="446"/>
      <c r="AI155" s="446"/>
      <c r="AJ155" s="446"/>
      <c r="AK155" s="1089"/>
      <c r="AL155" s="1089"/>
      <c r="AM155" s="453"/>
      <c r="AN155" s="446"/>
      <c r="AT155" s="446"/>
      <c r="BA155" s="446"/>
      <c r="BR155" s="446"/>
      <c r="BS155" s="446"/>
      <c r="BT155" s="446"/>
      <c r="BU155" s="446"/>
      <c r="BV155" s="446"/>
      <c r="BW155" s="446"/>
      <c r="BX155" s="446"/>
      <c r="BY155" s="154"/>
      <c r="BZ155" s="154"/>
      <c r="CA155" s="154"/>
      <c r="CB155" s="154"/>
      <c r="CC155" s="154"/>
      <c r="CD155" s="154"/>
      <c r="CE155" s="446"/>
      <c r="CF155" s="446"/>
      <c r="CG155" s="155"/>
      <c r="CH155" s="155"/>
      <c r="CI155" s="155"/>
      <c r="CJ155" s="155"/>
      <c r="CK155" s="453"/>
      <c r="CL155" s="446"/>
      <c r="CM155" s="446"/>
      <c r="CN155" s="446"/>
      <c r="CO155" s="446"/>
      <c r="CP155" s="446"/>
      <c r="CQ155" s="446"/>
      <c r="CR155" s="446"/>
      <c r="CS155" s="446"/>
      <c r="CT155" s="446"/>
      <c r="CU155" s="446"/>
      <c r="CV155" s="446"/>
      <c r="CW155" s="446"/>
      <c r="CX155" s="453"/>
      <c r="CY155" s="446"/>
      <c r="CZ155" s="446"/>
      <c r="DA155" s="1089"/>
    </row>
    <row r="156" spans="1:105">
      <c r="A156" s="154"/>
      <c r="B156" s="155"/>
      <c r="C156" s="155"/>
      <c r="D156" s="155"/>
      <c r="E156" s="155"/>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55"/>
      <c r="AB156" s="155"/>
      <c r="AC156" s="155"/>
      <c r="AD156" s="155"/>
      <c r="AE156" s="155"/>
      <c r="AF156" s="155"/>
      <c r="AG156" s="155"/>
      <c r="AH156" s="155"/>
      <c r="AI156" s="155"/>
      <c r="AJ156" s="155"/>
      <c r="AK156" s="768"/>
      <c r="AL156" s="768"/>
      <c r="AM156" s="408"/>
      <c r="AN156" s="155"/>
      <c r="AT156" s="155"/>
      <c r="BA156" s="156"/>
      <c r="BR156" s="155"/>
      <c r="BS156" s="155"/>
      <c r="BT156" s="155"/>
      <c r="BU156" s="155"/>
      <c r="BV156" s="155"/>
      <c r="BW156" s="155"/>
      <c r="BX156" s="155"/>
      <c r="BY156" s="154"/>
      <c r="BZ156" s="154"/>
      <c r="CA156" s="154"/>
      <c r="CB156" s="154"/>
      <c r="CC156" s="154"/>
      <c r="CD156" s="154"/>
      <c r="CE156" s="155"/>
      <c r="CF156" s="155"/>
      <c r="CG156" s="155"/>
      <c r="CH156" s="155"/>
      <c r="CI156" s="155"/>
      <c r="CJ156" s="155"/>
      <c r="CK156" s="408"/>
      <c r="CL156" s="155"/>
      <c r="CM156" s="155"/>
      <c r="CN156" s="155"/>
      <c r="CO156" s="155"/>
      <c r="CP156" s="155"/>
      <c r="CQ156" s="155"/>
      <c r="CR156" s="155"/>
      <c r="CS156" s="155"/>
      <c r="CT156" s="155"/>
      <c r="CU156" s="155"/>
      <c r="CV156" s="155"/>
      <c r="CW156" s="155"/>
      <c r="CX156" s="408"/>
      <c r="CY156" s="155"/>
      <c r="CZ156" s="155"/>
      <c r="DA156" s="768"/>
    </row>
    <row r="157" spans="1:105">
      <c r="A157" s="154" t="s">
        <v>908</v>
      </c>
      <c r="B157" s="154"/>
      <c r="C157" s="154"/>
      <c r="D157" s="154"/>
      <c r="E157" s="154"/>
      <c r="F157" s="154"/>
      <c r="G157" s="154"/>
      <c r="H157" s="154"/>
      <c r="I157" s="154"/>
      <c r="J157" s="154"/>
      <c r="K157" s="154"/>
      <c r="L157" s="154"/>
      <c r="M157" s="154"/>
      <c r="N157" s="154"/>
      <c r="O157" s="167">
        <f t="shared" ref="O157:AH157" si="172">O110-O136</f>
        <v>84.240000000000009</v>
      </c>
      <c r="P157" s="167">
        <f t="shared" si="172"/>
        <v>79</v>
      </c>
      <c r="Q157" s="167">
        <f t="shared" si="172"/>
        <v>78</v>
      </c>
      <c r="R157" s="167">
        <f t="shared" si="172"/>
        <v>95.759999999999991</v>
      </c>
      <c r="S157" s="167">
        <f t="shared" si="172"/>
        <v>81.329999999999984</v>
      </c>
      <c r="T157" s="167">
        <f t="shared" si="172"/>
        <v>57</v>
      </c>
      <c r="U157" s="167">
        <f t="shared" si="172"/>
        <v>110</v>
      </c>
      <c r="V157" s="167">
        <f t="shared" si="172"/>
        <v>115.74700000000007</v>
      </c>
      <c r="W157" s="167">
        <f t="shared" si="172"/>
        <v>118</v>
      </c>
      <c r="X157" s="167">
        <f t="shared" si="172"/>
        <v>137</v>
      </c>
      <c r="Y157" s="167">
        <f t="shared" si="172"/>
        <v>145</v>
      </c>
      <c r="Z157" s="167">
        <f t="shared" si="172"/>
        <v>149</v>
      </c>
      <c r="AA157" s="167">
        <f t="shared" si="172"/>
        <v>153</v>
      </c>
      <c r="AB157" s="167">
        <f t="shared" si="172"/>
        <v>127</v>
      </c>
      <c r="AC157" s="167">
        <f t="shared" si="172"/>
        <v>107.24200000000002</v>
      </c>
      <c r="AD157" s="167">
        <f t="shared" si="172"/>
        <v>121</v>
      </c>
      <c r="AE157" s="167">
        <f t="shared" si="172"/>
        <v>125</v>
      </c>
      <c r="AF157" s="167">
        <f t="shared" si="172"/>
        <v>98.600000000000023</v>
      </c>
      <c r="AG157" s="167">
        <f t="shared" si="172"/>
        <v>83.389999999999986</v>
      </c>
      <c r="AH157" s="167">
        <f t="shared" si="172"/>
        <v>104</v>
      </c>
      <c r="AI157" s="167">
        <f>AI110-AI136</f>
        <v>92.200000000000017</v>
      </c>
      <c r="AJ157" s="167">
        <f>AJ110-AJ136</f>
        <v>89.399999999999977</v>
      </c>
      <c r="AK157" s="1101">
        <f t="shared" ref="AK157:AL157" si="173">AK110-AK136</f>
        <v>88</v>
      </c>
      <c r="AL157" s="1101">
        <f t="shared" si="173"/>
        <v>88.687678776738835</v>
      </c>
      <c r="AM157" s="410"/>
      <c r="AN157" s="154"/>
      <c r="AO157" s="154"/>
      <c r="AT157" s="167"/>
      <c r="BR157" s="154"/>
      <c r="BS157" s="154"/>
      <c r="BT157" s="154"/>
      <c r="BU157" s="154"/>
      <c r="BV157" s="154"/>
      <c r="BW157" s="154"/>
      <c r="BX157" s="154"/>
      <c r="BY157" s="154"/>
      <c r="BZ157" s="154"/>
      <c r="CA157" s="154"/>
      <c r="CB157" s="154"/>
      <c r="CC157" s="154"/>
      <c r="CD157" s="154"/>
      <c r="CE157" s="167">
        <v>92.699212030714534</v>
      </c>
      <c r="CF157" s="167"/>
      <c r="CG157" s="154"/>
      <c r="CH157" s="154"/>
      <c r="CI157" s="154"/>
      <c r="CJ157" s="154"/>
      <c r="CK157" s="154"/>
      <c r="CL157" s="167"/>
      <c r="CM157" s="154"/>
      <c r="CN157" s="154"/>
      <c r="CO157" s="154"/>
      <c r="CP157" s="154"/>
      <c r="CQ157" s="167"/>
      <c r="CR157" s="154"/>
      <c r="CS157" s="154"/>
      <c r="CT157" s="154"/>
      <c r="CU157" s="154"/>
      <c r="CV157" s="154"/>
      <c r="CW157" s="167">
        <v>73.596589508672878</v>
      </c>
      <c r="CX157" s="410"/>
      <c r="CY157" s="154"/>
      <c r="CZ157" s="154"/>
      <c r="DA157" s="1101">
        <v>96</v>
      </c>
    </row>
    <row r="158" spans="1:105">
      <c r="A158" s="154"/>
      <c r="B158" s="154"/>
      <c r="C158" s="154"/>
      <c r="D158" s="154"/>
      <c r="E158" s="154"/>
      <c r="F158" s="154"/>
      <c r="G158" s="154"/>
      <c r="H158" s="154"/>
      <c r="I158" s="154"/>
      <c r="J158" s="154"/>
      <c r="K158" s="154"/>
      <c r="L158" s="154"/>
      <c r="M158" s="154"/>
      <c r="N158" s="154"/>
      <c r="O158" s="154"/>
      <c r="P158" s="154"/>
      <c r="Q158" s="154"/>
      <c r="R158" s="165"/>
      <c r="S158" s="165">
        <f t="shared" ref="S158:X158" si="174">S157/O157-1</f>
        <v>-3.4544159544159792E-2</v>
      </c>
      <c r="T158" s="165">
        <f t="shared" si="174"/>
        <v>-0.27848101265822789</v>
      </c>
      <c r="U158" s="165">
        <f t="shared" si="174"/>
        <v>0.41025641025641035</v>
      </c>
      <c r="V158" s="165">
        <f t="shared" si="174"/>
        <v>0.20871971595655903</v>
      </c>
      <c r="W158" s="165">
        <f t="shared" si="174"/>
        <v>0.45087913439075411</v>
      </c>
      <c r="X158" s="165">
        <f t="shared" si="174"/>
        <v>1.4035087719298245</v>
      </c>
      <c r="Y158" s="165">
        <f t="shared" ref="Y158:AF158" si="175">Y157/U157-1</f>
        <v>0.31818181818181812</v>
      </c>
      <c r="Z158" s="165">
        <f t="shared" si="175"/>
        <v>0.28729038333606849</v>
      </c>
      <c r="AA158" s="165">
        <f t="shared" si="175"/>
        <v>0.29661016949152552</v>
      </c>
      <c r="AB158" s="165">
        <f t="shared" si="175"/>
        <v>-7.2992700729927029E-2</v>
      </c>
      <c r="AC158" s="165">
        <f t="shared" si="175"/>
        <v>-0.26039999999999985</v>
      </c>
      <c r="AD158" s="165">
        <f t="shared" si="175"/>
        <v>-0.18791946308724827</v>
      </c>
      <c r="AE158" s="165">
        <f t="shared" si="175"/>
        <v>-0.18300653594771243</v>
      </c>
      <c r="AF158" s="165">
        <f t="shared" si="175"/>
        <v>-0.22362204724409429</v>
      </c>
      <c r="AG158" s="165">
        <f t="shared" ref="AG158" si="176">AG157/AC157-1</f>
        <v>-0.22241286063296128</v>
      </c>
      <c r="AH158" s="165">
        <f t="shared" ref="AH158" si="177">AH157/AD157-1</f>
        <v>-0.14049586776859502</v>
      </c>
      <c r="AI158" s="165">
        <f>AI157/AE157-1</f>
        <v>-0.26239999999999986</v>
      </c>
      <c r="AJ158" s="165">
        <f>AJ157/AF157-1</f>
        <v>-9.3306288032454776E-2</v>
      </c>
      <c r="AK158" s="779">
        <f>AK157/AG157-1</f>
        <v>5.5282407962585545E-2</v>
      </c>
      <c r="AL158" s="779">
        <f>AL157/AH157-1</f>
        <v>-0.14723385791597277</v>
      </c>
      <c r="AM158" s="410"/>
      <c r="AN158" s="154"/>
      <c r="AO158" s="154"/>
      <c r="AT158" s="165"/>
      <c r="BR158" s="154"/>
      <c r="BS158" s="154"/>
      <c r="BT158" s="154"/>
      <c r="BU158" s="154"/>
      <c r="BV158" s="154"/>
      <c r="BW158" s="154"/>
      <c r="BX158" s="154"/>
      <c r="BY158" s="154"/>
      <c r="BZ158" s="154"/>
      <c r="CA158" s="154"/>
      <c r="CB158" s="154"/>
      <c r="CC158" s="154"/>
      <c r="CD158" s="154"/>
      <c r="CE158" s="165">
        <v>-0.3778576373777548</v>
      </c>
      <c r="CF158" s="165"/>
      <c r="CG158" s="154"/>
      <c r="CH158" s="154"/>
      <c r="CI158" s="154"/>
      <c r="CJ158" s="154"/>
      <c r="CK158" s="154"/>
      <c r="CL158" s="165"/>
      <c r="CM158" s="154"/>
      <c r="CN158" s="154"/>
      <c r="CO158" s="154"/>
      <c r="CP158" s="154"/>
      <c r="CQ158" s="165"/>
      <c r="CR158" s="154"/>
      <c r="CS158" s="154"/>
      <c r="CT158" s="154"/>
      <c r="CU158" s="154"/>
      <c r="CV158" s="154"/>
      <c r="CW158" s="165">
        <v>-0.47368978075107881</v>
      </c>
      <c r="CX158" s="410"/>
      <c r="CY158" s="154"/>
      <c r="CZ158" s="154"/>
      <c r="DA158" s="779">
        <v>-3.0303030303030276E-2</v>
      </c>
    </row>
    <row r="159" spans="1:105">
      <c r="A159" s="154"/>
      <c r="B159" s="155"/>
      <c r="C159" s="155"/>
      <c r="D159" s="155"/>
      <c r="E159" s="155"/>
      <c r="F159" s="155"/>
      <c r="G159" s="155"/>
      <c r="H159" s="155"/>
      <c r="I159" s="155"/>
      <c r="J159" s="155"/>
      <c r="K159" s="155"/>
      <c r="L159" s="155"/>
      <c r="M159" s="155"/>
      <c r="N159" s="155"/>
      <c r="O159" s="155"/>
      <c r="P159" s="155"/>
      <c r="Q159" s="155"/>
      <c r="R159" s="155"/>
      <c r="S159" s="155"/>
      <c r="T159" s="155"/>
      <c r="U159" s="155"/>
      <c r="V159" s="155"/>
      <c r="W159" s="155"/>
      <c r="X159" s="155"/>
      <c r="Y159" s="155"/>
      <c r="Z159" s="155"/>
      <c r="AA159" s="155"/>
      <c r="AB159" s="155"/>
      <c r="AC159" s="155"/>
      <c r="AD159" s="155"/>
      <c r="AE159" s="155"/>
      <c r="AF159" s="155"/>
      <c r="AG159" s="155"/>
      <c r="AH159" s="155"/>
      <c r="AI159" s="155"/>
      <c r="AJ159" s="155"/>
      <c r="AK159" s="768"/>
      <c r="AL159" s="768"/>
      <c r="AM159" s="408"/>
      <c r="AN159" s="155"/>
      <c r="AT159" s="155"/>
      <c r="BA159" s="156"/>
      <c r="BR159" s="155"/>
      <c r="BS159" s="155"/>
      <c r="BT159" s="155"/>
      <c r="BU159" s="155"/>
      <c r="BV159" s="155"/>
      <c r="BW159" s="155"/>
      <c r="BX159" s="155"/>
      <c r="BY159" s="154"/>
      <c r="BZ159" s="154"/>
      <c r="CA159" s="154"/>
      <c r="CB159" s="154"/>
      <c r="CC159" s="154"/>
      <c r="CD159" s="154"/>
      <c r="CE159" s="155"/>
      <c r="CF159" s="155"/>
      <c r="CG159" s="155"/>
      <c r="CH159" s="155"/>
      <c r="CI159" s="155"/>
      <c r="CJ159" s="155"/>
      <c r="CK159" s="408"/>
      <c r="CL159" s="155"/>
      <c r="CM159" s="155"/>
      <c r="CN159" s="155"/>
      <c r="CO159" s="155"/>
      <c r="CP159" s="155"/>
      <c r="CQ159" s="155"/>
      <c r="CR159" s="155"/>
      <c r="CS159" s="155"/>
      <c r="CT159" s="155"/>
      <c r="CU159" s="155"/>
      <c r="CV159" s="155"/>
      <c r="CW159" s="155"/>
      <c r="CX159" s="408"/>
      <c r="CY159" s="155"/>
      <c r="CZ159" s="155"/>
      <c r="DA159" s="768"/>
    </row>
    <row r="160" spans="1:105">
      <c r="A160" s="154"/>
      <c r="B160" s="155"/>
      <c r="C160" s="155"/>
      <c r="D160" s="155"/>
      <c r="E160" s="155"/>
      <c r="F160" s="155"/>
      <c r="G160" s="155"/>
      <c r="H160" s="155"/>
      <c r="I160" s="155"/>
      <c r="J160" s="155"/>
      <c r="K160" s="155"/>
      <c r="L160" s="155"/>
      <c r="M160" s="155"/>
      <c r="N160" s="155"/>
      <c r="O160" s="155"/>
      <c r="P160" s="155"/>
      <c r="Q160" s="155"/>
      <c r="R160" s="155"/>
      <c r="S160" s="155"/>
      <c r="T160" s="155"/>
      <c r="U160" s="155"/>
      <c r="V160" s="155"/>
      <c r="W160" s="155"/>
      <c r="X160" s="155"/>
      <c r="Y160" s="155"/>
      <c r="Z160" s="155"/>
      <c r="AA160" s="155"/>
      <c r="AB160" s="155"/>
      <c r="AC160" s="155"/>
      <c r="AD160" s="155"/>
      <c r="AE160" s="155"/>
      <c r="AF160" s="155"/>
      <c r="AG160" s="155"/>
      <c r="AH160" s="155"/>
      <c r="AI160" s="155"/>
      <c r="AJ160" s="155"/>
      <c r="AK160" s="768"/>
      <c r="AL160" s="768"/>
      <c r="AM160" s="408"/>
      <c r="AN160" s="155"/>
      <c r="AT160" s="155"/>
      <c r="BA160" s="156"/>
      <c r="BR160" s="155"/>
      <c r="BS160" s="155"/>
      <c r="BT160" s="155"/>
      <c r="BU160" s="155"/>
      <c r="BV160" s="155"/>
      <c r="BW160" s="155"/>
      <c r="BX160" s="155"/>
      <c r="BY160" s="154"/>
      <c r="BZ160" s="154"/>
      <c r="CA160" s="154"/>
      <c r="CB160" s="154"/>
      <c r="CC160" s="154"/>
      <c r="CD160" s="154"/>
      <c r="CE160" s="155"/>
      <c r="CF160" s="155"/>
      <c r="CG160" s="155"/>
      <c r="CH160" s="155"/>
      <c r="CI160" s="155"/>
      <c r="CJ160" s="155"/>
      <c r="CK160" s="408"/>
      <c r="CL160" s="155"/>
      <c r="CM160" s="155"/>
      <c r="CN160" s="155"/>
      <c r="CO160" s="155"/>
      <c r="CP160" s="155"/>
      <c r="CQ160" s="155"/>
      <c r="CR160" s="155"/>
      <c r="CS160" s="155"/>
      <c r="CT160" s="155"/>
      <c r="CU160" s="155"/>
      <c r="CV160" s="155"/>
      <c r="CW160" s="155"/>
      <c r="CX160" s="408"/>
      <c r="CY160" s="155"/>
      <c r="CZ160" s="155"/>
      <c r="DA160" s="768"/>
    </row>
    <row r="161" spans="1:105">
      <c r="A161" s="154"/>
      <c r="B161" s="155"/>
      <c r="C161" s="155"/>
      <c r="D161" s="155"/>
      <c r="E161" s="155"/>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55"/>
      <c r="AB161" s="155"/>
      <c r="AC161" s="155"/>
      <c r="AD161" s="155"/>
      <c r="AE161" s="155"/>
      <c r="AF161" s="155"/>
      <c r="AG161" s="155"/>
      <c r="AH161" s="155"/>
      <c r="AI161" s="155"/>
      <c r="AJ161" s="155"/>
      <c r="AK161" s="768"/>
      <c r="AL161" s="768"/>
      <c r="AM161" s="408"/>
      <c r="AN161" s="155"/>
      <c r="AT161" s="155"/>
      <c r="BA161" s="156"/>
      <c r="BR161" s="155"/>
      <c r="BS161" s="155"/>
      <c r="BT161" s="155"/>
      <c r="BU161" s="155"/>
      <c r="BV161" s="155"/>
      <c r="BW161" s="155"/>
      <c r="BX161" s="155"/>
      <c r="BY161" s="154"/>
      <c r="BZ161" s="154"/>
      <c r="CA161" s="154"/>
      <c r="CB161" s="154"/>
      <c r="CC161" s="154"/>
      <c r="CD161" s="154"/>
      <c r="CE161" s="155"/>
      <c r="CF161" s="155"/>
      <c r="CG161" s="155"/>
      <c r="CH161" s="155"/>
      <c r="CI161" s="155"/>
      <c r="CJ161" s="155"/>
      <c r="CK161" s="408"/>
      <c r="CL161" s="155"/>
      <c r="CM161" s="155"/>
      <c r="CN161" s="155"/>
      <c r="CO161" s="155"/>
      <c r="CP161" s="155"/>
      <c r="CQ161" s="155"/>
      <c r="CR161" s="155"/>
      <c r="CS161" s="155"/>
      <c r="CT161" s="155"/>
      <c r="CU161" s="155"/>
      <c r="CV161" s="155"/>
      <c r="CW161" s="155"/>
      <c r="CX161" s="408"/>
      <c r="CY161" s="155"/>
      <c r="CZ161" s="155"/>
      <c r="DA161" s="768"/>
    </row>
    <row r="162" spans="1:105">
      <c r="A162" s="154"/>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768"/>
      <c r="AL162" s="768"/>
      <c r="AM162" s="408"/>
      <c r="AN162" s="155"/>
      <c r="AO162" s="155"/>
      <c r="AT162" s="155"/>
      <c r="BR162" s="155"/>
      <c r="BS162" s="155"/>
      <c r="BT162" s="155"/>
      <c r="BU162" s="155"/>
      <c r="BV162" s="155"/>
      <c r="BW162" s="155"/>
      <c r="BX162" s="155"/>
      <c r="BY162" s="154"/>
      <c r="BZ162" s="154"/>
      <c r="CA162" s="154"/>
      <c r="CB162" s="154"/>
      <c r="CC162" s="154"/>
      <c r="CD162" s="154"/>
      <c r="CE162" s="155"/>
      <c r="CF162" s="155"/>
      <c r="CG162" s="155"/>
      <c r="CH162" s="155"/>
      <c r="CI162" s="155"/>
      <c r="CJ162" s="155"/>
      <c r="CK162" s="408"/>
      <c r="CL162" s="155"/>
      <c r="CM162" s="155"/>
      <c r="CN162" s="155"/>
      <c r="CO162" s="155"/>
      <c r="CP162" s="155"/>
      <c r="CQ162" s="155"/>
      <c r="CR162" s="155"/>
      <c r="CS162" s="155"/>
      <c r="CT162" s="155"/>
      <c r="CU162" s="155"/>
      <c r="CV162" s="155"/>
      <c r="CW162" s="155"/>
      <c r="CX162" s="408"/>
      <c r="CY162" s="155"/>
      <c r="CZ162" s="155"/>
      <c r="DA162" s="768"/>
    </row>
    <row r="163" spans="1:105">
      <c r="A163" s="154" t="s">
        <v>296</v>
      </c>
      <c r="B163" s="155"/>
      <c r="C163" s="155"/>
      <c r="D163" s="155"/>
      <c r="E163" s="155"/>
      <c r="F163" s="155"/>
      <c r="G163" s="155"/>
      <c r="H163" s="155"/>
      <c r="I163" s="155"/>
      <c r="J163" s="155"/>
      <c r="K163" s="155"/>
      <c r="L163" s="155"/>
      <c r="M163" s="155"/>
      <c r="N163" s="155"/>
      <c r="O163" s="155"/>
      <c r="P163" s="155"/>
      <c r="Q163" s="155"/>
      <c r="R163" s="444">
        <f>27.384-Q163-P163-O163</f>
        <v>27.384</v>
      </c>
      <c r="S163" s="444">
        <v>7.1879999999999997</v>
      </c>
      <c r="T163" s="444">
        <v>7.1820000000000004</v>
      </c>
      <c r="U163" s="444">
        <v>8.9969999999999999</v>
      </c>
      <c r="V163" s="444">
        <f>32.826-U163-T163-S163</f>
        <v>9.4589999999999996</v>
      </c>
      <c r="W163" s="444">
        <v>9.56</v>
      </c>
      <c r="X163" s="444">
        <v>13.241</v>
      </c>
      <c r="Y163" s="444">
        <v>14.013</v>
      </c>
      <c r="Z163" s="444">
        <f>52.234-Y163-X163-W163</f>
        <v>15.420000000000003</v>
      </c>
      <c r="AA163" s="444">
        <v>14.768000000000001</v>
      </c>
      <c r="AB163" s="444">
        <v>16.306999999999999</v>
      </c>
      <c r="AC163" s="444">
        <v>16.120999999999999</v>
      </c>
      <c r="AD163" s="444">
        <f>61.617-AC163-AB163-AA163</f>
        <v>14.420999999999996</v>
      </c>
      <c r="AE163" s="444">
        <v>15.718</v>
      </c>
      <c r="AF163" s="444">
        <v>18.306999999999999</v>
      </c>
      <c r="AG163" s="444">
        <v>17.001999999999999</v>
      </c>
      <c r="AH163" s="444">
        <f>68.031-AE163-AF163-AG163</f>
        <v>17.004000000000001</v>
      </c>
      <c r="AI163" s="444">
        <v>15.6</v>
      </c>
      <c r="AJ163" s="444">
        <v>16.600000000000001</v>
      </c>
      <c r="AK163" s="447">
        <v>16</v>
      </c>
      <c r="AL163" s="447">
        <f>AM163-AI163-AJ163-AK163</f>
        <v>15.618831999999998</v>
      </c>
      <c r="AM163" s="939">
        <f>Consolidation!K39</f>
        <v>63.818832</v>
      </c>
      <c r="AN163" t="s">
        <v>1084</v>
      </c>
      <c r="AO163" s="155"/>
      <c r="AT163" s="942"/>
      <c r="BR163" s="155"/>
      <c r="BS163" s="155"/>
      <c r="BT163" s="155"/>
      <c r="BU163" s="155"/>
      <c r="BV163" s="155"/>
      <c r="BW163" s="155"/>
      <c r="BX163" s="155"/>
      <c r="BY163" s="154"/>
      <c r="BZ163" s="154"/>
      <c r="CA163" s="154"/>
      <c r="CB163" s="154"/>
      <c r="CC163" s="154"/>
      <c r="CD163" s="154"/>
      <c r="CE163" s="155"/>
      <c r="CF163" s="155"/>
      <c r="CG163" s="155"/>
      <c r="CH163" s="155"/>
      <c r="CI163" s="155"/>
      <c r="CJ163" s="155"/>
      <c r="CK163" s="408"/>
      <c r="CL163" s="155"/>
      <c r="CM163" s="155"/>
      <c r="CN163" s="155"/>
      <c r="CO163" s="155"/>
      <c r="CP163" s="155"/>
      <c r="CQ163" s="155"/>
      <c r="CR163" s="155"/>
      <c r="CS163" s="155"/>
      <c r="CT163" s="155"/>
      <c r="CU163" s="155"/>
      <c r="CV163" s="155"/>
      <c r="CW163" s="942">
        <v>19.505307000000002</v>
      </c>
      <c r="CX163" s="939">
        <f>Consolidation!J39</f>
        <v>68.031000000000006</v>
      </c>
      <c r="CY163" s="155"/>
      <c r="CZ163" s="155"/>
      <c r="DA163" s="447">
        <v>16</v>
      </c>
    </row>
    <row r="164" spans="1:105">
      <c r="A164" s="154" t="s">
        <v>297</v>
      </c>
      <c r="B164" s="155"/>
      <c r="C164" s="155"/>
      <c r="D164" s="155"/>
      <c r="E164" s="155"/>
      <c r="F164" s="155"/>
      <c r="G164" s="155"/>
      <c r="H164" s="155"/>
      <c r="I164" s="155"/>
      <c r="J164" s="155"/>
      <c r="K164" s="155"/>
      <c r="L164" s="155"/>
      <c r="M164" s="155"/>
      <c r="N164" s="155"/>
      <c r="O164" s="155"/>
      <c r="P164" s="155"/>
      <c r="Q164" s="155"/>
      <c r="R164" s="444">
        <f>54.089-Q164-P164-O164</f>
        <v>54.088999999999999</v>
      </c>
      <c r="S164" s="155"/>
      <c r="T164" s="155"/>
      <c r="U164" s="155"/>
      <c r="V164" s="444">
        <f>60.685-U164-T164-S164</f>
        <v>60.685000000000002</v>
      </c>
      <c r="W164" s="155"/>
      <c r="X164" s="155"/>
      <c r="Y164" s="155"/>
      <c r="Z164" s="444">
        <f>88.615-Y164-X164-W164</f>
        <v>88.614999999999995</v>
      </c>
      <c r="AA164" s="444">
        <v>23.972999999999999</v>
      </c>
      <c r="AB164" s="444">
        <f>49.227-AA164</f>
        <v>25.253999999999998</v>
      </c>
      <c r="AC164" s="444">
        <f>73.247-AA164-AB164</f>
        <v>24.020000000000003</v>
      </c>
      <c r="AD164" s="444">
        <f>95.895-AC164-AB164-AA164</f>
        <v>22.648000000000003</v>
      </c>
      <c r="AE164" s="444">
        <v>22.562000000000001</v>
      </c>
      <c r="AF164" s="444">
        <f>46.095-AE164</f>
        <v>23.532999999999998</v>
      </c>
      <c r="AG164" s="942">
        <v>25</v>
      </c>
      <c r="AH164" s="444">
        <f>95.383-AG164-AF164-AE164</f>
        <v>24.287999999999993</v>
      </c>
      <c r="AI164" s="942">
        <v>24</v>
      </c>
      <c r="AJ164" s="942">
        <v>24</v>
      </c>
      <c r="AK164" s="447">
        <v>25</v>
      </c>
      <c r="AL164" s="447">
        <f>AM164-AI164-AJ164-AK164</f>
        <v>25.244489999999999</v>
      </c>
      <c r="AM164" s="939">
        <f>Consolidation!K40</f>
        <v>98.244489999999999</v>
      </c>
      <c r="AN164" t="s">
        <v>1083</v>
      </c>
      <c r="AO164" s="155"/>
      <c r="AT164" s="942"/>
      <c r="BR164" s="155"/>
      <c r="BS164" s="155"/>
      <c r="BT164" s="155"/>
      <c r="BU164" s="155"/>
      <c r="BV164" s="155"/>
      <c r="BW164" s="155"/>
      <c r="BX164" s="155"/>
      <c r="BY164" s="154"/>
      <c r="BZ164" s="154"/>
      <c r="CA164" s="154"/>
      <c r="CB164" s="154"/>
      <c r="CC164" s="154"/>
      <c r="CD164" s="154"/>
      <c r="CE164" s="155"/>
      <c r="CF164" s="155"/>
      <c r="CG164" s="155"/>
      <c r="CH164" s="155"/>
      <c r="CI164" s="155"/>
      <c r="CJ164" s="155"/>
      <c r="CK164" s="408"/>
      <c r="CL164" s="155"/>
      <c r="CM164" s="155"/>
      <c r="CN164" s="155"/>
      <c r="CO164" s="155"/>
      <c r="CP164" s="155"/>
      <c r="CQ164" s="155"/>
      <c r="CR164" s="155"/>
      <c r="CS164" s="155"/>
      <c r="CT164" s="155"/>
      <c r="CU164" s="155"/>
      <c r="CV164" s="155"/>
      <c r="CW164" s="942">
        <v>27.676850000000002</v>
      </c>
      <c r="CX164" s="939">
        <f>Consolidation!J40</f>
        <v>95.382999999999996</v>
      </c>
      <c r="CY164" s="155"/>
      <c r="CZ164" s="155"/>
      <c r="DA164" s="447">
        <v>25</v>
      </c>
    </row>
    <row r="165" spans="1:105">
      <c r="A165" s="986" t="s">
        <v>640</v>
      </c>
      <c r="B165" s="1066"/>
      <c r="C165" s="1066"/>
      <c r="D165" s="1066"/>
      <c r="E165" s="1066"/>
      <c r="F165" s="1066"/>
      <c r="G165" s="1066"/>
      <c r="H165" s="1066"/>
      <c r="I165" s="1066"/>
      <c r="J165" s="1066"/>
      <c r="K165" s="1066"/>
      <c r="L165" s="1066"/>
      <c r="M165" s="1066"/>
      <c r="N165" s="1066"/>
      <c r="O165" s="1066"/>
      <c r="P165" s="1066"/>
      <c r="Q165" s="1066"/>
      <c r="R165" s="1067">
        <f t="shared" ref="R165:AC165" si="178">R128-R163-R164</f>
        <v>133.52699999999999</v>
      </c>
      <c r="S165" s="1067">
        <f t="shared" si="178"/>
        <v>207.81200000000001</v>
      </c>
      <c r="T165" s="1067">
        <f t="shared" si="178"/>
        <v>267.81799999999998</v>
      </c>
      <c r="U165" s="1067">
        <f t="shared" si="178"/>
        <v>211.00299999999999</v>
      </c>
      <c r="V165" s="1067">
        <f t="shared" si="178"/>
        <v>146.85599999999999</v>
      </c>
      <c r="W165" s="1067">
        <f t="shared" si="178"/>
        <v>235.34</v>
      </c>
      <c r="X165" s="1067">
        <f t="shared" si="178"/>
        <v>225.75900000000001</v>
      </c>
      <c r="Y165" s="1067">
        <f t="shared" si="178"/>
        <v>260.387</v>
      </c>
      <c r="Z165" s="1067">
        <f t="shared" si="178"/>
        <v>168.96499999999997</v>
      </c>
      <c r="AA165" s="1067">
        <f t="shared" si="178"/>
        <v>296.25899999999996</v>
      </c>
      <c r="AB165" s="1067">
        <f t="shared" si="178"/>
        <v>262.13899999999995</v>
      </c>
      <c r="AC165" s="1067">
        <f t="shared" si="178"/>
        <v>197.96099999999998</v>
      </c>
      <c r="AD165" s="1067">
        <f>AD128-AD163-AD164</f>
        <v>237.131</v>
      </c>
      <c r="AE165" s="1067">
        <f t="shared" ref="AE165:AH165" si="179">AE128-AE163-AE164</f>
        <v>146.72</v>
      </c>
      <c r="AF165" s="1067">
        <f t="shared" si="179"/>
        <v>209.16000000000003</v>
      </c>
      <c r="AG165" s="1067">
        <f t="shared" si="179"/>
        <v>203.97299999999998</v>
      </c>
      <c r="AH165" s="1067">
        <f t="shared" si="179"/>
        <v>205.10800000000003</v>
      </c>
      <c r="AI165" s="1067">
        <f>AI128-AI163-AI164</f>
        <v>213</v>
      </c>
      <c r="AJ165" s="1067">
        <f t="shared" ref="AJ165:AL165" si="180">AJ128-AJ163-AJ164</f>
        <v>207.4</v>
      </c>
      <c r="AK165" s="1103">
        <f t="shared" si="180"/>
        <v>212</v>
      </c>
      <c r="AL165" s="1103">
        <f t="shared" si="180"/>
        <v>204.19517499308114</v>
      </c>
      <c r="AM165" s="941">
        <f>Consolidation!K41</f>
        <v>836.59517499308106</v>
      </c>
      <c r="AN165" s="155"/>
      <c r="AO165" s="155"/>
      <c r="AT165" s="940"/>
      <c r="AV165" s="1114">
        <f>AJ165/DA165-1</f>
        <v>3.184079601990053E-2</v>
      </c>
      <c r="AW165">
        <f>237.3-21.2-15</f>
        <v>201.10000000000002</v>
      </c>
      <c r="AX165" s="1114">
        <f>AJ165/AW165-1</f>
        <v>3.1327697662854259E-2</v>
      </c>
      <c r="BR165" s="155"/>
      <c r="BS165" s="155"/>
      <c r="BT165" s="155"/>
      <c r="BU165" s="155"/>
      <c r="BV165" s="155"/>
      <c r="BW165" s="155"/>
      <c r="BX165" s="155"/>
      <c r="BY165" s="154"/>
      <c r="BZ165" s="154"/>
      <c r="CA165" s="154"/>
      <c r="CB165" s="154"/>
      <c r="CC165" s="154"/>
      <c r="CD165" s="154"/>
      <c r="CE165" s="155"/>
      <c r="CF165" s="155"/>
      <c r="CG165" s="155"/>
      <c r="CH165" s="155"/>
      <c r="CI165" s="155"/>
      <c r="CJ165" s="155"/>
      <c r="CK165" s="408"/>
      <c r="CL165" s="155"/>
      <c r="CM165" s="155"/>
      <c r="CN165" s="155"/>
      <c r="CO165" s="155"/>
      <c r="CP165" s="155"/>
      <c r="CQ165" s="155"/>
      <c r="CR165" s="155"/>
      <c r="CS165" s="155"/>
      <c r="CT165" s="155"/>
      <c r="CU165" s="155"/>
      <c r="CV165" s="155"/>
      <c r="CW165" s="940">
        <v>189.93623822685925</v>
      </c>
      <c r="CX165" s="941">
        <f>Consolidation!J41</f>
        <v>764.93999999999983</v>
      </c>
      <c r="CY165" s="155"/>
      <c r="CZ165" s="155"/>
      <c r="DA165" s="1103">
        <v>201</v>
      </c>
    </row>
    <row r="166" spans="1:105">
      <c r="A166" s="154" t="s">
        <v>633</v>
      </c>
      <c r="B166" s="154"/>
      <c r="C166" s="154"/>
      <c r="D166" s="154"/>
      <c r="E166" s="154"/>
      <c r="F166" s="154"/>
      <c r="G166" s="154"/>
      <c r="H166" s="154"/>
      <c r="I166" s="154"/>
      <c r="J166" s="154"/>
      <c r="K166" s="154"/>
      <c r="L166" s="154"/>
      <c r="M166" s="154"/>
      <c r="N166" s="154"/>
      <c r="O166" s="154"/>
      <c r="P166" s="154"/>
      <c r="Q166" s="154"/>
      <c r="R166" s="154"/>
      <c r="S166" s="154"/>
      <c r="T166" s="154"/>
      <c r="U166" s="154"/>
      <c r="V166" s="1068">
        <f t="shared" ref="V166:AG166" si="181">V165/R165-1</f>
        <v>9.9822507807409755E-2</v>
      </c>
      <c r="W166" s="1068">
        <f t="shared" si="181"/>
        <v>0.13246588262467984</v>
      </c>
      <c r="X166" s="1068">
        <f t="shared" si="181"/>
        <v>-0.15704321591528569</v>
      </c>
      <c r="Y166" s="1068">
        <f t="shared" si="181"/>
        <v>0.23404406572418401</v>
      </c>
      <c r="Z166" s="1068">
        <f t="shared" si="181"/>
        <v>0.15054883695592958</v>
      </c>
      <c r="AA166" s="1068">
        <f t="shared" si="181"/>
        <v>0.25885527322172153</v>
      </c>
      <c r="AB166" s="1068">
        <f t="shared" si="181"/>
        <v>0.16114529210352613</v>
      </c>
      <c r="AC166" s="1068">
        <f t="shared" si="181"/>
        <v>-0.23974315153982351</v>
      </c>
      <c r="AD166" s="1068">
        <f t="shared" si="181"/>
        <v>0.40343266356937857</v>
      </c>
      <c r="AE166" s="1068">
        <f t="shared" si="181"/>
        <v>-0.50475766137062494</v>
      </c>
      <c r="AF166" s="1068">
        <f t="shared" si="181"/>
        <v>-0.20210270123865559</v>
      </c>
      <c r="AG166" s="1068">
        <f t="shared" si="181"/>
        <v>3.0369618258141662E-2</v>
      </c>
      <c r="AH166" s="1068">
        <f>AH165/AD165-1</f>
        <v>-0.13504349916290981</v>
      </c>
      <c r="AI166" s="1068">
        <f>AI165/AE165-1</f>
        <v>0.45174482006543082</v>
      </c>
      <c r="AJ166" s="1068">
        <f>AJ165/AF165-1</f>
        <v>-8.4146108242494355E-3</v>
      </c>
      <c r="AK166" s="1104">
        <f>AK165/AG165-1</f>
        <v>3.9353247733768804E-2</v>
      </c>
      <c r="AL166" s="1104">
        <f>AL165/AH165-1</f>
        <v>-4.4504602790671477E-3</v>
      </c>
      <c r="AM166" s="410"/>
      <c r="AN166" s="154"/>
      <c r="AO166" s="154"/>
      <c r="AT166" s="154"/>
      <c r="BR166" s="154"/>
      <c r="BS166" s="154"/>
      <c r="BT166" s="154"/>
      <c r="BU166" s="154"/>
      <c r="BV166" s="154"/>
      <c r="BW166" s="154"/>
      <c r="BX166" s="154"/>
      <c r="BY166" s="154"/>
      <c r="BZ166" s="154"/>
      <c r="CA166" s="154"/>
      <c r="CB166" s="154"/>
      <c r="CC166" s="154"/>
      <c r="CD166" s="154"/>
      <c r="CE166" s="154"/>
      <c r="CF166" s="154"/>
      <c r="CG166" s="155"/>
      <c r="CH166" s="155"/>
      <c r="CI166" s="155"/>
      <c r="CJ166" s="155"/>
      <c r="CK166" s="410"/>
      <c r="CL166" s="154"/>
      <c r="CM166" s="154"/>
      <c r="CN166" s="154"/>
      <c r="CO166" s="154"/>
      <c r="CP166" s="154"/>
      <c r="CQ166" s="154"/>
      <c r="CR166" s="154"/>
      <c r="CS166" s="154"/>
      <c r="CT166" s="154"/>
      <c r="CU166" s="154"/>
      <c r="CV166" s="154"/>
      <c r="CW166" s="154"/>
      <c r="CX166" s="410"/>
      <c r="CY166" s="154"/>
      <c r="CZ166" s="154"/>
      <c r="DA166" s="1104">
        <v>-3.9013195639701737E-2</v>
      </c>
    </row>
    <row r="167" spans="1:105">
      <c r="A167" s="154"/>
      <c r="B167" s="154"/>
      <c r="C167" s="154"/>
      <c r="D167" s="154"/>
      <c r="E167" s="154"/>
      <c r="F167" s="154"/>
      <c r="G167" s="154"/>
      <c r="H167" s="154"/>
      <c r="I167" s="154"/>
      <c r="J167" s="154"/>
      <c r="K167" s="154"/>
      <c r="L167" s="154"/>
      <c r="M167" s="154"/>
      <c r="N167" s="154"/>
      <c r="O167" s="154"/>
      <c r="P167" s="154"/>
      <c r="Q167" s="154"/>
      <c r="R167" s="154"/>
      <c r="S167" s="154"/>
      <c r="T167" s="154"/>
      <c r="U167" s="154"/>
      <c r="V167" s="154"/>
      <c r="W167" s="154"/>
      <c r="X167" s="154"/>
      <c r="Y167" s="154"/>
      <c r="Z167" s="154"/>
      <c r="AA167" s="154"/>
      <c r="AB167" s="154"/>
      <c r="AC167" s="154"/>
      <c r="AD167" s="154"/>
      <c r="AE167" s="154"/>
      <c r="AF167" s="154"/>
      <c r="AG167" s="154"/>
      <c r="AH167" s="154"/>
      <c r="AI167" s="154"/>
      <c r="AJ167" s="154"/>
      <c r="AK167" s="767"/>
      <c r="AL167" s="767"/>
      <c r="AM167" s="410"/>
      <c r="AN167" s="154"/>
      <c r="AO167" s="154"/>
      <c r="AT167" s="154"/>
      <c r="BR167" s="154"/>
      <c r="BS167" s="154"/>
      <c r="BT167" s="154"/>
      <c r="BU167" s="154"/>
      <c r="BV167" s="154"/>
      <c r="BW167" s="154"/>
      <c r="BX167" s="154"/>
      <c r="BY167" s="154"/>
      <c r="BZ167" s="154"/>
      <c r="CA167" s="154"/>
      <c r="CB167" s="154"/>
      <c r="CC167" s="154"/>
      <c r="CD167" s="154"/>
      <c r="CE167" s="154"/>
      <c r="CF167" s="154"/>
      <c r="CG167" s="155"/>
      <c r="CH167" s="155"/>
      <c r="CI167" s="155"/>
      <c r="CJ167" s="155"/>
      <c r="CK167" s="410"/>
      <c r="CL167" s="154"/>
      <c r="CM167" s="154"/>
      <c r="CN167" s="154"/>
      <c r="CO167" s="154"/>
      <c r="CP167" s="154"/>
      <c r="CQ167" s="154"/>
      <c r="CR167" s="154"/>
      <c r="CS167" s="154"/>
      <c r="CT167" s="154"/>
      <c r="CU167" s="154"/>
      <c r="CV167" s="154"/>
      <c r="CW167" s="154"/>
      <c r="CX167" s="410"/>
      <c r="CY167" s="154"/>
      <c r="CZ167" s="154"/>
      <c r="DA167" s="767"/>
    </row>
    <row r="168" spans="1:105">
      <c r="A168" s="154"/>
      <c r="B168" s="154"/>
      <c r="C168" s="154"/>
      <c r="D168" s="154"/>
      <c r="E168" s="154"/>
      <c r="F168" s="154"/>
      <c r="G168" s="154"/>
      <c r="H168" s="154"/>
      <c r="I168" s="154"/>
      <c r="J168" s="154"/>
      <c r="K168" s="154"/>
      <c r="L168" s="154"/>
      <c r="M168" s="154"/>
      <c r="N168" s="154"/>
      <c r="O168" s="154"/>
      <c r="P168" s="154"/>
      <c r="Q168" s="154"/>
      <c r="R168" s="167">
        <f t="shared" ref="R168:AI168" si="182">R128-R165</f>
        <v>81.473000000000013</v>
      </c>
      <c r="S168" s="167">
        <f t="shared" si="182"/>
        <v>7.1879999999999882</v>
      </c>
      <c r="T168" s="167">
        <f t="shared" si="182"/>
        <v>7.1820000000000164</v>
      </c>
      <c r="U168" s="167">
        <f t="shared" si="182"/>
        <v>8.9970000000000141</v>
      </c>
      <c r="V168" s="167">
        <f t="shared" si="182"/>
        <v>70.144000000000005</v>
      </c>
      <c r="W168" s="167">
        <f t="shared" si="182"/>
        <v>9.5600000000000023</v>
      </c>
      <c r="X168" s="167">
        <f t="shared" si="182"/>
        <v>13.240999999999985</v>
      </c>
      <c r="Y168" s="167">
        <f t="shared" si="182"/>
        <v>14.012999999999977</v>
      </c>
      <c r="Z168" s="167">
        <f t="shared" si="182"/>
        <v>104.03500000000003</v>
      </c>
      <c r="AA168" s="167">
        <f t="shared" si="182"/>
        <v>38.741000000000042</v>
      </c>
      <c r="AB168" s="167">
        <f t="shared" si="182"/>
        <v>41.561000000000035</v>
      </c>
      <c r="AC168" s="167">
        <f t="shared" si="182"/>
        <v>40.14100000000002</v>
      </c>
      <c r="AD168" s="167">
        <f t="shared" si="182"/>
        <v>37.068999999999988</v>
      </c>
      <c r="AE168" s="167">
        <f t="shared" si="182"/>
        <v>38.28</v>
      </c>
      <c r="AF168" s="167">
        <f t="shared" si="182"/>
        <v>41.839999999999975</v>
      </c>
      <c r="AG168" s="167">
        <f t="shared" si="182"/>
        <v>42.00200000000001</v>
      </c>
      <c r="AH168" s="167">
        <f t="shared" si="182"/>
        <v>41.291999999999973</v>
      </c>
      <c r="AI168" s="167">
        <f t="shared" si="182"/>
        <v>39.599999999999994</v>
      </c>
      <c r="AJ168" s="167">
        <f t="shared" ref="AJ168" si="183">AJ128-AJ165</f>
        <v>40.599999999999994</v>
      </c>
      <c r="AK168" s="767"/>
      <c r="AL168" s="767"/>
      <c r="AM168" s="410"/>
      <c r="AN168" s="154"/>
      <c r="AO168" s="154"/>
      <c r="AT168" s="154"/>
      <c r="BR168" s="154"/>
      <c r="BS168" s="154"/>
      <c r="BT168" s="154"/>
      <c r="BU168" s="154"/>
      <c r="BV168" s="154"/>
      <c r="BW168" s="154"/>
      <c r="BX168" s="154"/>
      <c r="BY168" s="154"/>
      <c r="BZ168" s="154"/>
      <c r="CA168" s="154"/>
      <c r="CB168" s="154"/>
      <c r="CC168" s="154"/>
      <c r="CD168" s="154"/>
      <c r="CE168" s="154"/>
      <c r="CF168" s="154"/>
      <c r="CG168" s="155"/>
      <c r="CH168" s="155"/>
      <c r="CI168" s="155"/>
      <c r="CJ168" s="155"/>
      <c r="CK168" s="410"/>
      <c r="CL168" s="154"/>
      <c r="CM168" s="154"/>
      <c r="CN168" s="154"/>
      <c r="CO168" s="154"/>
      <c r="CP168" s="154"/>
      <c r="CQ168" s="154"/>
      <c r="CR168" s="154"/>
      <c r="CS168" s="154"/>
      <c r="CT168" s="154"/>
      <c r="CU168" s="154"/>
      <c r="CV168" s="154"/>
      <c r="CW168" s="154"/>
      <c r="CX168" s="410"/>
      <c r="CY168" s="154"/>
      <c r="CZ168" s="154"/>
      <c r="DA168" s="767"/>
    </row>
    <row r="169" spans="1:105">
      <c r="A169" s="154"/>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c r="AA169" s="154"/>
      <c r="AB169" s="154"/>
      <c r="AC169" s="154"/>
      <c r="AD169" s="154"/>
      <c r="AE169" s="154"/>
      <c r="AF169" s="154"/>
      <c r="AG169" s="154"/>
      <c r="AH169" s="154"/>
      <c r="AI169" s="154"/>
      <c r="AJ169" s="154"/>
      <c r="AK169" s="767"/>
      <c r="AL169" s="767"/>
      <c r="AM169" s="410"/>
      <c r="AN169" s="154"/>
      <c r="AO169" s="154"/>
      <c r="AT169" s="154"/>
      <c r="BR169" s="154"/>
      <c r="BS169" s="154"/>
      <c r="BT169" s="154"/>
      <c r="BU169" s="154"/>
      <c r="BV169" s="154"/>
      <c r="BW169" s="154"/>
      <c r="BX169" s="154"/>
      <c r="BY169" s="154"/>
      <c r="BZ169" s="154"/>
      <c r="CA169" s="154"/>
      <c r="CB169" s="154"/>
      <c r="CC169" s="154"/>
      <c r="CD169" s="154"/>
      <c r="CE169" s="154"/>
      <c r="CF169" s="154"/>
      <c r="CG169" s="155"/>
      <c r="CH169" s="155"/>
      <c r="CI169" s="155"/>
      <c r="CJ169" s="155"/>
      <c r="CK169" s="410"/>
      <c r="CL169" s="154"/>
      <c r="CM169" s="154"/>
      <c r="CN169" s="154"/>
      <c r="CO169" s="154"/>
      <c r="CP169" s="154"/>
      <c r="CQ169" s="847">
        <v>212</v>
      </c>
      <c r="CR169" s="154"/>
      <c r="CS169" s="154"/>
      <c r="CT169" s="154"/>
      <c r="CU169" s="154"/>
      <c r="CV169" s="154"/>
      <c r="CW169" s="154"/>
      <c r="CX169" s="410"/>
      <c r="CY169" s="154"/>
      <c r="CZ169" s="154"/>
      <c r="DA169" s="767"/>
    </row>
    <row r="170" spans="1:105">
      <c r="A170" s="443" t="s">
        <v>316</v>
      </c>
      <c r="B170" s="161"/>
      <c r="C170" s="161"/>
      <c r="D170" s="161"/>
      <c r="E170" s="161"/>
      <c r="F170" s="161"/>
      <c r="G170" s="161"/>
      <c r="H170" s="161"/>
      <c r="I170" s="161"/>
      <c r="J170" s="161"/>
      <c r="K170" s="161"/>
      <c r="L170" s="161"/>
      <c r="M170" s="161"/>
      <c r="N170" s="161"/>
      <c r="O170" s="457"/>
      <c r="P170" s="457"/>
      <c r="Q170" s="457"/>
      <c r="R170" s="457"/>
      <c r="S170" s="457">
        <v>94</v>
      </c>
      <c r="T170" s="457">
        <v>76</v>
      </c>
      <c r="U170" s="457">
        <v>82</v>
      </c>
      <c r="V170" s="457">
        <v>151</v>
      </c>
      <c r="W170" s="457">
        <v>117</v>
      </c>
      <c r="X170" s="457">
        <v>147</v>
      </c>
      <c r="Y170" s="457">
        <v>174</v>
      </c>
      <c r="Z170" s="457">
        <v>196</v>
      </c>
      <c r="AA170" s="457">
        <v>153</v>
      </c>
      <c r="AB170" s="457">
        <v>202</v>
      </c>
      <c r="AC170" s="457">
        <v>101</v>
      </c>
      <c r="AD170" s="457">
        <v>131</v>
      </c>
      <c r="AE170" s="457">
        <v>53</v>
      </c>
      <c r="AF170" s="457">
        <v>54</v>
      </c>
      <c r="AG170" s="457">
        <v>66</v>
      </c>
      <c r="AH170" s="457">
        <v>83</v>
      </c>
      <c r="AI170" s="457">
        <v>43.7</v>
      </c>
      <c r="AJ170" s="457">
        <v>46</v>
      </c>
      <c r="AK170" s="471">
        <v>70</v>
      </c>
      <c r="AL170" s="471">
        <f>AM170-AI170-AJ170-AK170</f>
        <v>99.091661077972958</v>
      </c>
      <c r="AM170" s="459">
        <f>Consolidation!K88</f>
        <v>258.79166107797295</v>
      </c>
      <c r="AN170" s="444"/>
      <c r="AO170" s="444">
        <f>4*AI170</f>
        <v>174.8</v>
      </c>
      <c r="AP170" t="s">
        <v>1126</v>
      </c>
      <c r="AR170">
        <v>66</v>
      </c>
      <c r="AS170" s="46">
        <f>AI170/AR170-1</f>
        <v>-0.33787878787878789</v>
      </c>
      <c r="AT170" s="833"/>
      <c r="AV170" s="1114">
        <f>AJ170/DA170-1</f>
        <v>-0.23333333333333328</v>
      </c>
      <c r="AW170">
        <v>79.599999999999994</v>
      </c>
      <c r="AX170" s="1114">
        <f>AJ170/AW170-1</f>
        <v>-0.42211055276381904</v>
      </c>
      <c r="BR170" s="466"/>
      <c r="BS170" s="466"/>
      <c r="BT170" s="466"/>
      <c r="BU170" s="466"/>
      <c r="BV170" s="466"/>
      <c r="BW170" s="466"/>
      <c r="BX170" s="466"/>
      <c r="BY170" s="466"/>
      <c r="BZ170" s="154"/>
      <c r="CA170" s="154"/>
      <c r="CB170" s="154"/>
      <c r="CC170" s="154"/>
      <c r="CD170" s="154"/>
      <c r="CE170" s="471">
        <v>150.53294781651971</v>
      </c>
      <c r="CF170" s="108">
        <f>AD170/CE170-1</f>
        <v>-0.12975862161636442</v>
      </c>
      <c r="CG170" s="458">
        <v>94</v>
      </c>
      <c r="CH170" s="446">
        <f>AD170/CG170-1</f>
        <v>0.3936170212765957</v>
      </c>
      <c r="CI170" s="446"/>
      <c r="CJ170" s="446"/>
      <c r="CK170" s="459">
        <f>Consolidation!I88</f>
        <v>586</v>
      </c>
      <c r="CL170" s="833">
        <v>75</v>
      </c>
      <c r="CM170" s="665">
        <f>AE170/CL170-1</f>
        <v>-0.29333333333333333</v>
      </c>
      <c r="CN170" s="457">
        <v>98.5</v>
      </c>
      <c r="CO170" s="665">
        <f>AE170/CN170-1</f>
        <v>-0.46192893401015234</v>
      </c>
      <c r="CP170" s="466"/>
      <c r="CQ170" s="833">
        <v>100</v>
      </c>
      <c r="CR170" s="466"/>
      <c r="CS170" s="466"/>
      <c r="CT170" s="466"/>
      <c r="CU170" s="466"/>
      <c r="CV170" s="466"/>
      <c r="CW170" s="458">
        <v>105.98870047653332</v>
      </c>
      <c r="CX170" s="459">
        <f>Consolidation!J88</f>
        <v>257</v>
      </c>
      <c r="CY170" s="466"/>
      <c r="CZ170" s="466"/>
      <c r="DA170" s="471">
        <v>60</v>
      </c>
    </row>
    <row r="171" spans="1:105">
      <c r="A171" s="154" t="s">
        <v>633</v>
      </c>
      <c r="B171" s="155"/>
      <c r="C171" s="155"/>
      <c r="D171" s="155"/>
      <c r="E171" s="155"/>
      <c r="F171" s="155"/>
      <c r="G171" s="155"/>
      <c r="H171" s="155"/>
      <c r="I171" s="155"/>
      <c r="J171" s="155"/>
      <c r="K171" s="155"/>
      <c r="L171" s="155"/>
      <c r="M171" s="155"/>
      <c r="N171" s="155"/>
      <c r="O171" s="155"/>
      <c r="P171" s="155"/>
      <c r="Q171" s="155"/>
      <c r="R171" s="155"/>
      <c r="S171" s="446"/>
      <c r="T171" s="446"/>
      <c r="U171" s="446"/>
      <c r="V171" s="446"/>
      <c r="W171" s="446">
        <f t="shared" ref="W171:AH171" si="184">W170/S170-1</f>
        <v>0.24468085106382986</v>
      </c>
      <c r="X171" s="446">
        <f t="shared" si="184"/>
        <v>0.93421052631578938</v>
      </c>
      <c r="Y171" s="446">
        <f t="shared" si="184"/>
        <v>1.1219512195121952</v>
      </c>
      <c r="Z171" s="446">
        <f t="shared" si="184"/>
        <v>0.29801324503311255</v>
      </c>
      <c r="AA171" s="446">
        <f t="shared" si="184"/>
        <v>0.30769230769230771</v>
      </c>
      <c r="AB171" s="446">
        <f t="shared" si="184"/>
        <v>0.37414965986394555</v>
      </c>
      <c r="AC171" s="446">
        <f t="shared" si="184"/>
        <v>-0.41954022988505746</v>
      </c>
      <c r="AD171" s="446">
        <f t="shared" si="184"/>
        <v>-0.33163265306122447</v>
      </c>
      <c r="AE171" s="446">
        <f t="shared" si="184"/>
        <v>-0.65359477124183007</v>
      </c>
      <c r="AF171" s="446">
        <f t="shared" si="184"/>
        <v>-0.73267326732673266</v>
      </c>
      <c r="AG171" s="446">
        <f t="shared" si="184"/>
        <v>-0.34653465346534651</v>
      </c>
      <c r="AH171" s="446">
        <f t="shared" si="184"/>
        <v>-0.36641221374045807</v>
      </c>
      <c r="AI171" s="446">
        <f>AI170/AE170-1</f>
        <v>-0.17547169811320751</v>
      </c>
      <c r="AJ171" s="446">
        <f>AJ170/AF170-1</f>
        <v>-0.14814814814814814</v>
      </c>
      <c r="AK171" s="1089">
        <f>AK170/AG170-1</f>
        <v>6.0606060606060552E-2</v>
      </c>
      <c r="AL171" s="1089">
        <f>AL170/AH170-1</f>
        <v>0.19387543467437296</v>
      </c>
      <c r="AM171" s="453"/>
      <c r="AN171" s="446"/>
      <c r="AO171" s="446"/>
      <c r="AT171" s="446"/>
      <c r="BR171" s="446"/>
      <c r="BS171" s="446"/>
      <c r="BT171" s="446"/>
      <c r="BU171" s="446"/>
      <c r="BV171" s="446"/>
      <c r="BW171" s="446"/>
      <c r="BX171" s="446"/>
      <c r="BY171" s="154"/>
      <c r="BZ171" s="154"/>
      <c r="CA171" s="154"/>
      <c r="CB171" s="154"/>
      <c r="CC171" s="154"/>
      <c r="CD171" s="154"/>
      <c r="CE171" s="446">
        <v>-0.23197475603816475</v>
      </c>
      <c r="CF171" s="446"/>
      <c r="CG171" s="155"/>
      <c r="CH171" s="155"/>
      <c r="CI171" s="155"/>
      <c r="CJ171" s="155"/>
      <c r="CK171" s="453"/>
      <c r="CL171" s="446">
        <v>-0.50980392156862742</v>
      </c>
      <c r="CM171" s="446"/>
      <c r="CN171" s="446"/>
      <c r="CO171" s="446"/>
      <c r="CP171" s="446"/>
      <c r="CQ171" s="446">
        <v>-0.50495049504950495</v>
      </c>
      <c r="CR171" s="446"/>
      <c r="CS171" s="446"/>
      <c r="CT171" s="446"/>
      <c r="CU171" s="446"/>
      <c r="CV171" s="446"/>
      <c r="CW171" s="446">
        <v>-0.19092595056081429</v>
      </c>
      <c r="CX171" s="453"/>
      <c r="CY171" s="446"/>
      <c r="CZ171" s="446"/>
      <c r="DA171" s="1089">
        <v>0.11111111111111116</v>
      </c>
    </row>
    <row r="172" spans="1:105">
      <c r="A172" s="154" t="s">
        <v>664</v>
      </c>
      <c r="B172" s="155"/>
      <c r="C172" s="155"/>
      <c r="D172" s="155"/>
      <c r="E172" s="155"/>
      <c r="F172" s="155"/>
      <c r="G172" s="155"/>
      <c r="H172" s="155"/>
      <c r="I172" s="155"/>
      <c r="J172" s="155"/>
      <c r="K172" s="155"/>
      <c r="L172" s="155"/>
      <c r="M172" s="155"/>
      <c r="N172" s="155"/>
      <c r="O172" s="155"/>
      <c r="P172" s="155"/>
      <c r="Q172" s="155"/>
      <c r="R172" s="155"/>
      <c r="S172" s="446">
        <f t="shared" ref="S172:AH172" si="185">S170/S99</f>
        <v>0.25991981197290198</v>
      </c>
      <c r="T172" s="446">
        <f t="shared" si="185"/>
        <v>0.1890547263681592</v>
      </c>
      <c r="U172" s="446">
        <f t="shared" si="185"/>
        <v>0.20448877805486285</v>
      </c>
      <c r="V172" s="446">
        <f t="shared" si="185"/>
        <v>0.36298076923076922</v>
      </c>
      <c r="W172" s="446">
        <f t="shared" si="185"/>
        <v>0.26227303295225285</v>
      </c>
      <c r="X172" s="446">
        <f t="shared" si="185"/>
        <v>0.3141025641025641</v>
      </c>
      <c r="Y172" s="446">
        <f t="shared" si="185"/>
        <v>0.33397312859884837</v>
      </c>
      <c r="Z172" s="446">
        <f t="shared" si="185"/>
        <v>0.37262357414448671</v>
      </c>
      <c r="AA172" s="446">
        <f t="shared" si="185"/>
        <v>0.2537313432835821</v>
      </c>
      <c r="AB172" s="446">
        <f t="shared" si="185"/>
        <v>0.36982790186744779</v>
      </c>
      <c r="AC172" s="446">
        <f t="shared" si="185"/>
        <v>0.2162634388456243</v>
      </c>
      <c r="AD172" s="446">
        <f t="shared" si="185"/>
        <v>0.25696351510396231</v>
      </c>
      <c r="AE172" s="446">
        <f t="shared" si="185"/>
        <v>0.12679425837320574</v>
      </c>
      <c r="AF172" s="446">
        <f t="shared" si="185"/>
        <v>0.12413793103448276</v>
      </c>
      <c r="AG172" s="446">
        <f t="shared" si="185"/>
        <v>0.15703741773380731</v>
      </c>
      <c r="AH172" s="446">
        <f t="shared" si="185"/>
        <v>0.18958428506167199</v>
      </c>
      <c r="AI172" s="446">
        <f>AI170/AI99</f>
        <v>9.9408553230209279E-2</v>
      </c>
      <c r="AJ172" s="446">
        <f>AJ170/AJ99</f>
        <v>0.10623556581986143</v>
      </c>
      <c r="AK172" s="1089">
        <f t="shared" ref="AK172:AL172" si="186">AK170/AK99</f>
        <v>0.16091954022988506</v>
      </c>
      <c r="AL172" s="1089">
        <f t="shared" si="186"/>
        <v>0.23741481985733118</v>
      </c>
      <c r="AM172" s="453"/>
      <c r="AN172" s="446"/>
      <c r="AO172" s="446"/>
      <c r="AT172" s="446"/>
      <c r="BR172" s="446"/>
      <c r="BS172" s="446"/>
      <c r="BT172" s="446"/>
      <c r="BU172" s="446"/>
      <c r="BV172" s="446"/>
      <c r="BW172" s="446"/>
      <c r="BX172" s="446"/>
      <c r="BY172" s="154"/>
      <c r="BZ172" s="154"/>
      <c r="CA172" s="154"/>
      <c r="CB172" s="154"/>
      <c r="CC172" s="154"/>
      <c r="CD172" s="154"/>
      <c r="CE172" s="446">
        <v>0.31922848624325501</v>
      </c>
      <c r="CF172" s="446"/>
      <c r="CG172" s="155"/>
      <c r="CH172" s="155"/>
      <c r="CI172" s="155"/>
      <c r="CJ172" s="155"/>
      <c r="CK172" s="453"/>
      <c r="CL172" s="446">
        <v>0.1875</v>
      </c>
      <c r="CM172" s="446"/>
      <c r="CN172" s="446"/>
      <c r="CO172" s="446"/>
      <c r="CP172" s="446"/>
      <c r="CQ172" s="446">
        <v>0.22805017103762829</v>
      </c>
      <c r="CR172" s="446"/>
      <c r="CS172" s="446"/>
      <c r="CT172" s="446"/>
      <c r="CU172" s="446"/>
      <c r="CV172" s="446"/>
      <c r="CW172" s="446">
        <v>0.25382951807265497</v>
      </c>
      <c r="CX172" s="453"/>
      <c r="CY172" s="446"/>
      <c r="CZ172" s="446"/>
      <c r="DA172" s="1089">
        <v>0.14150943396226415</v>
      </c>
    </row>
    <row r="173" spans="1:105">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c r="AA173" s="154"/>
      <c r="AB173" s="154"/>
      <c r="AC173" s="154"/>
      <c r="AD173" s="154"/>
      <c r="AE173" s="154"/>
      <c r="AF173" s="154"/>
      <c r="AG173" s="154"/>
      <c r="AH173" s="154"/>
      <c r="AI173" s="154"/>
      <c r="AJ173" s="154"/>
      <c r="AK173" s="1092"/>
      <c r="AL173" s="1092"/>
      <c r="AM173" s="453"/>
      <c r="AN173" s="154"/>
      <c r="AO173" s="154"/>
      <c r="AT173" s="154"/>
      <c r="BR173" s="154"/>
      <c r="BS173" s="154"/>
      <c r="BT173" s="154"/>
      <c r="BU173" s="154"/>
      <c r="BV173" s="154"/>
      <c r="BW173" s="154"/>
      <c r="BX173" s="154"/>
      <c r="BY173" s="154"/>
      <c r="BZ173" s="154"/>
      <c r="CA173" s="154"/>
      <c r="CB173" s="154"/>
      <c r="CC173" s="154"/>
      <c r="CD173" s="154"/>
      <c r="CE173" s="154"/>
      <c r="CF173" s="154"/>
      <c r="CG173" s="154"/>
      <c r="CH173" s="154"/>
      <c r="CI173" s="154"/>
      <c r="CJ173" s="154"/>
      <c r="CK173" s="453"/>
      <c r="CL173" s="154"/>
      <c r="CM173" s="154"/>
      <c r="CN173" s="154"/>
      <c r="CO173" s="154"/>
      <c r="CP173" s="154"/>
      <c r="CQ173" s="154"/>
      <c r="CR173" s="154"/>
      <c r="CS173" s="154"/>
      <c r="CT173" s="154"/>
      <c r="CU173" s="154"/>
      <c r="CV173" s="154"/>
      <c r="CW173" s="154"/>
      <c r="CX173" s="453"/>
      <c r="CY173" s="154"/>
      <c r="CZ173" s="154"/>
      <c r="DA173" s="1092"/>
    </row>
    <row r="174" spans="1:105">
      <c r="A174" s="154" t="s">
        <v>641</v>
      </c>
      <c r="B174" s="154"/>
      <c r="C174" s="154"/>
      <c r="D174" s="154"/>
      <c r="E174" s="154"/>
      <c r="F174" s="154"/>
      <c r="G174" s="154"/>
      <c r="H174" s="154"/>
      <c r="I174" s="154"/>
      <c r="J174" s="154"/>
      <c r="K174" s="154"/>
      <c r="L174" s="154"/>
      <c r="M174" s="154"/>
      <c r="N174" s="154"/>
      <c r="O174" s="451"/>
      <c r="P174" s="451"/>
      <c r="Q174" s="451"/>
      <c r="R174" s="451"/>
      <c r="S174" s="451"/>
      <c r="T174" s="451"/>
      <c r="U174" s="451"/>
      <c r="V174" s="451"/>
      <c r="W174" s="451"/>
      <c r="X174" s="451"/>
      <c r="Y174" s="451"/>
      <c r="Z174" s="451"/>
      <c r="AA174" s="444">
        <v>10.411</v>
      </c>
      <c r="AB174" s="444">
        <v>23.946999999999999</v>
      </c>
      <c r="AC174" s="444">
        <v>29.196999999999999</v>
      </c>
      <c r="AD174" s="444">
        <v>28.315999999999999</v>
      </c>
      <c r="AE174" s="444">
        <v>15.129</v>
      </c>
      <c r="AF174" s="444">
        <v>8.2379999999999995</v>
      </c>
      <c r="AG174" s="444">
        <v>14.728</v>
      </c>
      <c r="AH174" s="444">
        <v>15.555999999999999</v>
      </c>
      <c r="AI174" s="444">
        <v>8.5</v>
      </c>
      <c r="AJ174" s="444">
        <v>6</v>
      </c>
      <c r="AK174" s="447"/>
      <c r="AL174" s="447"/>
      <c r="AM174" s="453"/>
      <c r="AN174" s="154"/>
      <c r="AO174" s="154"/>
      <c r="AT174" s="451"/>
      <c r="BR174" s="154"/>
      <c r="BS174" s="154"/>
      <c r="BT174" s="154"/>
      <c r="BU174" s="154"/>
      <c r="BV174" s="154"/>
      <c r="BW174" s="154"/>
      <c r="BX174" s="154"/>
      <c r="BY174" s="154"/>
      <c r="BZ174" s="154"/>
      <c r="CA174" s="154"/>
      <c r="CB174" s="154"/>
      <c r="CC174" s="154"/>
      <c r="CD174" s="154"/>
      <c r="CE174" s="451"/>
      <c r="CF174" s="451"/>
      <c r="CG174" s="154"/>
      <c r="CH174" s="154"/>
      <c r="CI174" s="154"/>
      <c r="CJ174" s="154"/>
      <c r="CK174" s="453"/>
      <c r="CL174" s="451"/>
      <c r="CM174" s="154"/>
      <c r="CN174" s="154"/>
      <c r="CO174" s="154"/>
      <c r="CP174" s="154"/>
      <c r="CQ174" s="451"/>
      <c r="CR174" s="154"/>
      <c r="CS174" s="154"/>
      <c r="CT174" s="154"/>
      <c r="CU174" s="154"/>
      <c r="CV174" s="154"/>
      <c r="CW174" s="451"/>
      <c r="CX174" s="453"/>
      <c r="CY174" s="154"/>
      <c r="CZ174" s="154"/>
      <c r="DA174" s="447"/>
    </row>
    <row r="175" spans="1:105">
      <c r="A175" s="154" t="s">
        <v>644</v>
      </c>
      <c r="B175" s="154"/>
      <c r="C175" s="154"/>
      <c r="D175" s="154"/>
      <c r="E175" s="154"/>
      <c r="F175" s="154"/>
      <c r="G175" s="154"/>
      <c r="H175" s="154"/>
      <c r="I175" s="154"/>
      <c r="J175" s="154"/>
      <c r="K175" s="154"/>
      <c r="L175" s="154"/>
      <c r="M175" s="154"/>
      <c r="N175" s="154"/>
      <c r="O175" s="451"/>
      <c r="P175" s="451"/>
      <c r="Q175" s="451"/>
      <c r="R175" s="451"/>
      <c r="S175" s="451"/>
      <c r="T175" s="451"/>
      <c r="U175" s="451"/>
      <c r="V175" s="451"/>
      <c r="W175" s="451"/>
      <c r="X175" s="451"/>
      <c r="Y175" s="451"/>
      <c r="Z175" s="451"/>
      <c r="AA175" s="444">
        <v>44.247</v>
      </c>
      <c r="AB175" s="444">
        <v>52.325000000000003</v>
      </c>
      <c r="AC175" s="444">
        <v>19.295000000000002</v>
      </c>
      <c r="AD175" s="444">
        <v>26.27</v>
      </c>
      <c r="AE175" s="444">
        <v>10</v>
      </c>
      <c r="AF175" s="444">
        <v>20.09</v>
      </c>
      <c r="AG175" s="444">
        <v>18.824000000000002</v>
      </c>
      <c r="AH175" s="444">
        <v>23.667000000000002</v>
      </c>
      <c r="AI175" s="444">
        <v>13.3</v>
      </c>
      <c r="AJ175" s="444">
        <v>15</v>
      </c>
      <c r="AK175" s="447"/>
      <c r="AL175" s="447"/>
      <c r="AM175" s="453"/>
      <c r="AN175" s="154"/>
      <c r="AO175" s="154"/>
      <c r="AT175" s="451"/>
      <c r="BR175" s="154"/>
      <c r="BS175" s="154"/>
      <c r="BT175" s="154"/>
      <c r="BU175" s="154"/>
      <c r="BV175" s="154"/>
      <c r="BW175" s="154"/>
      <c r="BX175" s="154"/>
      <c r="BY175" s="154"/>
      <c r="BZ175" s="154"/>
      <c r="CA175" s="154"/>
      <c r="CB175" s="154"/>
      <c r="CC175" s="154"/>
      <c r="CD175" s="154"/>
      <c r="CE175" s="451"/>
      <c r="CF175" s="451"/>
      <c r="CG175" s="154"/>
      <c r="CH175" s="154"/>
      <c r="CI175" s="154"/>
      <c r="CJ175" s="154"/>
      <c r="CK175" s="453"/>
      <c r="CL175" s="451"/>
      <c r="CM175" s="154"/>
      <c r="CN175" s="154"/>
      <c r="CO175" s="154"/>
      <c r="CP175" s="154"/>
      <c r="CQ175" s="451"/>
      <c r="CR175" s="154"/>
      <c r="CS175" s="154"/>
      <c r="CT175" s="154"/>
      <c r="CU175" s="154"/>
      <c r="CV175" s="154"/>
      <c r="CW175" s="451"/>
      <c r="CX175" s="453"/>
      <c r="CY175" s="154"/>
      <c r="CZ175" s="154"/>
      <c r="DA175" s="447"/>
    </row>
    <row r="176" spans="1:105">
      <c r="A176" s="154" t="s">
        <v>643</v>
      </c>
      <c r="B176" s="154"/>
      <c r="C176" s="154"/>
      <c r="D176" s="154"/>
      <c r="E176" s="154"/>
      <c r="F176" s="154"/>
      <c r="G176" s="154"/>
      <c r="H176" s="154"/>
      <c r="I176" s="154"/>
      <c r="J176" s="154"/>
      <c r="K176" s="154"/>
      <c r="L176" s="154"/>
      <c r="M176" s="154"/>
      <c r="N176" s="154"/>
      <c r="O176" s="451"/>
      <c r="P176" s="451"/>
      <c r="Q176" s="451"/>
      <c r="R176" s="451"/>
      <c r="S176" s="451"/>
      <c r="T176" s="451"/>
      <c r="U176" s="451"/>
      <c r="V176" s="451"/>
      <c r="W176" s="451"/>
      <c r="X176" s="451"/>
      <c r="Y176" s="451"/>
      <c r="Z176" s="451"/>
      <c r="AA176" s="444">
        <v>97.944000000000003</v>
      </c>
      <c r="AB176" s="444">
        <v>125.663</v>
      </c>
      <c r="AC176" s="444">
        <v>52.389000000000003</v>
      </c>
      <c r="AD176" s="444">
        <v>76.042000000000002</v>
      </c>
      <c r="AE176" s="444">
        <v>28.018000000000001</v>
      </c>
      <c r="AF176" s="444">
        <v>25.338999999999999</v>
      </c>
      <c r="AG176" s="444">
        <v>32.908000000000001</v>
      </c>
      <c r="AH176" s="444">
        <v>43.378</v>
      </c>
      <c r="AI176" s="444">
        <v>21.9</v>
      </c>
      <c r="AJ176" s="444">
        <v>25</v>
      </c>
      <c r="AK176" s="447"/>
      <c r="AL176" s="447"/>
      <c r="AM176" s="453"/>
      <c r="AN176" s="154"/>
      <c r="AO176" s="154"/>
      <c r="AT176" s="451"/>
      <c r="BR176" s="154"/>
      <c r="BS176" s="154"/>
      <c r="BT176" s="154"/>
      <c r="BU176" s="154"/>
      <c r="BV176" s="154"/>
      <c r="BW176" s="154"/>
      <c r="BX176" s="154"/>
      <c r="BY176" s="154"/>
      <c r="BZ176" s="154"/>
      <c r="CA176" s="154"/>
      <c r="CB176" s="154"/>
      <c r="CC176" s="154"/>
      <c r="CD176" s="154"/>
      <c r="CE176" s="451"/>
      <c r="CF176" s="451"/>
      <c r="CG176" s="154"/>
      <c r="CH176" s="154"/>
      <c r="CI176" s="154"/>
      <c r="CJ176" s="154"/>
      <c r="CK176" s="453"/>
      <c r="CL176" s="451"/>
      <c r="CM176" s="154"/>
      <c r="CN176" s="154"/>
      <c r="CO176" s="154"/>
      <c r="CP176" s="154"/>
      <c r="CQ176" s="451"/>
      <c r="CR176" s="154"/>
      <c r="CS176" s="154"/>
      <c r="CT176" s="154"/>
      <c r="CU176" s="154"/>
      <c r="CV176" s="154"/>
      <c r="CW176" s="451"/>
      <c r="CX176" s="453"/>
      <c r="CY176" s="154"/>
      <c r="CZ176" s="154"/>
      <c r="DA176" s="447"/>
    </row>
    <row r="177" spans="1:105">
      <c r="A177" s="947" t="s">
        <v>181</v>
      </c>
      <c r="B177" s="947"/>
      <c r="C177" s="947"/>
      <c r="D177" s="947"/>
      <c r="E177" s="947"/>
      <c r="F177" s="947"/>
      <c r="G177" s="947"/>
      <c r="H177" s="947"/>
      <c r="I177" s="947"/>
      <c r="J177" s="947"/>
      <c r="K177" s="947"/>
      <c r="L177" s="947"/>
      <c r="M177" s="947"/>
      <c r="N177" s="947"/>
      <c r="O177" s="981"/>
      <c r="P177" s="981"/>
      <c r="Q177" s="981"/>
      <c r="R177" s="981"/>
      <c r="S177" s="981"/>
      <c r="T177" s="981"/>
      <c r="U177" s="981"/>
      <c r="V177" s="981"/>
      <c r="W177" s="981"/>
      <c r="X177" s="981"/>
      <c r="Y177" s="981"/>
      <c r="Z177" s="981"/>
      <c r="AA177" s="981">
        <f t="shared" ref="AA177" si="187">SUM(AA174:AA176)</f>
        <v>152.602</v>
      </c>
      <c r="AB177" s="981">
        <f t="shared" ref="AB177" si="188">SUM(AB174:AB176)</f>
        <v>201.935</v>
      </c>
      <c r="AC177" s="981">
        <f t="shared" ref="AC177" si="189">SUM(AC174:AC176)</f>
        <v>100.881</v>
      </c>
      <c r="AD177" s="981">
        <f t="shared" ref="AD177" si="190">SUM(AD174:AD176)</f>
        <v>130.62799999999999</v>
      </c>
      <c r="AE177" s="981">
        <f t="shared" ref="AE177:AG177" si="191">SUM(AE174:AE176)</f>
        <v>53.146999999999998</v>
      </c>
      <c r="AF177" s="981">
        <f t="shared" si="191"/>
        <v>53.667000000000002</v>
      </c>
      <c r="AG177" s="981">
        <f t="shared" si="191"/>
        <v>66.460000000000008</v>
      </c>
      <c r="AH177" s="981">
        <f>SUM(AH174:AH176)</f>
        <v>82.600999999999999</v>
      </c>
      <c r="AI177" s="981">
        <f>SUM(AI174:AI176)</f>
        <v>43.7</v>
      </c>
      <c r="AJ177" s="981">
        <f>SUM(AJ174:AJ176)</f>
        <v>46</v>
      </c>
      <c r="AK177" s="447"/>
      <c r="AL177" s="447"/>
      <c r="AM177" s="453"/>
      <c r="AN177" s="154"/>
      <c r="AO177" s="154"/>
      <c r="AT177" s="451"/>
      <c r="BR177" s="154"/>
      <c r="BS177" s="154"/>
      <c r="BT177" s="154"/>
      <c r="BU177" s="154"/>
      <c r="BV177" s="154"/>
      <c r="BW177" s="154"/>
      <c r="BX177" s="154"/>
      <c r="BY177" s="154"/>
      <c r="BZ177" s="154"/>
      <c r="CA177" s="154"/>
      <c r="CB177" s="154"/>
      <c r="CC177" s="154"/>
      <c r="CD177" s="154"/>
      <c r="CE177" s="451"/>
      <c r="CF177" s="451"/>
      <c r="CG177" s="154"/>
      <c r="CH177" s="154"/>
      <c r="CI177" s="154"/>
      <c r="CJ177" s="154"/>
      <c r="CK177" s="453"/>
      <c r="CL177" s="451"/>
      <c r="CM177" s="154"/>
      <c r="CN177" s="154"/>
      <c r="CO177" s="154"/>
      <c r="CP177" s="154"/>
      <c r="CQ177" s="451"/>
      <c r="CR177" s="154"/>
      <c r="CS177" s="154"/>
      <c r="CT177" s="154"/>
      <c r="CU177" s="154"/>
      <c r="CV177" s="154"/>
      <c r="CW177" s="451"/>
      <c r="CX177" s="453"/>
      <c r="CY177" s="154"/>
      <c r="CZ177" s="154"/>
      <c r="DA177" s="447"/>
    </row>
    <row r="178" spans="1:105">
      <c r="A178" s="154"/>
      <c r="B178" s="154"/>
      <c r="C178" s="154"/>
      <c r="D178" s="154"/>
      <c r="E178" s="154"/>
      <c r="F178" s="154"/>
      <c r="G178" s="154"/>
      <c r="H178" s="154"/>
      <c r="I178" s="154"/>
      <c r="J178" s="154"/>
      <c r="K178" s="154"/>
      <c r="L178" s="154"/>
      <c r="M178" s="154"/>
      <c r="N178" s="154"/>
      <c r="O178" s="451"/>
      <c r="P178" s="451"/>
      <c r="Q178" s="451"/>
      <c r="R178" s="451"/>
      <c r="S178" s="451"/>
      <c r="T178" s="451"/>
      <c r="U178" s="451"/>
      <c r="V178" s="451"/>
      <c r="W178" s="451"/>
      <c r="X178" s="451"/>
      <c r="Y178" s="451"/>
      <c r="Z178" s="451"/>
      <c r="AA178" s="451"/>
      <c r="AB178" s="451"/>
      <c r="AC178" s="451"/>
      <c r="AD178" s="451"/>
      <c r="AE178" s="451"/>
      <c r="AF178" s="451"/>
      <c r="AG178" s="451"/>
      <c r="AH178" s="451"/>
      <c r="AI178" s="451"/>
      <c r="AJ178" s="451"/>
      <c r="AK178" s="447"/>
      <c r="AL178" s="447"/>
      <c r="AM178" s="453"/>
      <c r="AN178" s="154"/>
      <c r="AO178" s="154"/>
      <c r="AT178" s="451"/>
      <c r="BR178" s="154"/>
      <c r="BS178" s="154"/>
      <c r="BT178" s="154"/>
      <c r="BU178" s="154"/>
      <c r="BV178" s="154"/>
      <c r="BW178" s="154"/>
      <c r="BX178" s="154"/>
      <c r="BY178" s="154"/>
      <c r="BZ178" s="154"/>
      <c r="CA178" s="154"/>
      <c r="CB178" s="154"/>
      <c r="CC178" s="154"/>
      <c r="CD178" s="154"/>
      <c r="CE178" s="451"/>
      <c r="CF178" s="451"/>
      <c r="CG178" s="154"/>
      <c r="CH178" s="154"/>
      <c r="CI178" s="154"/>
      <c r="CJ178" s="154"/>
      <c r="CK178" s="453"/>
      <c r="CL178" s="451"/>
      <c r="CM178" s="154"/>
      <c r="CN178" s="154"/>
      <c r="CO178" s="154"/>
      <c r="CP178" s="154"/>
      <c r="CQ178" s="451"/>
      <c r="CR178" s="154"/>
      <c r="CS178" s="154"/>
      <c r="CT178" s="154"/>
      <c r="CU178" s="154"/>
      <c r="CV178" s="154"/>
      <c r="CW178" s="451"/>
      <c r="CX178" s="453"/>
      <c r="CY178" s="154"/>
      <c r="CZ178" s="154"/>
      <c r="DA178" s="447"/>
    </row>
    <row r="179" spans="1:105">
      <c r="A179" s="154"/>
      <c r="B179" s="154"/>
      <c r="C179" s="154"/>
      <c r="D179" s="154"/>
      <c r="E179" s="154"/>
      <c r="F179" s="154"/>
      <c r="G179" s="154"/>
      <c r="H179" s="154"/>
      <c r="I179" s="154"/>
      <c r="J179" s="154"/>
      <c r="K179" s="154"/>
      <c r="L179" s="154"/>
      <c r="M179" s="154"/>
      <c r="N179" s="154"/>
      <c r="O179" s="451"/>
      <c r="P179" s="451"/>
      <c r="Q179" s="451"/>
      <c r="R179" s="451"/>
      <c r="S179" s="451"/>
      <c r="T179" s="451"/>
      <c r="U179" s="451"/>
      <c r="V179" s="451"/>
      <c r="W179" s="451"/>
      <c r="X179" s="451"/>
      <c r="Y179" s="451"/>
      <c r="Z179" s="451"/>
      <c r="AA179" s="451"/>
      <c r="AB179" s="451"/>
      <c r="AC179" s="451"/>
      <c r="AD179" s="451"/>
      <c r="AE179" s="451"/>
      <c r="AF179" s="451"/>
      <c r="AG179" s="451"/>
      <c r="AH179" s="451"/>
      <c r="AI179" s="451"/>
      <c r="AJ179" s="451"/>
      <c r="AK179" s="447"/>
      <c r="AL179" s="447"/>
      <c r="AM179" s="453"/>
      <c r="AN179" s="154"/>
      <c r="AO179" s="154"/>
      <c r="AT179" s="451"/>
      <c r="BR179" s="154"/>
      <c r="BS179" s="154"/>
      <c r="BT179" s="154"/>
      <c r="BU179" s="154"/>
      <c r="BV179" s="154"/>
      <c r="BW179" s="154"/>
      <c r="BX179" s="154"/>
      <c r="BY179" s="154"/>
      <c r="BZ179" s="154"/>
      <c r="CA179" s="154"/>
      <c r="CB179" s="154"/>
      <c r="CC179" s="154"/>
      <c r="CD179" s="154"/>
      <c r="CE179" s="451"/>
      <c r="CF179" s="451"/>
      <c r="CG179" s="154"/>
      <c r="CH179" s="154"/>
      <c r="CI179" s="154"/>
      <c r="CJ179" s="154"/>
      <c r="CK179" s="453"/>
      <c r="CL179" s="451"/>
      <c r="CM179" s="154"/>
      <c r="CN179" s="154"/>
      <c r="CO179" s="154"/>
      <c r="CP179" s="154"/>
      <c r="CQ179" s="451"/>
      <c r="CR179" s="154"/>
      <c r="CS179" s="154"/>
      <c r="CT179" s="154"/>
      <c r="CU179" s="154"/>
      <c r="CV179" s="154"/>
      <c r="CW179" s="451"/>
      <c r="CX179" s="453"/>
      <c r="CY179" s="154"/>
      <c r="CZ179" s="154"/>
      <c r="DA179" s="447"/>
    </row>
    <row r="180" spans="1:105">
      <c r="A180" s="154"/>
      <c r="B180" s="154"/>
      <c r="C180" s="154"/>
      <c r="D180" s="154"/>
      <c r="E180" s="154"/>
      <c r="F180" s="154"/>
      <c r="G180" s="154"/>
      <c r="H180" s="154"/>
      <c r="I180" s="154"/>
      <c r="J180" s="154"/>
      <c r="K180" s="154"/>
      <c r="L180" s="154"/>
      <c r="M180" s="154"/>
      <c r="N180" s="154"/>
      <c r="O180" s="451"/>
      <c r="P180" s="451"/>
      <c r="Q180" s="451"/>
      <c r="R180" s="451"/>
      <c r="S180" s="451"/>
      <c r="T180" s="451"/>
      <c r="U180" s="451"/>
      <c r="V180" s="451"/>
      <c r="W180" s="451"/>
      <c r="X180" s="451"/>
      <c r="Y180" s="451"/>
      <c r="Z180" s="451"/>
      <c r="AA180" s="451"/>
      <c r="AB180" s="451"/>
      <c r="AC180" s="451"/>
      <c r="AD180" s="451"/>
      <c r="AE180" s="451"/>
      <c r="AF180" s="451"/>
      <c r="AG180" s="451"/>
      <c r="AH180" s="451"/>
      <c r="AI180" s="451"/>
      <c r="AJ180" s="451"/>
      <c r="AK180" s="447"/>
      <c r="AL180" s="447"/>
      <c r="AM180" s="453"/>
      <c r="AN180" s="154"/>
      <c r="AO180" s="154"/>
      <c r="AT180" s="451"/>
      <c r="BR180" s="154"/>
      <c r="BS180" s="154"/>
      <c r="BT180" s="154"/>
      <c r="BU180" s="154"/>
      <c r="BV180" s="154"/>
      <c r="BW180" s="154"/>
      <c r="BX180" s="154"/>
      <c r="BY180" s="154"/>
      <c r="BZ180" s="154"/>
      <c r="CA180" s="154"/>
      <c r="CB180" s="154"/>
      <c r="CC180" s="154"/>
      <c r="CD180" s="154"/>
      <c r="CE180" s="451"/>
      <c r="CF180" s="451"/>
      <c r="CG180" s="154"/>
      <c r="CH180" s="154"/>
      <c r="CI180" s="154"/>
      <c r="CJ180" s="154"/>
      <c r="CK180" s="453"/>
      <c r="CL180" s="451"/>
      <c r="CM180" s="154"/>
      <c r="CN180" s="154"/>
      <c r="CO180" s="154"/>
      <c r="CP180" s="154"/>
      <c r="CQ180" s="451"/>
      <c r="CR180" s="154"/>
      <c r="CS180" s="154"/>
      <c r="CT180" s="154"/>
      <c r="CU180" s="154"/>
      <c r="CV180" s="154"/>
      <c r="CW180" s="451"/>
      <c r="CX180" s="453"/>
      <c r="CY180" s="154"/>
      <c r="CZ180" s="154"/>
      <c r="DA180" s="447"/>
    </row>
    <row r="181" spans="1:105">
      <c r="A181" s="443" t="s">
        <v>57</v>
      </c>
      <c r="B181" s="161"/>
      <c r="C181" s="161"/>
      <c r="D181" s="161"/>
      <c r="E181" s="161"/>
      <c r="F181" s="161"/>
      <c r="G181" s="161"/>
      <c r="H181" s="161"/>
      <c r="I181" s="161"/>
      <c r="J181" s="161"/>
      <c r="K181" s="161"/>
      <c r="L181" s="161"/>
      <c r="M181" s="161"/>
      <c r="N181" s="161"/>
      <c r="O181" s="457"/>
      <c r="P181" s="457"/>
      <c r="Q181" s="457"/>
      <c r="R181" s="457"/>
      <c r="S181" s="458">
        <f>S128-S170</f>
        <v>121</v>
      </c>
      <c r="T181" s="458">
        <f t="shared" ref="T181:AH181" si="192">T128-T170</f>
        <v>199</v>
      </c>
      <c r="U181" s="458">
        <f t="shared" si="192"/>
        <v>138</v>
      </c>
      <c r="V181" s="458">
        <f t="shared" si="192"/>
        <v>66</v>
      </c>
      <c r="W181" s="458">
        <f t="shared" si="192"/>
        <v>127.9</v>
      </c>
      <c r="X181" s="458">
        <f t="shared" si="192"/>
        <v>92</v>
      </c>
      <c r="Y181" s="458">
        <f t="shared" si="192"/>
        <v>100.39999999999998</v>
      </c>
      <c r="Z181" s="458">
        <f t="shared" si="192"/>
        <v>77</v>
      </c>
      <c r="AA181" s="458">
        <f t="shared" si="192"/>
        <v>182</v>
      </c>
      <c r="AB181" s="458">
        <f t="shared" si="192"/>
        <v>101.69999999999999</v>
      </c>
      <c r="AC181" s="458">
        <f t="shared" si="192"/>
        <v>137.102</v>
      </c>
      <c r="AD181" s="458">
        <f t="shared" si="192"/>
        <v>143.19999999999999</v>
      </c>
      <c r="AE181" s="458">
        <f t="shared" si="192"/>
        <v>132</v>
      </c>
      <c r="AF181" s="458">
        <f t="shared" si="192"/>
        <v>197</v>
      </c>
      <c r="AG181" s="458">
        <f t="shared" si="192"/>
        <v>179.97499999999999</v>
      </c>
      <c r="AH181" s="458">
        <f t="shared" si="192"/>
        <v>163.4</v>
      </c>
      <c r="AI181" s="458">
        <f>AI128-AI170</f>
        <v>208.89999999999998</v>
      </c>
      <c r="AJ181" s="458">
        <f>AJ128-AJ170</f>
        <v>202</v>
      </c>
      <c r="AK181" s="471">
        <f t="shared" ref="AK181:AL181" si="193">AK128-AK170</f>
        <v>183</v>
      </c>
      <c r="AL181" s="471">
        <f t="shared" si="193"/>
        <v>145.96683591510816</v>
      </c>
      <c r="AM181" s="453"/>
      <c r="AN181" s="154"/>
      <c r="AO181" s="154"/>
      <c r="AT181" s="458"/>
      <c r="AV181" s="1114">
        <f>AJ181/DA181-1</f>
        <v>0.10989010989010994</v>
      </c>
      <c r="AW181" s="331">
        <f>AW128-AW170</f>
        <v>157.70000000000002</v>
      </c>
      <c r="AX181" s="1114">
        <f>AJ181/AW181-1</f>
        <v>0.28091312618896636</v>
      </c>
      <c r="BR181" s="154"/>
      <c r="BS181" s="154"/>
      <c r="BT181" s="154"/>
      <c r="BU181" s="154"/>
      <c r="BV181" s="154"/>
      <c r="BW181" s="154"/>
      <c r="BX181" s="154"/>
      <c r="BY181" s="154"/>
      <c r="BZ181" s="154"/>
      <c r="CA181" s="154"/>
      <c r="CB181" s="154"/>
      <c r="CC181" s="154"/>
      <c r="CD181" s="154"/>
      <c r="CE181" s="451"/>
      <c r="CF181" s="451"/>
      <c r="CG181" s="154"/>
      <c r="CH181" s="154"/>
      <c r="CI181" s="154"/>
      <c r="CJ181" s="154"/>
      <c r="CK181" s="453"/>
      <c r="CL181" s="458">
        <f t="shared" ref="CL181:CN181" si="194">CL128-CL170</f>
        <v>125</v>
      </c>
      <c r="CM181" s="665">
        <f>AE181/CL181-1</f>
        <v>5.600000000000005E-2</v>
      </c>
      <c r="CN181" s="458">
        <f t="shared" si="194"/>
        <v>104.19999999999999</v>
      </c>
      <c r="CO181" s="665">
        <f>AE181/CN181-1</f>
        <v>0.26679462571976975</v>
      </c>
      <c r="CP181" s="154"/>
      <c r="CQ181" s="458">
        <v>147.25</v>
      </c>
      <c r="CR181" s="154"/>
      <c r="CS181" s="154"/>
      <c r="CT181" s="154"/>
      <c r="CU181" s="154"/>
      <c r="CV181" s="154"/>
      <c r="CW181" s="458">
        <v>131.12969475032594</v>
      </c>
      <c r="CX181" s="453"/>
      <c r="CY181" s="154"/>
      <c r="CZ181" s="154"/>
      <c r="DA181" s="471">
        <v>182</v>
      </c>
    </row>
    <row r="182" spans="1:105">
      <c r="A182" s="154" t="s">
        <v>633</v>
      </c>
      <c r="B182" s="154"/>
      <c r="C182" s="154"/>
      <c r="D182" s="154"/>
      <c r="E182" s="154"/>
      <c r="F182" s="154"/>
      <c r="G182" s="154"/>
      <c r="H182" s="154"/>
      <c r="I182" s="154"/>
      <c r="J182" s="154"/>
      <c r="K182" s="154"/>
      <c r="L182" s="154"/>
      <c r="M182" s="154"/>
      <c r="N182" s="154"/>
      <c r="O182" s="451"/>
      <c r="P182" s="451"/>
      <c r="Q182" s="451"/>
      <c r="R182" s="451"/>
      <c r="S182" s="838"/>
      <c r="T182" s="838"/>
      <c r="U182" s="838"/>
      <c r="V182" s="838"/>
      <c r="W182" s="838">
        <f t="shared" ref="W182:AG182" si="195">W181/S181-1</f>
        <v>5.7024793388429806E-2</v>
      </c>
      <c r="X182" s="838">
        <f t="shared" si="195"/>
        <v>-0.53768844221105527</v>
      </c>
      <c r="Y182" s="838">
        <f t="shared" si="195"/>
        <v>-0.2724637681159422</v>
      </c>
      <c r="Z182" s="838">
        <f t="shared" si="195"/>
        <v>0.16666666666666674</v>
      </c>
      <c r="AA182" s="838">
        <f t="shared" si="195"/>
        <v>0.4229867083659109</v>
      </c>
      <c r="AB182" s="838">
        <f t="shared" si="195"/>
        <v>0.10543478260869543</v>
      </c>
      <c r="AC182" s="838">
        <f t="shared" si="195"/>
        <v>0.36555776892430303</v>
      </c>
      <c r="AD182" s="838">
        <f t="shared" si="195"/>
        <v>0.85974025974025969</v>
      </c>
      <c r="AE182" s="838">
        <f t="shared" si="195"/>
        <v>-0.27472527472527475</v>
      </c>
      <c r="AF182" s="838">
        <f t="shared" si="195"/>
        <v>0.93706981317600802</v>
      </c>
      <c r="AG182" s="838">
        <f t="shared" si="195"/>
        <v>0.31270878615920994</v>
      </c>
      <c r="AH182" s="838">
        <f>AH181/AD181-1</f>
        <v>0.14106145251396662</v>
      </c>
      <c r="AI182" s="838">
        <f>AI181/AE181-1</f>
        <v>0.5825757575757573</v>
      </c>
      <c r="AJ182" s="838">
        <f>AJ181/AF181-1</f>
        <v>2.5380710659898442E-2</v>
      </c>
      <c r="AK182" s="1093">
        <f>AK181/AG181-1</f>
        <v>1.6807889984720159E-2</v>
      </c>
      <c r="AL182" s="1093">
        <f>AL181/AH181-1</f>
        <v>-0.10669011067865264</v>
      </c>
      <c r="AM182" s="453"/>
      <c r="AN182" s="154"/>
      <c r="AO182" s="154"/>
      <c r="AT182" s="838"/>
      <c r="BR182" s="154"/>
      <c r="BS182" s="154"/>
      <c r="BT182" s="154"/>
      <c r="BU182" s="154"/>
      <c r="BV182" s="154"/>
      <c r="BW182" s="154"/>
      <c r="BX182" s="154"/>
      <c r="BY182" s="154"/>
      <c r="BZ182" s="154"/>
      <c r="CA182" s="154"/>
      <c r="CB182" s="154"/>
      <c r="CC182" s="154"/>
      <c r="CD182" s="154"/>
      <c r="CE182" s="451"/>
      <c r="CF182" s="451"/>
      <c r="CG182" s="154"/>
      <c r="CH182" s="154"/>
      <c r="CI182" s="154"/>
      <c r="CJ182" s="154"/>
      <c r="CK182" s="453"/>
      <c r="CL182" s="451"/>
      <c r="CM182" s="154"/>
      <c r="CN182" s="154"/>
      <c r="CO182" s="154"/>
      <c r="CP182" s="154"/>
      <c r="CQ182" s="838">
        <v>0.44788593903638163</v>
      </c>
      <c r="CR182" s="154"/>
      <c r="CS182" s="154"/>
      <c r="CT182" s="154"/>
      <c r="CU182" s="154"/>
      <c r="CV182" s="154"/>
      <c r="CW182" s="838">
        <v>4.7378510442067423E-2</v>
      </c>
      <c r="CX182" s="453"/>
      <c r="CY182" s="154"/>
      <c r="CZ182" s="154"/>
      <c r="DA182" s="1093">
        <v>-7.6142131979695438E-2</v>
      </c>
    </row>
    <row r="183" spans="1:105">
      <c r="A183" s="154" t="s">
        <v>664</v>
      </c>
      <c r="B183" s="154"/>
      <c r="C183" s="154"/>
      <c r="D183" s="154"/>
      <c r="E183" s="154"/>
      <c r="F183" s="154"/>
      <c r="G183" s="154"/>
      <c r="H183" s="154"/>
      <c r="I183" s="154"/>
      <c r="J183" s="154"/>
      <c r="K183" s="154"/>
      <c r="L183" s="154"/>
      <c r="M183" s="154"/>
      <c r="N183" s="154"/>
      <c r="O183" s="451"/>
      <c r="P183" s="451"/>
      <c r="Q183" s="451"/>
      <c r="R183" s="451"/>
      <c r="S183" s="838">
        <f t="shared" ref="S183:AH183" si="196">S181/S99</f>
        <v>0.33457763030554405</v>
      </c>
      <c r="T183" s="838">
        <f t="shared" si="196"/>
        <v>0.49502487562189057</v>
      </c>
      <c r="U183" s="838">
        <f t="shared" si="196"/>
        <v>0.34413965087281795</v>
      </c>
      <c r="V183" s="838">
        <f t="shared" si="196"/>
        <v>0.15865384615384615</v>
      </c>
      <c r="W183" s="838">
        <f t="shared" si="196"/>
        <v>0.28670701636404394</v>
      </c>
      <c r="X183" s="838">
        <f t="shared" si="196"/>
        <v>0.19658119658119658</v>
      </c>
      <c r="Y183" s="838">
        <f t="shared" si="196"/>
        <v>0.19270633397312856</v>
      </c>
      <c r="Z183" s="838">
        <f t="shared" si="196"/>
        <v>0.14638783269961977</v>
      </c>
      <c r="AA183" s="838">
        <f t="shared" si="196"/>
        <v>0.30182421227197348</v>
      </c>
      <c r="AB183" s="838">
        <f t="shared" si="196"/>
        <v>0.18619553277187839</v>
      </c>
      <c r="AC183" s="838">
        <f t="shared" si="196"/>
        <v>0.29356584151101767</v>
      </c>
      <c r="AD183" s="838">
        <f t="shared" si="196"/>
        <v>0.2808944684189878</v>
      </c>
      <c r="AE183" s="838">
        <f t="shared" si="196"/>
        <v>0.31578947368421051</v>
      </c>
      <c r="AF183" s="838">
        <f t="shared" si="196"/>
        <v>0.45287356321839078</v>
      </c>
      <c r="AG183" s="838">
        <f t="shared" si="196"/>
        <v>0.42822438267639346</v>
      </c>
      <c r="AH183" s="838">
        <f t="shared" si="196"/>
        <v>0.37322978529008682</v>
      </c>
      <c r="AI183" s="838">
        <f>AI181/AI99</f>
        <v>0.47520473157415827</v>
      </c>
      <c r="AJ183" s="838">
        <f>AJ181/AJ99</f>
        <v>0.46651270207852191</v>
      </c>
      <c r="AK183" s="1093">
        <f t="shared" ref="AK183:AL183" si="197">AK181/AK99</f>
        <v>0.4206896551724138</v>
      </c>
      <c r="AL183" s="1093">
        <f t="shared" si="197"/>
        <v>0.34972357589869285</v>
      </c>
      <c r="AM183" s="453"/>
      <c r="AN183" s="154"/>
      <c r="AO183" s="154"/>
      <c r="AT183" s="838"/>
      <c r="BR183" s="154"/>
      <c r="BS183" s="154"/>
      <c r="BT183" s="154"/>
      <c r="BU183" s="154"/>
      <c r="BV183" s="154"/>
      <c r="BW183" s="154"/>
      <c r="BX183" s="154"/>
      <c r="BY183" s="154"/>
      <c r="BZ183" s="154"/>
      <c r="CA183" s="154"/>
      <c r="CB183" s="154"/>
      <c r="CC183" s="154"/>
      <c r="CD183" s="154"/>
      <c r="CE183" s="451"/>
      <c r="CF183" s="451"/>
      <c r="CG183" s="154"/>
      <c r="CH183" s="154"/>
      <c r="CI183" s="154"/>
      <c r="CJ183" s="154"/>
      <c r="CK183" s="453"/>
      <c r="CL183" s="451"/>
      <c r="CM183" s="154"/>
      <c r="CN183" s="154"/>
      <c r="CO183" s="154"/>
      <c r="CP183" s="154"/>
      <c r="CQ183" s="838">
        <v>0.33580387685290763</v>
      </c>
      <c r="CR183" s="154"/>
      <c r="CS183" s="154"/>
      <c r="CT183" s="154"/>
      <c r="CU183" s="154"/>
      <c r="CV183" s="154"/>
      <c r="CW183" s="838">
        <v>0.31403901617662572</v>
      </c>
      <c r="CX183" s="453"/>
      <c r="CY183" s="154"/>
      <c r="CZ183" s="154"/>
      <c r="DA183" s="1093">
        <v>0.42924528301886794</v>
      </c>
    </row>
    <row r="184" spans="1:105">
      <c r="A184" s="154"/>
      <c r="B184" s="154"/>
      <c r="C184" s="154"/>
      <c r="D184" s="154"/>
      <c r="E184" s="154"/>
      <c r="F184" s="154"/>
      <c r="G184" s="154"/>
      <c r="H184" s="154"/>
      <c r="I184" s="154"/>
      <c r="J184" s="154"/>
      <c r="K184" s="154"/>
      <c r="L184" s="154"/>
      <c r="M184" s="154"/>
      <c r="N184" s="154"/>
      <c r="O184" s="451"/>
      <c r="P184" s="451"/>
      <c r="Q184" s="451"/>
      <c r="R184" s="451"/>
      <c r="S184" s="451"/>
      <c r="T184" s="451"/>
      <c r="U184" s="451"/>
      <c r="V184" s="451"/>
      <c r="W184" s="451"/>
      <c r="X184" s="451"/>
      <c r="Y184" s="451"/>
      <c r="Z184" s="451"/>
      <c r="AA184" s="451"/>
      <c r="AB184" s="451"/>
      <c r="AC184" s="451"/>
      <c r="AD184" s="451"/>
      <c r="AE184" s="451"/>
      <c r="AF184" s="451"/>
      <c r="AG184" s="838">
        <f>AG183-AC183</f>
        <v>0.13465854116537579</v>
      </c>
      <c r="AH184" s="451"/>
      <c r="AI184" s="451"/>
      <c r="AJ184" s="451"/>
      <c r="AK184" s="447"/>
      <c r="AL184" s="447"/>
      <c r="AM184" s="453"/>
      <c r="AN184" s="154"/>
      <c r="AO184" s="154"/>
      <c r="AT184" s="451"/>
      <c r="BR184" s="154"/>
      <c r="BS184" s="154"/>
      <c r="BT184" s="154"/>
      <c r="BU184" s="154"/>
      <c r="BV184" s="154"/>
      <c r="BW184" s="154"/>
      <c r="BX184" s="154"/>
      <c r="BY184" s="154"/>
      <c r="BZ184" s="154"/>
      <c r="CA184" s="154"/>
      <c r="CB184" s="154"/>
      <c r="CC184" s="154"/>
      <c r="CD184" s="154"/>
      <c r="CE184" s="451"/>
      <c r="CF184" s="451"/>
      <c r="CG184" s="154"/>
      <c r="CH184" s="154"/>
      <c r="CI184" s="154"/>
      <c r="CJ184" s="154"/>
      <c r="CK184" s="453"/>
      <c r="CL184" s="451"/>
      <c r="CM184" s="154"/>
      <c r="CN184" s="154"/>
      <c r="CO184" s="154"/>
      <c r="CP184" s="154"/>
      <c r="CQ184" s="451"/>
      <c r="CR184" s="154"/>
      <c r="CS184" s="154"/>
      <c r="CT184" s="154"/>
      <c r="CU184" s="154"/>
      <c r="CV184" s="154"/>
      <c r="CW184" s="451"/>
      <c r="CX184" s="453"/>
      <c r="CY184" s="154"/>
      <c r="CZ184" s="154"/>
      <c r="DA184" s="447"/>
    </row>
    <row r="185" spans="1:105">
      <c r="A185" s="154"/>
      <c r="B185" s="154"/>
      <c r="C185" s="154"/>
      <c r="D185" s="154"/>
      <c r="E185" s="154"/>
      <c r="F185" s="154"/>
      <c r="G185" s="154"/>
      <c r="H185" s="154"/>
      <c r="I185" s="154"/>
      <c r="J185" s="154"/>
      <c r="K185" s="154"/>
      <c r="L185" s="154"/>
      <c r="M185" s="154"/>
      <c r="N185" s="154"/>
      <c r="O185" s="451"/>
      <c r="P185" s="451"/>
      <c r="Q185" s="451"/>
      <c r="R185" s="451"/>
      <c r="S185" s="451"/>
      <c r="T185" s="451"/>
      <c r="U185" s="451"/>
      <c r="V185" s="451"/>
      <c r="W185" s="451"/>
      <c r="X185" s="451"/>
      <c r="Y185" s="451"/>
      <c r="Z185" s="451"/>
      <c r="AA185" s="451"/>
      <c r="AB185" s="451"/>
      <c r="AC185" s="451"/>
      <c r="AD185" s="451"/>
      <c r="AE185" s="451"/>
      <c r="AF185" s="451"/>
      <c r="AG185" s="451"/>
      <c r="AH185" s="451"/>
      <c r="AI185" s="451"/>
      <c r="AJ185" s="451"/>
      <c r="AK185" s="447"/>
      <c r="AL185" s="447"/>
      <c r="AM185" s="453"/>
      <c r="AN185" s="154"/>
      <c r="AO185" s="154"/>
      <c r="AT185" s="451"/>
      <c r="BR185" s="154"/>
      <c r="BS185" s="154"/>
      <c r="BT185" s="154"/>
      <c r="BU185" s="154"/>
      <c r="BV185" s="154"/>
      <c r="BW185" s="154"/>
      <c r="BX185" s="154"/>
      <c r="BY185" s="154"/>
      <c r="BZ185" s="154"/>
      <c r="CA185" s="154"/>
      <c r="CB185" s="154"/>
      <c r="CC185" s="154"/>
      <c r="CD185" s="154"/>
      <c r="CE185" s="451"/>
      <c r="CF185" s="451"/>
      <c r="CG185" s="154"/>
      <c r="CH185" s="154"/>
      <c r="CI185" s="154"/>
      <c r="CJ185" s="154"/>
      <c r="CK185" s="453"/>
      <c r="CL185" s="451"/>
      <c r="CM185" s="154"/>
      <c r="CN185" s="154"/>
      <c r="CO185" s="154"/>
      <c r="CP185" s="154"/>
      <c r="CQ185" s="451"/>
      <c r="CR185" s="154"/>
      <c r="CS185" s="154"/>
      <c r="CT185" s="154"/>
      <c r="CU185" s="154"/>
      <c r="CV185" s="154"/>
      <c r="CW185" s="451"/>
      <c r="CX185" s="453"/>
      <c r="CY185" s="154"/>
      <c r="CZ185" s="154"/>
      <c r="DA185" s="447"/>
    </row>
    <row r="186" spans="1:105">
      <c r="A186" s="154"/>
      <c r="B186" s="154"/>
      <c r="C186" s="154"/>
      <c r="D186" s="154"/>
      <c r="E186" s="154"/>
      <c r="F186" s="154"/>
      <c r="G186" s="154"/>
      <c r="H186" s="154"/>
      <c r="I186" s="154"/>
      <c r="J186" s="154"/>
      <c r="K186" s="154"/>
      <c r="L186" s="154"/>
      <c r="M186" s="154"/>
      <c r="N186" s="154"/>
      <c r="O186" s="451"/>
      <c r="P186" s="451"/>
      <c r="Q186" s="451"/>
      <c r="R186" s="451"/>
      <c r="S186" s="451"/>
      <c r="T186" s="451"/>
      <c r="U186" s="451"/>
      <c r="V186" s="451"/>
      <c r="W186" s="451"/>
      <c r="X186" s="451"/>
      <c r="Y186" s="451"/>
      <c r="Z186" s="451"/>
      <c r="AA186" s="451"/>
      <c r="AB186" s="451"/>
      <c r="AC186" s="451"/>
      <c r="AD186" s="451"/>
      <c r="AE186" s="451"/>
      <c r="AF186" s="451"/>
      <c r="AG186" s="451"/>
      <c r="AH186" s="451"/>
      <c r="AI186" s="451"/>
      <c r="AJ186" s="451"/>
      <c r="AK186" s="447"/>
      <c r="AL186" s="447"/>
      <c r="AM186" s="453"/>
      <c r="AN186" s="154"/>
      <c r="AO186" s="154"/>
      <c r="AT186" s="451"/>
      <c r="BR186" s="154"/>
      <c r="BS186" s="154"/>
      <c r="BT186" s="154"/>
      <c r="BU186" s="154"/>
      <c r="BV186" s="154"/>
      <c r="BW186" s="154"/>
      <c r="BX186" s="154"/>
      <c r="BY186" s="154"/>
      <c r="BZ186" s="154"/>
      <c r="CA186" s="154"/>
      <c r="CB186" s="154"/>
      <c r="CC186" s="154"/>
      <c r="CD186" s="154"/>
      <c r="CE186" s="451"/>
      <c r="CF186" s="451"/>
      <c r="CG186" s="154"/>
      <c r="CH186" s="154"/>
      <c r="CI186" s="154"/>
      <c r="CJ186" s="154"/>
      <c r="CK186" s="453"/>
      <c r="CL186" s="451"/>
      <c r="CM186" s="154"/>
      <c r="CN186" s="154"/>
      <c r="CO186" s="154"/>
      <c r="CP186" s="154"/>
      <c r="CQ186" s="451"/>
      <c r="CR186" s="154"/>
      <c r="CS186" s="154"/>
      <c r="CT186" s="154"/>
      <c r="CU186" s="154"/>
      <c r="CV186" s="154"/>
      <c r="CW186" s="451"/>
      <c r="CX186" s="453"/>
      <c r="CY186" s="154"/>
      <c r="CZ186" s="154"/>
      <c r="DA186" s="447"/>
    </row>
    <row r="187" spans="1:105">
      <c r="A187" s="443" t="s">
        <v>867</v>
      </c>
      <c r="B187" s="154"/>
      <c r="C187" s="154"/>
      <c r="D187" s="154"/>
      <c r="E187" s="154"/>
      <c r="F187" s="154"/>
      <c r="G187" s="154"/>
      <c r="H187" s="154"/>
      <c r="I187" s="154"/>
      <c r="J187" s="154"/>
      <c r="K187" s="154"/>
      <c r="L187" s="154"/>
      <c r="M187" s="154"/>
      <c r="N187" s="154"/>
      <c r="O187" s="451"/>
      <c r="P187" s="451"/>
      <c r="Q187" s="451"/>
      <c r="R187" s="451"/>
      <c r="S187" s="451"/>
      <c r="T187" s="451"/>
      <c r="U187" s="451"/>
      <c r="V187" s="451"/>
      <c r="W187" s="451"/>
      <c r="X187" s="451"/>
      <c r="Y187" s="451"/>
      <c r="Z187" s="451"/>
      <c r="AA187" s="451"/>
      <c r="AB187" s="451"/>
      <c r="AC187" s="451"/>
      <c r="AD187" s="451"/>
      <c r="AE187" s="451"/>
      <c r="AF187" s="451"/>
      <c r="AG187" s="451"/>
      <c r="AH187" s="451"/>
      <c r="AI187" s="451"/>
      <c r="AJ187" s="451"/>
      <c r="AK187" s="447"/>
      <c r="AL187" s="447"/>
      <c r="AM187" s="453"/>
      <c r="AN187" s="154"/>
      <c r="AO187" s="154"/>
      <c r="AT187" s="451"/>
      <c r="BR187" s="154"/>
      <c r="BS187" s="154"/>
      <c r="BT187" s="154"/>
      <c r="BU187" s="154"/>
      <c r="BV187" s="154"/>
      <c r="BW187" s="154"/>
      <c r="BX187" s="154"/>
      <c r="BY187" s="154"/>
      <c r="BZ187" s="154"/>
      <c r="CA187" s="154"/>
      <c r="CB187" s="154"/>
      <c r="CC187" s="154"/>
      <c r="CD187" s="154"/>
      <c r="CE187" s="451"/>
      <c r="CF187" s="451"/>
      <c r="CG187" s="154"/>
      <c r="CH187" s="154"/>
      <c r="CI187" s="154"/>
      <c r="CJ187" s="154"/>
      <c r="CK187" s="453"/>
      <c r="CL187" s="451"/>
      <c r="CM187" s="154"/>
      <c r="CN187" s="154"/>
      <c r="CO187" s="154"/>
      <c r="CP187" s="154"/>
      <c r="CQ187" s="451"/>
      <c r="CR187" s="154"/>
      <c r="CS187" s="154"/>
      <c r="CT187" s="154"/>
      <c r="CU187" s="154"/>
      <c r="CV187" s="154"/>
      <c r="CW187" s="451"/>
      <c r="CX187" s="453"/>
      <c r="CY187" s="154"/>
      <c r="CZ187" s="154"/>
      <c r="DA187" s="447"/>
    </row>
    <row r="188" spans="1:105">
      <c r="A188" s="154"/>
      <c r="B188" s="154"/>
      <c r="C188" s="154"/>
      <c r="D188" s="154"/>
      <c r="E188" s="154"/>
      <c r="F188" s="154"/>
      <c r="G188" s="154"/>
      <c r="H188" s="154"/>
      <c r="I188" s="154"/>
      <c r="J188" s="154"/>
      <c r="K188" s="154"/>
      <c r="L188" s="154"/>
      <c r="M188" s="154"/>
      <c r="N188" s="154"/>
      <c r="O188" s="451"/>
      <c r="P188" s="451"/>
      <c r="Q188" s="451"/>
      <c r="R188" s="451"/>
      <c r="S188" s="451"/>
      <c r="T188" s="451"/>
      <c r="U188" s="451"/>
      <c r="V188" s="451"/>
      <c r="W188" s="451"/>
      <c r="X188" s="451"/>
      <c r="Y188" s="451"/>
      <c r="Z188" s="451"/>
      <c r="AA188" s="451"/>
      <c r="AB188" s="451"/>
      <c r="AC188" s="451"/>
      <c r="AD188" s="451"/>
      <c r="AE188" s="451"/>
      <c r="AF188" s="451"/>
      <c r="AG188" s="451"/>
      <c r="AH188" s="451"/>
      <c r="AI188" s="451"/>
      <c r="AJ188" s="451"/>
      <c r="AK188" s="447"/>
      <c r="AL188" s="447"/>
      <c r="AM188" s="453"/>
      <c r="AN188" s="154"/>
      <c r="AO188" s="154"/>
      <c r="AT188" s="451"/>
      <c r="BR188" s="154"/>
      <c r="BS188" s="154"/>
      <c r="BT188" s="154"/>
      <c r="BU188" s="154"/>
      <c r="BV188" s="154"/>
      <c r="BW188" s="154"/>
      <c r="BX188" s="154"/>
      <c r="BY188" s="154"/>
      <c r="BZ188" s="154"/>
      <c r="CA188" s="154"/>
      <c r="CB188" s="154"/>
      <c r="CC188" s="154"/>
      <c r="CD188" s="154"/>
      <c r="CE188" s="451"/>
      <c r="CF188" s="451"/>
      <c r="CG188" s="154"/>
      <c r="CH188" s="154"/>
      <c r="CI188" s="154"/>
      <c r="CJ188" s="154"/>
      <c r="CK188" s="453"/>
      <c r="CL188" s="451"/>
      <c r="CM188" s="154"/>
      <c r="CN188" s="154"/>
      <c r="CO188" s="154"/>
      <c r="CP188" s="154"/>
      <c r="CQ188" s="451"/>
      <c r="CR188" s="154"/>
      <c r="CS188" s="154"/>
      <c r="CT188" s="154"/>
      <c r="CU188" s="154"/>
      <c r="CV188" s="154"/>
      <c r="CW188" s="451"/>
      <c r="CX188" s="453"/>
      <c r="CY188" s="154"/>
      <c r="CZ188" s="154"/>
      <c r="DA188" s="447"/>
    </row>
    <row r="189" spans="1:105">
      <c r="A189" s="160" t="s">
        <v>22</v>
      </c>
      <c r="B189" s="160"/>
      <c r="C189" s="160"/>
      <c r="D189" s="160"/>
      <c r="E189" s="160"/>
      <c r="F189" s="160"/>
      <c r="G189" s="160"/>
      <c r="H189" s="160"/>
      <c r="I189" s="160"/>
      <c r="J189" s="160"/>
      <c r="K189" s="160"/>
      <c r="L189" s="160"/>
      <c r="M189" s="160"/>
      <c r="N189" s="160"/>
      <c r="O189" s="458"/>
      <c r="P189" s="458"/>
      <c r="Q189" s="458"/>
      <c r="R189" s="458"/>
      <c r="S189" s="458"/>
      <c r="T189" s="458"/>
      <c r="U189" s="458"/>
      <c r="V189" s="458"/>
      <c r="W189" s="458"/>
      <c r="X189" s="457">
        <v>96.519000000000005</v>
      </c>
      <c r="Y189" s="458"/>
      <c r="Z189" s="458"/>
      <c r="AA189" s="458"/>
      <c r="AB189" s="457">
        <v>166.59700000000001</v>
      </c>
      <c r="AC189" s="458"/>
      <c r="AD189" s="458"/>
      <c r="AE189" s="458"/>
      <c r="AF189" s="458"/>
      <c r="AG189" s="458"/>
      <c r="AH189" s="458"/>
      <c r="AI189" s="458"/>
      <c r="AJ189" s="458"/>
      <c r="AK189" s="471"/>
      <c r="AL189" s="471"/>
      <c r="AM189" s="661"/>
      <c r="AN189" s="154"/>
      <c r="AO189" s="154"/>
      <c r="AT189" s="458"/>
      <c r="BR189" s="154"/>
      <c r="BS189" s="154"/>
      <c r="BT189" s="154"/>
      <c r="BU189" s="154"/>
      <c r="BV189" s="154"/>
      <c r="BW189" s="154"/>
      <c r="BX189" s="154"/>
      <c r="BY189" s="154"/>
      <c r="BZ189" s="154"/>
      <c r="CA189" s="154"/>
      <c r="CB189" s="154"/>
      <c r="CC189" s="154"/>
      <c r="CD189" s="154"/>
      <c r="CE189" s="458"/>
      <c r="CF189" s="458"/>
      <c r="CG189" s="154"/>
      <c r="CH189" s="451"/>
      <c r="CI189" s="446"/>
      <c r="CJ189" s="154"/>
      <c r="CK189" s="661"/>
      <c r="CL189" s="458"/>
      <c r="CM189" s="154"/>
      <c r="CN189" s="154"/>
      <c r="CO189" s="154"/>
      <c r="CP189" s="154"/>
      <c r="CQ189" s="458"/>
      <c r="CR189" s="154"/>
      <c r="CS189" s="154"/>
      <c r="CT189" s="154"/>
      <c r="CU189" s="154"/>
      <c r="CV189" s="154"/>
      <c r="CW189" s="458"/>
      <c r="CX189" s="661"/>
      <c r="CY189" s="154"/>
      <c r="CZ189" s="154"/>
      <c r="DA189" s="471"/>
    </row>
    <row r="190" spans="1:105">
      <c r="A190" s="154" t="s">
        <v>311</v>
      </c>
      <c r="B190" s="154"/>
      <c r="C190" s="154"/>
      <c r="D190" s="154"/>
      <c r="E190" s="154"/>
      <c r="F190" s="154"/>
      <c r="G190" s="154"/>
      <c r="H190" s="154"/>
      <c r="I190" s="154"/>
      <c r="J190" s="154"/>
      <c r="K190" s="154"/>
      <c r="L190" s="154"/>
      <c r="M190" s="154"/>
      <c r="N190" s="154"/>
      <c r="O190" s="451"/>
      <c r="P190" s="451"/>
      <c r="Q190" s="451"/>
      <c r="R190" s="451"/>
      <c r="S190" s="451"/>
      <c r="T190" s="451"/>
      <c r="U190" s="451"/>
      <c r="V190" s="451"/>
      <c r="W190" s="451"/>
      <c r="X190" s="444">
        <v>-114.85899999999999</v>
      </c>
      <c r="Y190" s="451"/>
      <c r="Z190" s="451"/>
      <c r="AA190" s="451"/>
      <c r="AB190" s="444">
        <v>-116.494</v>
      </c>
      <c r="AC190" s="451"/>
      <c r="AD190" s="451"/>
      <c r="AE190" s="451"/>
      <c r="AF190" s="451"/>
      <c r="AG190" s="451"/>
      <c r="AH190" s="451"/>
      <c r="AI190" s="451"/>
      <c r="AJ190" s="451"/>
      <c r="AK190" s="447"/>
      <c r="AL190" s="447"/>
      <c r="AM190" s="453"/>
      <c r="AN190" s="154"/>
      <c r="AO190" s="154"/>
      <c r="AT190" s="451"/>
      <c r="BR190" s="154"/>
      <c r="BS190" s="154"/>
      <c r="BT190" s="154"/>
      <c r="BU190" s="154"/>
      <c r="BV190" s="154"/>
      <c r="BW190" s="154"/>
      <c r="BX190" s="154"/>
      <c r="BY190" s="154"/>
      <c r="BZ190" s="154"/>
      <c r="CA190" s="154"/>
      <c r="CB190" s="154"/>
      <c r="CC190" s="154"/>
      <c r="CD190" s="154"/>
      <c r="CE190" s="451"/>
      <c r="CF190" s="451"/>
      <c r="CG190" s="154"/>
      <c r="CH190" s="154"/>
      <c r="CI190" s="154"/>
      <c r="CJ190" s="154"/>
      <c r="CK190" s="453"/>
      <c r="CL190" s="451"/>
      <c r="CM190" s="154"/>
      <c r="CN190" s="154"/>
      <c r="CO190" s="154"/>
      <c r="CP190" s="154"/>
      <c r="CQ190" s="451"/>
      <c r="CR190" s="154"/>
      <c r="CS190" s="154"/>
      <c r="CT190" s="154"/>
      <c r="CU190" s="154"/>
      <c r="CV190" s="154"/>
      <c r="CW190" s="451"/>
      <c r="CX190" s="453"/>
      <c r="CY190" s="154"/>
      <c r="CZ190" s="154"/>
      <c r="DA190" s="447"/>
    </row>
    <row r="191" spans="1:105">
      <c r="A191" s="154" t="s">
        <v>9</v>
      </c>
      <c r="B191" s="154"/>
      <c r="C191" s="154"/>
      <c r="D191" s="154"/>
      <c r="E191" s="154"/>
      <c r="F191" s="154"/>
      <c r="G191" s="154"/>
      <c r="H191" s="154"/>
      <c r="I191" s="154"/>
      <c r="J191" s="154"/>
      <c r="K191" s="154"/>
      <c r="L191" s="154"/>
      <c r="M191" s="154"/>
      <c r="N191" s="154"/>
      <c r="O191" s="451"/>
      <c r="P191" s="451"/>
      <c r="Q191" s="451"/>
      <c r="R191" s="451"/>
      <c r="S191" s="451"/>
      <c r="T191" s="451"/>
      <c r="U191" s="451"/>
      <c r="V191" s="451"/>
      <c r="W191" s="451"/>
      <c r="X191" s="451">
        <f>X189-X190</f>
        <v>211.37799999999999</v>
      </c>
      <c r="Y191" s="451"/>
      <c r="Z191" s="451"/>
      <c r="AA191" s="451"/>
      <c r="AB191" s="451">
        <f>AB189-AB190</f>
        <v>283.09100000000001</v>
      </c>
      <c r="AC191" s="451"/>
      <c r="AD191" s="451"/>
      <c r="AE191" s="451"/>
      <c r="AF191" s="451"/>
      <c r="AG191" s="451"/>
      <c r="AH191" s="451"/>
      <c r="AI191" s="451"/>
      <c r="AJ191" s="451"/>
      <c r="AK191" s="447"/>
      <c r="AL191" s="447"/>
      <c r="AM191" s="453"/>
      <c r="AN191" s="154"/>
      <c r="AO191" s="154"/>
      <c r="AT191" s="451"/>
      <c r="BR191" s="154"/>
      <c r="BS191" s="154"/>
      <c r="BT191" s="154"/>
      <c r="BU191" s="154"/>
      <c r="BV191" s="154"/>
      <c r="BW191" s="154"/>
      <c r="BX191" s="154"/>
      <c r="BY191" s="154"/>
      <c r="BZ191" s="154"/>
      <c r="CA191" s="154"/>
      <c r="CB191" s="154"/>
      <c r="CC191" s="154"/>
      <c r="CD191" s="154"/>
      <c r="CE191" s="451"/>
      <c r="CF191" s="451"/>
      <c r="CG191" s="154"/>
      <c r="CH191" s="154"/>
      <c r="CI191" s="154"/>
      <c r="CJ191" s="154"/>
      <c r="CK191" s="453"/>
      <c r="CL191" s="451"/>
      <c r="CM191" s="154"/>
      <c r="CN191" s="154"/>
      <c r="CO191" s="154"/>
      <c r="CP191" s="154"/>
      <c r="CQ191" s="451"/>
      <c r="CR191" s="154"/>
      <c r="CS191" s="154"/>
      <c r="CT191" s="154"/>
      <c r="CU191" s="154"/>
      <c r="CV191" s="154"/>
      <c r="CW191" s="451"/>
      <c r="CX191" s="453"/>
      <c r="CY191" s="154"/>
      <c r="CZ191" s="154"/>
      <c r="DA191" s="447"/>
    </row>
    <row r="192" spans="1:105">
      <c r="A192" s="154" t="s">
        <v>899</v>
      </c>
      <c r="B192" s="154"/>
      <c r="C192" s="154"/>
      <c r="D192" s="154"/>
      <c r="E192" s="154"/>
      <c r="F192" s="154"/>
      <c r="G192" s="154"/>
      <c r="H192" s="154"/>
      <c r="I192" s="154"/>
      <c r="J192" s="154"/>
      <c r="K192" s="154"/>
      <c r="L192" s="154"/>
      <c r="M192" s="154"/>
      <c r="N192" s="154"/>
      <c r="O192" s="451"/>
      <c r="P192" s="451"/>
      <c r="Q192" s="451"/>
      <c r="R192" s="451"/>
      <c r="S192" s="451"/>
      <c r="T192" s="451"/>
      <c r="U192" s="451"/>
      <c r="V192" s="451"/>
      <c r="W192" s="451"/>
      <c r="X192" s="451">
        <f>X193-X191</f>
        <v>5.4220000000000255</v>
      </c>
      <c r="Y192" s="451"/>
      <c r="Z192" s="451"/>
      <c r="AA192" s="451"/>
      <c r="AB192" s="451">
        <f>AB193-AB191</f>
        <v>-18.959000000000003</v>
      </c>
      <c r="AC192" s="451"/>
      <c r="AD192" s="451"/>
      <c r="AE192" s="451"/>
      <c r="AF192" s="451"/>
      <c r="AG192" s="451"/>
      <c r="AH192" s="451"/>
      <c r="AI192" s="451"/>
      <c r="AJ192" s="451"/>
      <c r="AK192" s="447"/>
      <c r="AL192" s="447"/>
      <c r="AM192" s="453"/>
      <c r="AN192" s="154"/>
      <c r="AO192" s="154"/>
      <c r="AT192" s="451"/>
      <c r="BR192" s="154"/>
      <c r="BS192" s="154"/>
      <c r="BT192" s="154"/>
      <c r="BU192" s="154"/>
      <c r="BV192" s="154"/>
      <c r="BW192" s="154"/>
      <c r="BX192" s="154"/>
      <c r="BY192" s="154"/>
      <c r="BZ192" s="154"/>
      <c r="CA192" s="154"/>
      <c r="CB192" s="154"/>
      <c r="CC192" s="154"/>
      <c r="CD192" s="154"/>
      <c r="CE192" s="451"/>
      <c r="CF192" s="451"/>
      <c r="CG192" s="154"/>
      <c r="CH192" s="154"/>
      <c r="CI192" s="154"/>
      <c r="CJ192" s="154"/>
      <c r="CK192" s="453"/>
      <c r="CL192" s="451"/>
      <c r="CM192" s="154"/>
      <c r="CN192" s="154"/>
      <c r="CO192" s="154"/>
      <c r="CP192" s="154"/>
      <c r="CQ192" s="451"/>
      <c r="CR192" s="154"/>
      <c r="CS192" s="154"/>
      <c r="CT192" s="154"/>
      <c r="CU192" s="154"/>
      <c r="CV192" s="154"/>
      <c r="CW192" s="451"/>
      <c r="CX192" s="453"/>
      <c r="CY192" s="154"/>
      <c r="CZ192" s="154"/>
      <c r="DA192" s="447"/>
    </row>
    <row r="193" spans="1:105">
      <c r="A193" s="160" t="s">
        <v>898</v>
      </c>
      <c r="B193" s="160"/>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457">
        <v>216.8</v>
      </c>
      <c r="Y193" s="160"/>
      <c r="Z193" s="160"/>
      <c r="AA193" s="160"/>
      <c r="AB193" s="457">
        <v>264.13200000000001</v>
      </c>
      <c r="AC193" s="154"/>
      <c r="AD193" s="154"/>
      <c r="AE193" s="154"/>
      <c r="AF193" s="154"/>
      <c r="AG193" s="154"/>
      <c r="AH193" s="154"/>
      <c r="AI193" s="154"/>
      <c r="AJ193" s="154"/>
      <c r="AK193" s="1092"/>
      <c r="AL193" s="1092"/>
      <c r="AM193" s="453"/>
      <c r="AN193" s="154"/>
      <c r="AO193" s="154"/>
      <c r="AT193" s="154"/>
      <c r="BR193" s="154"/>
      <c r="BS193" s="154"/>
      <c r="BT193" s="154"/>
      <c r="BU193" s="154"/>
      <c r="BV193" s="154"/>
      <c r="BW193" s="154"/>
      <c r="BX193" s="154"/>
      <c r="BY193" s="154"/>
      <c r="BZ193" s="154"/>
      <c r="CA193" s="154"/>
      <c r="CB193" s="154"/>
      <c r="CC193" s="154"/>
      <c r="CD193" s="154"/>
      <c r="CE193" s="154"/>
      <c r="CF193" s="154"/>
      <c r="CG193" s="154"/>
      <c r="CH193" s="154"/>
      <c r="CI193" s="154"/>
      <c r="CJ193" s="154"/>
      <c r="CK193" s="453"/>
      <c r="CL193" s="154"/>
      <c r="CM193" s="154"/>
      <c r="CN193" s="154"/>
      <c r="CO193" s="154"/>
      <c r="CP193" s="154"/>
      <c r="CQ193" s="154"/>
      <c r="CR193" s="154"/>
      <c r="CS193" s="154"/>
      <c r="CT193" s="154"/>
      <c r="CU193" s="154"/>
      <c r="CV193" s="154"/>
      <c r="CW193" s="154"/>
      <c r="CX193" s="453"/>
      <c r="CY193" s="154"/>
      <c r="CZ193" s="154"/>
      <c r="DA193" s="1092"/>
    </row>
    <row r="194" spans="1:105">
      <c r="A194" s="154"/>
      <c r="B194" s="154"/>
      <c r="C194" s="154"/>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c r="AA194" s="154"/>
      <c r="AB194" s="154"/>
      <c r="AC194" s="154"/>
      <c r="AD194" s="154"/>
      <c r="AE194" s="154"/>
      <c r="AF194" s="154"/>
      <c r="AG194" s="154"/>
      <c r="AH194" s="154"/>
      <c r="AI194" s="154"/>
      <c r="AJ194" s="154"/>
      <c r="AK194" s="1092"/>
      <c r="AL194" s="1092"/>
      <c r="AM194" s="453"/>
      <c r="AN194" s="154"/>
      <c r="AO194" s="154"/>
      <c r="AT194" s="154"/>
      <c r="BR194" s="154"/>
      <c r="BS194" s="154"/>
      <c r="BT194" s="154"/>
      <c r="BU194" s="154"/>
      <c r="BV194" s="154"/>
      <c r="BW194" s="154"/>
      <c r="BX194" s="154"/>
      <c r="BY194" s="154"/>
      <c r="BZ194" s="154"/>
      <c r="CA194" s="154"/>
      <c r="CB194" s="154"/>
      <c r="CC194" s="154"/>
      <c r="CD194" s="154"/>
      <c r="CE194" s="154"/>
      <c r="CF194" s="154"/>
      <c r="CG194" s="154"/>
      <c r="CH194" s="154"/>
      <c r="CI194" s="154"/>
      <c r="CJ194" s="154"/>
      <c r="CK194" s="453"/>
      <c r="CL194" s="154"/>
      <c r="CM194" s="154"/>
      <c r="CN194" s="154"/>
      <c r="CO194" s="154"/>
      <c r="CP194" s="154"/>
      <c r="CQ194" s="154"/>
      <c r="CR194" s="154"/>
      <c r="CS194" s="154"/>
      <c r="CT194" s="154"/>
      <c r="CU194" s="154"/>
      <c r="CV194" s="154"/>
      <c r="CW194" s="154"/>
      <c r="CX194" s="453"/>
      <c r="CY194" s="154"/>
      <c r="CZ194" s="154"/>
      <c r="DA194" s="1092"/>
    </row>
    <row r="195" spans="1:105">
      <c r="A195" s="154"/>
      <c r="B195" s="154"/>
      <c r="C195" s="154"/>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c r="AA195" s="154"/>
      <c r="AB195" s="154"/>
      <c r="AC195" s="154"/>
      <c r="AD195" s="154"/>
      <c r="AE195" s="154"/>
      <c r="AF195" s="154"/>
      <c r="AG195" s="154"/>
      <c r="AH195" s="154"/>
      <c r="AI195" s="154"/>
      <c r="AJ195" s="154"/>
      <c r="AK195" s="1092"/>
      <c r="AL195" s="1092"/>
      <c r="AM195" s="453"/>
      <c r="AN195" s="154"/>
      <c r="AO195" s="154"/>
      <c r="AT195" s="154"/>
      <c r="BR195" s="154"/>
      <c r="BS195" s="154"/>
      <c r="BT195" s="154"/>
      <c r="BU195" s="154"/>
      <c r="BV195" s="154"/>
      <c r="BW195" s="154"/>
      <c r="BX195" s="154"/>
      <c r="BY195" s="154"/>
      <c r="BZ195" s="154"/>
      <c r="CA195" s="154"/>
      <c r="CB195" s="154"/>
      <c r="CC195" s="154"/>
      <c r="CD195" s="154"/>
      <c r="CE195" s="154"/>
      <c r="CF195" s="154"/>
      <c r="CG195" s="154"/>
      <c r="CH195" s="154"/>
      <c r="CI195" s="154"/>
      <c r="CJ195" s="154"/>
      <c r="CK195" s="453"/>
      <c r="CL195" s="154"/>
      <c r="CM195" s="154"/>
      <c r="CN195" s="154"/>
      <c r="CO195" s="154"/>
      <c r="CP195" s="154"/>
      <c r="CQ195" s="154"/>
      <c r="CR195" s="154"/>
      <c r="CS195" s="154"/>
      <c r="CT195" s="154"/>
      <c r="CU195" s="154"/>
      <c r="CV195" s="154"/>
      <c r="CW195" s="154"/>
      <c r="CX195" s="453"/>
      <c r="CY195" s="154"/>
      <c r="CZ195" s="154"/>
      <c r="DA195" s="1092"/>
    </row>
    <row r="196" spans="1:105">
      <c r="A196" s="154"/>
      <c r="B196" s="154"/>
      <c r="C196" s="154"/>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c r="AA196" s="154"/>
      <c r="AB196" s="154"/>
      <c r="AC196" s="154"/>
      <c r="AD196" s="154"/>
      <c r="AE196" s="154"/>
      <c r="AF196" s="154"/>
      <c r="AG196" s="154"/>
      <c r="AH196" s="154"/>
      <c r="AI196" s="154"/>
      <c r="AJ196" s="154"/>
      <c r="AK196" s="1092"/>
      <c r="AL196" s="1092"/>
      <c r="AM196" s="453"/>
      <c r="AN196" s="154"/>
      <c r="AO196" s="154"/>
      <c r="AT196" s="154"/>
      <c r="BR196" s="154"/>
      <c r="BS196" s="154"/>
      <c r="BT196" s="154"/>
      <c r="BU196" s="154"/>
      <c r="BV196" s="154"/>
      <c r="BW196" s="154"/>
      <c r="BX196" s="154"/>
      <c r="BY196" s="154"/>
      <c r="BZ196" s="154"/>
      <c r="CA196" s="154"/>
      <c r="CB196" s="154"/>
      <c r="CC196" s="154"/>
      <c r="CD196" s="154"/>
      <c r="CE196" s="154"/>
      <c r="CF196" s="154"/>
      <c r="CG196" s="154"/>
      <c r="CH196" s="154"/>
      <c r="CI196" s="154"/>
      <c r="CJ196" s="154"/>
      <c r="CK196" s="453"/>
      <c r="CL196" s="154"/>
      <c r="CM196" s="154"/>
      <c r="CN196" s="154"/>
      <c r="CO196" s="154"/>
      <c r="CP196" s="154"/>
      <c r="CQ196" s="154"/>
      <c r="CR196" s="154"/>
      <c r="CS196" s="154"/>
      <c r="CT196" s="154"/>
      <c r="CU196" s="154"/>
      <c r="CV196" s="154"/>
      <c r="CW196" s="154"/>
      <c r="CX196" s="453"/>
      <c r="CY196" s="154"/>
      <c r="CZ196" s="154"/>
      <c r="DA196" s="1092"/>
    </row>
    <row r="197" spans="1:105">
      <c r="A197" s="443" t="s">
        <v>907</v>
      </c>
      <c r="B197" s="154"/>
      <c r="C197" s="154"/>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4"/>
      <c r="Z197" s="154"/>
      <c r="AA197" s="154"/>
      <c r="AB197" s="154"/>
      <c r="AC197" s="154"/>
      <c r="AD197" s="154"/>
      <c r="AE197" s="154"/>
      <c r="AF197" s="154"/>
      <c r="AG197" s="154"/>
      <c r="AH197" s="154"/>
      <c r="AI197" s="154"/>
      <c r="AJ197" s="154"/>
      <c r="AK197" s="1092"/>
      <c r="AL197" s="1092"/>
      <c r="AM197" s="453"/>
      <c r="AN197" s="154"/>
      <c r="AO197" s="154"/>
      <c r="AT197" s="154"/>
      <c r="BR197" s="154"/>
      <c r="BS197" s="154"/>
      <c r="BT197" s="154"/>
      <c r="BU197" s="154"/>
      <c r="BV197" s="154"/>
      <c r="BW197" s="154"/>
      <c r="BX197" s="154"/>
      <c r="BY197" s="154"/>
      <c r="BZ197" s="154"/>
      <c r="CA197" s="154"/>
      <c r="CB197" s="154"/>
      <c r="CC197" s="154"/>
      <c r="CD197" s="154"/>
      <c r="CE197" s="154"/>
      <c r="CF197" s="154"/>
      <c r="CG197" s="154"/>
      <c r="CH197" s="154"/>
      <c r="CI197" s="154"/>
      <c r="CJ197" s="154"/>
      <c r="CK197" s="453"/>
      <c r="CL197" s="154"/>
      <c r="CM197" s="154"/>
      <c r="CN197" s="154"/>
      <c r="CO197" s="154"/>
      <c r="CP197" s="154"/>
      <c r="CQ197" s="154"/>
      <c r="CR197" s="154"/>
      <c r="CS197" s="154"/>
      <c r="CT197" s="154"/>
      <c r="CU197" s="154"/>
      <c r="CV197" s="154"/>
      <c r="CW197" s="154"/>
      <c r="CX197" s="453"/>
      <c r="CY197" s="154"/>
      <c r="CZ197" s="154"/>
      <c r="DA197" s="1092"/>
    </row>
    <row r="198" spans="1:105" hidden="1" outlineLevel="1">
      <c r="A198" s="160" t="s">
        <v>794</v>
      </c>
      <c r="B198" s="154"/>
      <c r="C198" s="154"/>
      <c r="D198" s="154"/>
      <c r="E198" s="154"/>
      <c r="F198" s="154"/>
      <c r="G198" s="154"/>
      <c r="H198" s="154"/>
      <c r="I198" s="154"/>
      <c r="J198" s="154"/>
      <c r="K198" s="154"/>
      <c r="L198" s="154"/>
      <c r="M198" s="154"/>
      <c r="N198" s="154"/>
      <c r="O198" s="154"/>
      <c r="P198" s="154"/>
      <c r="Q198" s="154"/>
      <c r="R198" s="154"/>
      <c r="S198" s="154"/>
      <c r="T198" s="154"/>
      <c r="U198" s="154"/>
      <c r="V198" s="154"/>
      <c r="W198" s="154"/>
      <c r="X198" s="457">
        <v>88</v>
      </c>
      <c r="Y198" s="457">
        <v>90</v>
      </c>
      <c r="Z198" s="457">
        <v>99</v>
      </c>
      <c r="AA198" s="457">
        <v>149.69999999999999</v>
      </c>
      <c r="AB198" s="457">
        <v>91.1</v>
      </c>
      <c r="AC198" s="458"/>
      <c r="AD198" s="458"/>
      <c r="AE198" s="458"/>
      <c r="AF198" s="458"/>
      <c r="AG198" s="458"/>
      <c r="AH198" s="458"/>
      <c r="AI198" s="458"/>
      <c r="AJ198" s="458"/>
      <c r="AK198" s="471"/>
      <c r="AL198" s="471"/>
      <c r="AM198" s="459"/>
      <c r="AN198" s="154"/>
      <c r="AO198" s="466"/>
      <c r="AT198" s="458"/>
      <c r="BR198" s="466"/>
      <c r="BS198" s="466"/>
      <c r="BT198" s="466"/>
      <c r="BU198" s="466"/>
      <c r="BV198" s="466"/>
      <c r="BW198" s="466"/>
      <c r="BX198" s="466"/>
      <c r="BY198" s="466"/>
      <c r="BZ198" s="154"/>
      <c r="CA198" s="154"/>
      <c r="CB198" s="154"/>
      <c r="CC198" s="154"/>
      <c r="CD198" s="154"/>
      <c r="CE198" s="471">
        <v>74.200000000000017</v>
      </c>
      <c r="CF198" s="458"/>
      <c r="CG198" s="446"/>
      <c r="CH198" s="451"/>
      <c r="CI198" s="446"/>
      <c r="CJ198" s="154"/>
      <c r="CK198" s="459">
        <v>395</v>
      </c>
      <c r="CL198" s="471"/>
      <c r="CM198" s="466"/>
      <c r="CN198" s="466"/>
      <c r="CO198" s="466"/>
      <c r="CP198" s="466"/>
      <c r="CQ198" s="458"/>
      <c r="CR198" s="466"/>
      <c r="CS198" s="466"/>
      <c r="CT198" s="466"/>
      <c r="CU198" s="466"/>
      <c r="CV198" s="466"/>
      <c r="CW198" s="458"/>
      <c r="CX198" s="459"/>
      <c r="CY198" s="466"/>
      <c r="CZ198" s="466"/>
      <c r="DA198" s="471"/>
    </row>
    <row r="199" spans="1:105" hidden="1" outlineLevel="1">
      <c r="A199" s="154" t="s">
        <v>11</v>
      </c>
      <c r="B199" s="154"/>
      <c r="C199" s="154"/>
      <c r="D199" s="154"/>
      <c r="E199" s="154"/>
      <c r="F199" s="154"/>
      <c r="G199" s="154"/>
      <c r="H199" s="154"/>
      <c r="I199" s="154"/>
      <c r="J199" s="154"/>
      <c r="K199" s="154"/>
      <c r="L199" s="154"/>
      <c r="M199" s="154"/>
      <c r="N199" s="154"/>
      <c r="O199" s="154"/>
      <c r="P199" s="154"/>
      <c r="Q199" s="154"/>
      <c r="R199" s="154"/>
      <c r="S199" s="154"/>
      <c r="T199" s="154"/>
      <c r="U199" s="154"/>
      <c r="V199" s="154"/>
      <c r="W199" s="154"/>
      <c r="X199" s="165">
        <f>X198/X99</f>
        <v>0.18803418803418803</v>
      </c>
      <c r="Y199" s="165">
        <f>Y198/Y99</f>
        <v>0.17274472168905949</v>
      </c>
      <c r="Z199" s="165">
        <f>Z198/Z99</f>
        <v>0.18821292775665399</v>
      </c>
      <c r="AA199" s="165">
        <f>AA198/AA99</f>
        <v>0.24825870646766168</v>
      </c>
      <c r="AB199" s="165">
        <f>AB198/AB99</f>
        <v>0.1667887220798242</v>
      </c>
      <c r="AC199" s="165"/>
      <c r="AD199" s="165"/>
      <c r="AE199" s="165"/>
      <c r="AF199" s="165"/>
      <c r="AG199" s="165"/>
      <c r="AH199" s="165"/>
      <c r="AI199" s="165"/>
      <c r="AJ199" s="165"/>
      <c r="AK199" s="1091"/>
      <c r="AL199" s="1091"/>
      <c r="AM199" s="410"/>
      <c r="AN199" s="154"/>
      <c r="AO199" s="154"/>
      <c r="AT199" s="165"/>
      <c r="BR199" s="154"/>
      <c r="BS199" s="154"/>
      <c r="BT199" s="154"/>
      <c r="BU199" s="154"/>
      <c r="BV199" s="154"/>
      <c r="BW199" s="154"/>
      <c r="BX199" s="154"/>
      <c r="BY199" s="154"/>
      <c r="BZ199" s="154"/>
      <c r="CA199" s="154"/>
      <c r="CB199" s="154"/>
      <c r="CC199" s="154"/>
      <c r="CD199" s="154"/>
      <c r="CE199" s="165">
        <v>0.15735261962796765</v>
      </c>
      <c r="CF199" s="165"/>
      <c r="CG199" s="154"/>
      <c r="CH199" s="154"/>
      <c r="CI199" s="154"/>
      <c r="CJ199" s="154"/>
      <c r="CK199" s="154"/>
      <c r="CL199" s="165"/>
      <c r="CM199" s="154"/>
      <c r="CN199" s="154"/>
      <c r="CO199" s="154"/>
      <c r="CP199" s="154"/>
      <c r="CQ199" s="165"/>
      <c r="CR199" s="154"/>
      <c r="CS199" s="154"/>
      <c r="CT199" s="154"/>
      <c r="CU199" s="154"/>
      <c r="CV199" s="154"/>
      <c r="CW199" s="165"/>
      <c r="CX199" s="410"/>
      <c r="CY199" s="154"/>
      <c r="CZ199" s="154"/>
      <c r="DA199" s="1091"/>
    </row>
    <row r="200" spans="1:105" collapsed="1">
      <c r="A200" s="160" t="s">
        <v>907</v>
      </c>
      <c r="B200" s="154"/>
      <c r="C200" s="154"/>
      <c r="D200" s="154"/>
      <c r="E200" s="154"/>
      <c r="F200" s="154"/>
      <c r="G200" s="154"/>
      <c r="H200" s="154"/>
      <c r="I200" s="154"/>
      <c r="J200" s="154"/>
      <c r="K200" s="154"/>
      <c r="L200" s="154"/>
      <c r="M200" s="154"/>
      <c r="N200" s="154"/>
      <c r="O200" s="154"/>
      <c r="P200" s="154"/>
      <c r="Q200" s="154"/>
      <c r="R200" s="154"/>
      <c r="S200" s="154"/>
      <c r="T200" s="154"/>
      <c r="U200" s="154"/>
      <c r="V200" s="154"/>
      <c r="W200" s="154"/>
      <c r="X200" s="457"/>
      <c r="Y200" s="457">
        <v>90</v>
      </c>
      <c r="Z200" s="457">
        <v>97</v>
      </c>
      <c r="AA200" s="457">
        <v>155</v>
      </c>
      <c r="AB200" s="457">
        <v>74</v>
      </c>
      <c r="AC200" s="457">
        <v>86</v>
      </c>
      <c r="AD200" s="457">
        <v>118</v>
      </c>
      <c r="AE200" s="457">
        <v>43</v>
      </c>
      <c r="AF200" s="457">
        <v>67</v>
      </c>
      <c r="AG200" s="457">
        <v>87</v>
      </c>
      <c r="AH200" s="457">
        <v>107</v>
      </c>
      <c r="AI200" s="457">
        <v>149.9</v>
      </c>
      <c r="AJ200" s="457">
        <v>54</v>
      </c>
      <c r="AK200" s="471">
        <v>50</v>
      </c>
      <c r="AL200" s="471">
        <f>AM200-AI200-AJ200-AK200</f>
        <v>146.50542278029806</v>
      </c>
      <c r="AM200" s="459">
        <f>Consolidation!K128</f>
        <v>400.40542278029807</v>
      </c>
      <c r="AN200" s="154"/>
      <c r="AO200" s="444">
        <f>4*AI200</f>
        <v>599.6</v>
      </c>
      <c r="AP200" t="str">
        <f>Consolidation!K130</f>
        <v>390-410</v>
      </c>
      <c r="AT200" s="458"/>
      <c r="AV200" s="1114">
        <f>AJ200/DA200-1</f>
        <v>8.0000000000000071E-2</v>
      </c>
      <c r="AW200">
        <v>43.4</v>
      </c>
      <c r="AX200" s="1114">
        <f>AJ200/AW200-1</f>
        <v>0.24423963133640547</v>
      </c>
      <c r="BR200" s="154"/>
      <c r="BS200" s="154"/>
      <c r="BT200" s="154"/>
      <c r="BU200" s="154"/>
      <c r="BV200" s="154"/>
      <c r="BW200" s="154"/>
      <c r="BX200" s="154"/>
      <c r="BY200" s="154"/>
      <c r="BZ200" s="154"/>
      <c r="CA200" s="154"/>
      <c r="CB200" s="154"/>
      <c r="CC200" s="154"/>
      <c r="CD200" s="154"/>
      <c r="CE200" s="471">
        <v>67</v>
      </c>
      <c r="CF200" s="154"/>
      <c r="CG200" s="154"/>
      <c r="CH200" s="154"/>
      <c r="CI200" s="154"/>
      <c r="CJ200" s="154"/>
      <c r="CK200" s="459">
        <v>395</v>
      </c>
      <c r="CL200" s="471"/>
      <c r="CM200" s="154"/>
      <c r="CN200" s="154"/>
      <c r="CO200" s="154"/>
      <c r="CP200" s="154"/>
      <c r="CQ200" s="458"/>
      <c r="CR200" s="154"/>
      <c r="CS200" s="154"/>
      <c r="CT200" s="154"/>
      <c r="CU200" s="154"/>
      <c r="CV200" s="154"/>
      <c r="CW200" s="458"/>
      <c r="CX200" s="459"/>
      <c r="CY200" s="154"/>
      <c r="CZ200" s="154"/>
      <c r="DA200" s="471">
        <v>50</v>
      </c>
    </row>
    <row r="201" spans="1:105">
      <c r="A201" s="154" t="s">
        <v>633</v>
      </c>
      <c r="B201" s="154"/>
      <c r="C201" s="154"/>
      <c r="D201" s="154"/>
      <c r="E201" s="154"/>
      <c r="F201" s="154"/>
      <c r="G201" s="154"/>
      <c r="H201" s="154"/>
      <c r="I201" s="154"/>
      <c r="J201" s="154"/>
      <c r="K201" s="154"/>
      <c r="L201" s="154"/>
      <c r="M201" s="154"/>
      <c r="N201" s="154"/>
      <c r="O201" s="157"/>
      <c r="P201" s="157"/>
      <c r="Q201" s="157"/>
      <c r="R201" s="157"/>
      <c r="S201" s="157"/>
      <c r="T201" s="157"/>
      <c r="U201" s="157"/>
      <c r="V201" s="157"/>
      <c r="W201" s="157"/>
      <c r="X201" s="157"/>
      <c r="Y201" s="157"/>
      <c r="Z201" s="157"/>
      <c r="AA201" s="157"/>
      <c r="AB201" s="157"/>
      <c r="AC201" s="157">
        <f>AC200/Y200-1</f>
        <v>-4.4444444444444398E-2</v>
      </c>
      <c r="AD201" s="157">
        <f t="shared" ref="AD201:AH201" si="198">AD200/Z200-1</f>
        <v>0.21649484536082464</v>
      </c>
      <c r="AE201" s="157">
        <f t="shared" si="198"/>
        <v>-0.72258064516129039</v>
      </c>
      <c r="AF201" s="157">
        <f t="shared" si="198"/>
        <v>-9.4594594594594628E-2</v>
      </c>
      <c r="AG201" s="157">
        <f t="shared" si="198"/>
        <v>1.1627906976744207E-2</v>
      </c>
      <c r="AH201" s="157">
        <f t="shared" si="198"/>
        <v>-9.3220338983050821E-2</v>
      </c>
      <c r="AI201" s="652">
        <f>AI200/AE200-1</f>
        <v>2.4860465116279071</v>
      </c>
      <c r="AJ201" s="652">
        <f>AJ200/AF200-1</f>
        <v>-0.19402985074626866</v>
      </c>
      <c r="AK201" s="776">
        <f>AK200/AG200-1</f>
        <v>-0.42528735632183912</v>
      </c>
      <c r="AL201" s="776">
        <f>AL200/AH200-1</f>
        <v>0.36920955869437444</v>
      </c>
      <c r="AM201" s="459"/>
      <c r="AN201" s="154"/>
      <c r="AO201" s="154"/>
      <c r="AT201" s="458"/>
      <c r="BR201" s="154"/>
      <c r="BS201" s="154"/>
      <c r="BT201" s="154"/>
      <c r="BU201" s="154"/>
      <c r="BV201" s="154"/>
      <c r="BW201" s="154"/>
      <c r="BX201" s="154"/>
      <c r="BY201" s="154"/>
      <c r="BZ201" s="154"/>
      <c r="CA201" s="154"/>
      <c r="CB201" s="154"/>
      <c r="CC201" s="154"/>
      <c r="CD201" s="154"/>
      <c r="CE201" s="471"/>
      <c r="CF201" s="154"/>
      <c r="CG201" s="154"/>
      <c r="CH201" s="154"/>
      <c r="CI201" s="154"/>
      <c r="CJ201" s="154"/>
      <c r="CK201" s="459"/>
      <c r="CL201" s="471"/>
      <c r="CM201" s="154"/>
      <c r="CN201" s="154"/>
      <c r="CO201" s="154"/>
      <c r="CP201" s="154"/>
      <c r="CQ201" s="458"/>
      <c r="CR201" s="154"/>
      <c r="CS201" s="154"/>
      <c r="CT201" s="154"/>
      <c r="CU201" s="154"/>
      <c r="CV201" s="154"/>
      <c r="CW201" s="458"/>
      <c r="CX201" s="459"/>
      <c r="CY201" s="154"/>
      <c r="CZ201" s="154"/>
      <c r="DA201" s="776">
        <v>-0.25373134328358204</v>
      </c>
    </row>
    <row r="202" spans="1:105">
      <c r="A202" s="154" t="s">
        <v>11</v>
      </c>
      <c r="B202" s="154"/>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65"/>
      <c r="Y202" s="165">
        <f t="shared" ref="Y202:AH202" si="199">Y200/Y99</f>
        <v>0.17274472168905949</v>
      </c>
      <c r="Z202" s="165">
        <f t="shared" si="199"/>
        <v>0.18441064638783269</v>
      </c>
      <c r="AA202" s="165">
        <f t="shared" si="199"/>
        <v>0.25704809286898839</v>
      </c>
      <c r="AB202" s="165">
        <f t="shared" si="199"/>
        <v>0.13548150860490663</v>
      </c>
      <c r="AC202" s="165">
        <f t="shared" si="199"/>
        <v>0.18414510634379891</v>
      </c>
      <c r="AD202" s="165">
        <f t="shared" si="199"/>
        <v>0.23146331894860731</v>
      </c>
      <c r="AE202" s="165">
        <f t="shared" si="199"/>
        <v>0.10287081339712918</v>
      </c>
      <c r="AF202" s="165">
        <f t="shared" si="199"/>
        <v>0.15402298850574714</v>
      </c>
      <c r="AG202" s="165">
        <f t="shared" si="199"/>
        <v>0.20700386883092781</v>
      </c>
      <c r="AH202" s="165">
        <f t="shared" si="199"/>
        <v>0.24440383736866148</v>
      </c>
      <c r="AI202" s="1105">
        <f>AI200/AI99</f>
        <v>0.34099181073703366</v>
      </c>
      <c r="AJ202" s="1105">
        <f>AJ200/AJ99</f>
        <v>0.12471131639722864</v>
      </c>
      <c r="AK202" s="779">
        <f t="shared" ref="AK202:AL202" si="200">AK200/AK99</f>
        <v>0.11494252873563218</v>
      </c>
      <c r="AL202" s="779">
        <f t="shared" si="200"/>
        <v>0.3510139821971196</v>
      </c>
      <c r="AM202" s="410"/>
      <c r="AN202" s="154"/>
      <c r="AO202" s="154"/>
      <c r="AT202" s="165"/>
      <c r="BR202" s="154"/>
      <c r="BS202" s="154"/>
      <c r="BT202" s="154"/>
      <c r="BU202" s="154"/>
      <c r="BV202" s="154"/>
      <c r="BW202" s="154"/>
      <c r="BX202" s="154"/>
      <c r="BY202" s="154"/>
      <c r="BZ202" s="154"/>
      <c r="CA202" s="154"/>
      <c r="CB202" s="154"/>
      <c r="CC202" s="154"/>
      <c r="CD202" s="154"/>
      <c r="CE202" s="165">
        <v>0.14208390182040201</v>
      </c>
      <c r="CF202" s="154"/>
      <c r="CG202" s="154"/>
      <c r="CH202" s="154"/>
      <c r="CI202" s="154"/>
      <c r="CJ202" s="154"/>
      <c r="CK202" s="154"/>
      <c r="CL202" s="165"/>
      <c r="CM202" s="154"/>
      <c r="CN202" s="154"/>
      <c r="CO202" s="154"/>
      <c r="CP202" s="154"/>
      <c r="CQ202" s="165"/>
      <c r="CR202" s="154"/>
      <c r="CS202" s="154"/>
      <c r="CT202" s="154"/>
      <c r="CU202" s="154"/>
      <c r="CV202" s="154"/>
      <c r="CW202" s="165"/>
      <c r="CX202" s="410"/>
      <c r="CY202" s="154"/>
      <c r="CZ202" s="154"/>
      <c r="DA202" s="779">
        <v>0.11792452830188679</v>
      </c>
    </row>
    <row r="203" spans="1:105">
      <c r="A203" s="154"/>
      <c r="B203" s="154"/>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c r="AA203" s="154"/>
      <c r="AB203" s="154"/>
      <c r="AC203" s="154"/>
      <c r="AD203" s="154"/>
      <c r="AE203" s="154"/>
      <c r="AF203" s="154"/>
      <c r="AG203" s="154"/>
      <c r="AH203" s="154"/>
      <c r="AI203" s="154"/>
      <c r="AJ203" s="154"/>
      <c r="AK203" s="767"/>
      <c r="AL203" s="767"/>
      <c r="AM203" s="410"/>
      <c r="AN203" s="154"/>
      <c r="AO203" s="154"/>
      <c r="AT203" s="154"/>
      <c r="BR203" s="154"/>
      <c r="BS203" s="154"/>
      <c r="BT203" s="154"/>
      <c r="BU203" s="154"/>
      <c r="BV203" s="154"/>
      <c r="BW203" s="154"/>
      <c r="BX203" s="154"/>
      <c r="BY203" s="154"/>
      <c r="BZ203" s="154"/>
      <c r="CA203" s="154"/>
      <c r="CB203" s="154"/>
      <c r="CC203" s="154"/>
      <c r="CD203" s="154"/>
      <c r="CE203" s="154"/>
      <c r="CF203" s="154"/>
      <c r="CG203" s="154"/>
      <c r="CH203" s="154"/>
      <c r="CI203" s="154"/>
      <c r="CJ203" s="154"/>
      <c r="CK203" s="154"/>
      <c r="CL203" s="154"/>
      <c r="CM203" s="154"/>
      <c r="CN203" s="154"/>
      <c r="CO203" s="154"/>
      <c r="CP203" s="154"/>
      <c r="CQ203" s="154"/>
      <c r="CR203" s="154"/>
      <c r="CS203" s="154"/>
      <c r="CT203" s="154"/>
      <c r="CU203" s="154"/>
      <c r="CV203" s="154"/>
      <c r="CW203" s="154"/>
      <c r="CX203" s="410"/>
      <c r="CY203" s="154"/>
      <c r="CZ203" s="154"/>
      <c r="DA203" s="767"/>
    </row>
    <row r="204" spans="1:105">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c r="AA204" s="154"/>
      <c r="AB204" s="154"/>
      <c r="AC204" s="154"/>
      <c r="AD204" s="154"/>
      <c r="AE204" s="154"/>
      <c r="AF204" s="154"/>
      <c r="AG204" s="154"/>
      <c r="AH204" s="154"/>
      <c r="AI204" s="154"/>
      <c r="AJ204" s="154"/>
      <c r="AK204" s="767"/>
      <c r="AL204" s="767"/>
      <c r="AM204" s="410"/>
      <c r="AN204" s="154"/>
      <c r="AO204" s="154"/>
      <c r="AT204" s="154"/>
      <c r="BR204" s="154"/>
      <c r="BS204" s="154"/>
      <c r="BT204" s="154"/>
      <c r="BU204" s="154"/>
      <c r="BV204" s="154"/>
      <c r="BW204" s="154"/>
      <c r="BX204" s="154"/>
      <c r="BY204" s="154"/>
      <c r="BZ204" s="154"/>
      <c r="CA204" s="154"/>
      <c r="CB204" s="154"/>
      <c r="CC204" s="154"/>
      <c r="CD204" s="154"/>
      <c r="CE204" s="154"/>
      <c r="CF204" s="154"/>
      <c r="CG204" s="154"/>
      <c r="CH204" s="154"/>
      <c r="CI204" s="154"/>
      <c r="CJ204" s="154"/>
      <c r="CK204" s="154"/>
      <c r="CL204" s="154"/>
      <c r="CM204" s="154"/>
      <c r="CN204" s="154"/>
      <c r="CO204" s="154"/>
      <c r="CP204" s="154"/>
      <c r="CQ204" s="154"/>
      <c r="CR204" s="154"/>
      <c r="CS204" s="154"/>
      <c r="CT204" s="154"/>
      <c r="CU204" s="154"/>
      <c r="CV204" s="154"/>
      <c r="CW204" s="154"/>
      <c r="CX204" s="410"/>
      <c r="CY204" s="154"/>
      <c r="CZ204" s="154"/>
      <c r="DA204" s="767"/>
    </row>
    <row r="205" spans="1:105">
      <c r="A205" s="154"/>
      <c r="B205" s="154"/>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c r="AA205" s="154"/>
      <c r="AB205" s="154"/>
      <c r="AC205" s="154"/>
      <c r="AD205" s="154"/>
      <c r="AE205" s="154"/>
      <c r="AF205" s="154"/>
      <c r="AG205" s="154"/>
      <c r="AH205" s="154"/>
      <c r="AI205" s="154"/>
      <c r="AJ205" s="154"/>
      <c r="AK205" s="767"/>
      <c r="AL205" s="767"/>
      <c r="AM205" s="410"/>
      <c r="AN205" s="154"/>
      <c r="AO205" s="154"/>
      <c r="AT205" s="154"/>
      <c r="BR205" s="154"/>
      <c r="BS205" s="154"/>
      <c r="BT205" s="154"/>
      <c r="BU205" s="154"/>
      <c r="BV205" s="154"/>
      <c r="BW205" s="154"/>
      <c r="BX205" s="154"/>
      <c r="BY205" s="154"/>
      <c r="BZ205" s="154"/>
      <c r="CA205" s="154"/>
      <c r="CB205" s="154"/>
      <c r="CC205" s="154"/>
      <c r="CD205" s="154"/>
      <c r="CE205" s="154"/>
      <c r="CF205" s="154"/>
      <c r="CG205" s="154"/>
      <c r="CH205" s="154"/>
      <c r="CI205" s="154"/>
      <c r="CJ205" s="154"/>
      <c r="CK205" s="154"/>
      <c r="CL205" s="154"/>
      <c r="CM205" s="154"/>
      <c r="CN205" s="154"/>
      <c r="CO205" s="154"/>
      <c r="CP205" s="154"/>
      <c r="CQ205" s="154"/>
      <c r="CR205" s="154"/>
      <c r="CS205" s="154"/>
      <c r="CT205" s="154"/>
      <c r="CU205" s="154"/>
      <c r="CV205" s="154"/>
      <c r="CW205" s="154"/>
      <c r="CX205" s="410"/>
      <c r="CY205" s="154"/>
      <c r="CZ205" s="154"/>
      <c r="DA205" s="767"/>
    </row>
    <row r="206" spans="1:105">
      <c r="A206" s="443" t="s">
        <v>94</v>
      </c>
      <c r="B206" s="154"/>
      <c r="C206" s="154"/>
      <c r="D206" s="154"/>
      <c r="E206" s="154"/>
      <c r="F206" s="154"/>
      <c r="G206" s="154"/>
      <c r="H206" s="154"/>
      <c r="I206" s="154"/>
      <c r="J206" s="154"/>
      <c r="K206" s="154"/>
      <c r="L206" s="154"/>
      <c r="M206" s="154"/>
      <c r="N206" s="154"/>
      <c r="O206" s="457"/>
      <c r="P206" s="457"/>
      <c r="Q206" s="457">
        <v>1900</v>
      </c>
      <c r="R206" s="457">
        <v>1933</v>
      </c>
      <c r="S206" s="457">
        <v>1933</v>
      </c>
      <c r="T206" s="457">
        <v>2061</v>
      </c>
      <c r="U206" s="457">
        <v>2022</v>
      </c>
      <c r="V206" s="457">
        <v>2069</v>
      </c>
      <c r="W206" s="457">
        <v>2552</v>
      </c>
      <c r="X206" s="457">
        <v>3175</v>
      </c>
      <c r="Y206" s="457">
        <v>3234</v>
      </c>
      <c r="Z206" s="457">
        <v>3435</v>
      </c>
      <c r="AA206" s="457">
        <v>3544</v>
      </c>
      <c r="AB206" s="457">
        <v>3625</v>
      </c>
      <c r="AC206" s="457">
        <v>3711</v>
      </c>
      <c r="AD206" s="457">
        <v>3819</v>
      </c>
      <c r="AE206" s="457">
        <v>3717</v>
      </c>
      <c r="AF206" s="457">
        <v>3717</v>
      </c>
      <c r="AG206" s="457">
        <v>3741</v>
      </c>
      <c r="AH206" s="457">
        <v>3323</v>
      </c>
      <c r="AI206" s="457">
        <v>3328</v>
      </c>
      <c r="AJ206" s="457">
        <v>3321</v>
      </c>
      <c r="AK206" s="471">
        <v>3000</v>
      </c>
      <c r="AL206" s="471">
        <f>AM206</f>
        <v>3070.0781725287679</v>
      </c>
      <c r="AM206" s="459">
        <f>Master!L121</f>
        <v>3070.0781725287679</v>
      </c>
      <c r="AN206" s="154"/>
      <c r="AO206" s="154"/>
      <c r="AT206" s="458"/>
      <c r="AV206" s="1114">
        <f>AJ206/DA206-1</f>
        <v>7.129032258064516E-2</v>
      </c>
      <c r="AX206" s="1114" t="e">
        <f>AJ206/AW206-1</f>
        <v>#DIV/0!</v>
      </c>
      <c r="BR206" s="154"/>
      <c r="BS206" s="154"/>
      <c r="BT206" s="154"/>
      <c r="BU206" s="154"/>
      <c r="BV206" s="154"/>
      <c r="BW206" s="154"/>
      <c r="BX206" s="154"/>
      <c r="BY206" s="154"/>
      <c r="BZ206" s="154"/>
      <c r="CA206" s="154"/>
      <c r="CB206" s="154"/>
      <c r="CC206" s="154"/>
      <c r="CD206" s="154"/>
      <c r="CE206" s="471">
        <v>3553.3826744772796</v>
      </c>
      <c r="CF206" s="154"/>
      <c r="CG206" s="154"/>
      <c r="CH206" s="154"/>
      <c r="CI206" s="154"/>
      <c r="CJ206" s="154"/>
      <c r="CK206" s="459">
        <f>Master!J121</f>
        <v>3819.0180000000005</v>
      </c>
      <c r="CL206" s="457"/>
      <c r="CM206" s="154"/>
      <c r="CN206" s="154"/>
      <c r="CO206" s="154"/>
      <c r="CP206" s="154"/>
      <c r="CQ206" s="457"/>
      <c r="CR206" s="154"/>
      <c r="CS206" s="154"/>
      <c r="CT206" s="154"/>
      <c r="CU206" s="154"/>
      <c r="CV206" s="154"/>
      <c r="CW206" s="458">
        <v>3714.5394195290264</v>
      </c>
      <c r="CX206" s="459">
        <f>Master!K121</f>
        <v>3322.5370000000003</v>
      </c>
      <c r="CY206" s="154"/>
      <c r="CZ206" s="154"/>
      <c r="DA206" s="471">
        <v>3100</v>
      </c>
    </row>
    <row r="207" spans="1:105">
      <c r="A207" s="154" t="s">
        <v>910</v>
      </c>
      <c r="B207" s="154"/>
      <c r="C207" s="154"/>
      <c r="D207" s="154"/>
      <c r="E207" s="154"/>
      <c r="F207" s="154"/>
      <c r="G207" s="154"/>
      <c r="H207" s="154"/>
      <c r="I207" s="154"/>
      <c r="J207" s="154"/>
      <c r="K207" s="154"/>
      <c r="L207" s="154"/>
      <c r="M207" s="154"/>
      <c r="N207" s="154"/>
      <c r="O207" s="154"/>
      <c r="P207" s="154"/>
      <c r="Q207" s="154"/>
      <c r="R207" s="626">
        <f t="shared" ref="R207:AF207" si="201">R206/SUM(O128:R128)</f>
        <v>2.3601953601953602</v>
      </c>
      <c r="S207" s="626">
        <f t="shared" si="201"/>
        <v>2.2794811320754715</v>
      </c>
      <c r="T207" s="626">
        <f t="shared" si="201"/>
        <v>2.2066381156316917</v>
      </c>
      <c r="U207" s="626">
        <f t="shared" si="201"/>
        <v>2.1859459459459458</v>
      </c>
      <c r="V207" s="626">
        <f t="shared" si="201"/>
        <v>2.2319309600863</v>
      </c>
      <c r="W207" s="626">
        <f t="shared" si="201"/>
        <v>2.6669453443411015</v>
      </c>
      <c r="X207" s="626">
        <f t="shared" si="201"/>
        <v>3.4477141926376373</v>
      </c>
      <c r="Y207" s="626">
        <f t="shared" si="201"/>
        <v>3.3159027991387267</v>
      </c>
      <c r="Z207" s="626">
        <f t="shared" si="201"/>
        <v>3.3307476001163581</v>
      </c>
      <c r="AA207" s="626">
        <f t="shared" si="201"/>
        <v>3.1603352951667554</v>
      </c>
      <c r="AB207" s="626">
        <f t="shared" si="201"/>
        <v>3.0562347188264063</v>
      </c>
      <c r="AC207" s="626">
        <f t="shared" si="201"/>
        <v>3.2275122151466076</v>
      </c>
      <c r="AD207" s="626">
        <f t="shared" si="201"/>
        <v>3.3179785960406671</v>
      </c>
      <c r="AE207" s="626">
        <f t="shared" si="201"/>
        <v>3.7132792941472648</v>
      </c>
      <c r="AF207" s="626">
        <f t="shared" si="201"/>
        <v>3.9196374150850679</v>
      </c>
      <c r="AG207" s="626">
        <f t="shared" ref="AG207" si="202">AG206/SUM(AD128:AG128)</f>
        <v>3.912463722644913</v>
      </c>
      <c r="AH207" s="626">
        <f t="shared" ref="AH207" si="203">AH206/SUM(AE128:AH128)</f>
        <v>3.5793725595799111</v>
      </c>
      <c r="AI207" s="626">
        <f>AI206/SUM(AF128:AI128)</f>
        <v>3.3414493335676094</v>
      </c>
      <c r="AJ207" s="626">
        <f>AJ206/SUM(AG128:AJ128)</f>
        <v>3.3444950779224047</v>
      </c>
      <c r="AK207" s="1106">
        <f>AK206/SUM(AH128:AK128)</f>
        <v>3</v>
      </c>
      <c r="AL207" s="1106">
        <f>AL206/SUM(AI128:AL128)</f>
        <v>3.0742022240562159</v>
      </c>
      <c r="AM207" s="835"/>
      <c r="AN207" s="154"/>
      <c r="AO207" s="154"/>
      <c r="AT207" s="626"/>
      <c r="BR207" s="154"/>
      <c r="BS207" s="154"/>
      <c r="BT207" s="154"/>
      <c r="BU207" s="154"/>
      <c r="BV207" s="154"/>
      <c r="BW207" s="154"/>
      <c r="BX207" s="154"/>
      <c r="BY207" s="154"/>
      <c r="BZ207" s="154"/>
      <c r="CA207" s="154"/>
      <c r="CB207" s="154"/>
      <c r="CC207" s="154"/>
      <c r="CD207" s="154"/>
      <c r="CE207" s="626">
        <v>3.1651881003125575</v>
      </c>
      <c r="CF207" s="154"/>
      <c r="CG207" s="154"/>
      <c r="CH207" s="154"/>
      <c r="CI207" s="154"/>
      <c r="CJ207" s="154"/>
      <c r="CK207" s="626"/>
      <c r="CL207" s="626"/>
      <c r="CM207" s="154"/>
      <c r="CN207" s="154"/>
      <c r="CO207" s="154"/>
      <c r="CP207" s="154"/>
      <c r="CQ207" s="626"/>
      <c r="CR207" s="154"/>
      <c r="CS207" s="154"/>
      <c r="CT207" s="154"/>
      <c r="CU207" s="154"/>
      <c r="CV207" s="154"/>
      <c r="CW207" s="626">
        <v>4.041525528112591</v>
      </c>
      <c r="CX207" s="835"/>
      <c r="CY207" s="154"/>
      <c r="CZ207" s="154"/>
      <c r="DA207" s="1106">
        <v>3.1409103574052026</v>
      </c>
    </row>
    <row r="208" spans="1:105">
      <c r="A208" s="154" t="s">
        <v>909</v>
      </c>
      <c r="B208" s="154"/>
      <c r="C208" s="154"/>
      <c r="D208" s="154"/>
      <c r="E208" s="154"/>
      <c r="F208" s="154"/>
      <c r="G208" s="154"/>
      <c r="H208" s="154"/>
      <c r="I208" s="154"/>
      <c r="J208" s="154"/>
      <c r="K208" s="154"/>
      <c r="L208" s="154"/>
      <c r="M208" s="154"/>
      <c r="N208" s="154"/>
      <c r="O208" s="626"/>
      <c r="P208" s="626"/>
      <c r="Q208" s="626">
        <f t="shared" ref="Q208:Y208" si="204">Q206/(4*Q128)</f>
        <v>2.0742358078602621</v>
      </c>
      <c r="R208" s="626">
        <f t="shared" si="204"/>
        <v>2.2476744186046513</v>
      </c>
      <c r="S208" s="626">
        <f t="shared" si="204"/>
        <v>2.2476744186046513</v>
      </c>
      <c r="T208" s="626">
        <f t="shared" si="204"/>
        <v>1.8736363636363635</v>
      </c>
      <c r="U208" s="626">
        <f t="shared" si="204"/>
        <v>2.2977272727272728</v>
      </c>
      <c r="V208" s="626">
        <f t="shared" si="204"/>
        <v>2.3836405529953919</v>
      </c>
      <c r="W208" s="626">
        <f t="shared" si="204"/>
        <v>2.6051449571253573</v>
      </c>
      <c r="X208" s="626">
        <f t="shared" si="204"/>
        <v>3.3211297071129708</v>
      </c>
      <c r="Y208" s="626">
        <f t="shared" si="204"/>
        <v>2.9464285714285716</v>
      </c>
      <c r="Z208" s="626">
        <f t="shared" ref="Z208:AE208" si="205">Z206/(4*Z128)</f>
        <v>3.1456043956043955</v>
      </c>
      <c r="AA208" s="626">
        <f t="shared" si="205"/>
        <v>2.6447761194029851</v>
      </c>
      <c r="AB208" s="626">
        <f t="shared" si="205"/>
        <v>2.9840302930523546</v>
      </c>
      <c r="AC208" s="626">
        <f t="shared" si="205"/>
        <v>3.8964393411227118</v>
      </c>
      <c r="AD208" s="626">
        <f t="shared" si="205"/>
        <v>3.4819474835886215</v>
      </c>
      <c r="AE208" s="626">
        <f t="shared" si="205"/>
        <v>5.0229729729729726</v>
      </c>
      <c r="AF208" s="626">
        <f t="shared" ref="AF208:AH208" si="206">AF206/(4*AF128)</f>
        <v>3.702191235059761</v>
      </c>
      <c r="AG208" s="626">
        <f t="shared" si="206"/>
        <v>3.8022156723244231</v>
      </c>
      <c r="AH208" s="626">
        <f t="shared" si="206"/>
        <v>3.3715503246753245</v>
      </c>
      <c r="AI208" s="626">
        <f>AI206/(4*AI128)</f>
        <v>3.2937450514647666</v>
      </c>
      <c r="AJ208" s="626">
        <f>AJ206/(4*AJ128)</f>
        <v>3.347782258064516</v>
      </c>
      <c r="AK208" s="1106">
        <f t="shared" ref="AK208:AL208" si="207">AK206/(4*AK128)</f>
        <v>2.9644268774703559</v>
      </c>
      <c r="AL208" s="1106">
        <f t="shared" si="207"/>
        <v>3.1319850262276838</v>
      </c>
      <c r="AM208" s="835"/>
      <c r="AN208" s="154"/>
      <c r="AO208" s="154"/>
      <c r="AT208" s="626"/>
      <c r="BR208" s="154"/>
      <c r="BS208" s="154"/>
      <c r="BT208" s="154"/>
      <c r="BU208" s="154"/>
      <c r="BV208" s="154"/>
      <c r="BW208" s="154"/>
      <c r="BX208" s="154"/>
      <c r="BY208" s="154"/>
      <c r="BZ208" s="154"/>
      <c r="CA208" s="154"/>
      <c r="CB208" s="154"/>
      <c r="CC208" s="154"/>
      <c r="CD208" s="154"/>
      <c r="CE208" s="626">
        <v>3.5259504254680745</v>
      </c>
      <c r="CF208" s="154"/>
      <c r="CG208" s="154"/>
      <c r="CH208" s="154"/>
      <c r="CI208" s="154"/>
      <c r="CJ208" s="154"/>
      <c r="CK208" s="626"/>
      <c r="CL208" s="626"/>
      <c r="CM208" s="154"/>
      <c r="CN208" s="154"/>
      <c r="CO208" s="154"/>
      <c r="CP208" s="154"/>
      <c r="CQ208" s="626"/>
      <c r="CR208" s="154"/>
      <c r="CS208" s="154"/>
      <c r="CT208" s="154"/>
      <c r="CU208" s="154"/>
      <c r="CV208" s="154"/>
      <c r="CW208" s="626">
        <v>3.9163340912197047</v>
      </c>
      <c r="CX208" s="835"/>
      <c r="CY208" s="154"/>
      <c r="CZ208" s="154"/>
      <c r="DA208" s="1106">
        <v>3.2024793388429753</v>
      </c>
    </row>
    <row r="209" spans="1:105">
      <c r="AK209" s="781"/>
      <c r="AL209" s="781"/>
      <c r="AM209" s="836"/>
      <c r="CX209" s="836"/>
      <c r="DA209" s="781"/>
    </row>
    <row r="210" spans="1:105">
      <c r="A210" s="154" t="s">
        <v>1086</v>
      </c>
      <c r="B210" s="154"/>
      <c r="C210" s="154"/>
      <c r="D210" s="154"/>
      <c r="E210" s="154"/>
      <c r="F210" s="154"/>
      <c r="G210" s="154"/>
      <c r="H210" s="154"/>
      <c r="I210" s="154"/>
      <c r="J210" s="154"/>
      <c r="K210" s="154"/>
      <c r="L210" s="154"/>
      <c r="M210" s="154"/>
      <c r="N210" s="154"/>
      <c r="O210" s="154"/>
      <c r="P210" s="154"/>
      <c r="Q210" s="154"/>
      <c r="R210" s="949">
        <f>28.246+286.501</f>
        <v>314.74699999999996</v>
      </c>
      <c r="S210" s="949">
        <f>293.271+27.154</f>
        <v>320.42500000000001</v>
      </c>
      <c r="T210" s="949">
        <f>28.379+353.19</f>
        <v>381.56900000000002</v>
      </c>
      <c r="U210" s="949">
        <f>349.694+27.364</f>
        <v>377.05799999999999</v>
      </c>
      <c r="V210" s="949">
        <f>50.56+325.541</f>
        <v>376.101</v>
      </c>
      <c r="W210" s="949">
        <f>54.806+358.221</f>
        <v>413.02699999999999</v>
      </c>
      <c r="X210" s="949">
        <f>81.824+409.047</f>
        <v>490.87100000000004</v>
      </c>
      <c r="Y210" s="949">
        <f>74.563+403.339</f>
        <v>477.90199999999999</v>
      </c>
      <c r="Z210" s="949">
        <f>517.289+87.24</f>
        <v>604.529</v>
      </c>
      <c r="AA210" s="622">
        <f>88.469+513.534</f>
        <v>602.00299999999993</v>
      </c>
      <c r="AB210" s="949">
        <f>88.321+504.118</f>
        <v>592.43899999999996</v>
      </c>
      <c r="AC210" s="949">
        <f>507.008+86.898</f>
        <v>593.90599999999995</v>
      </c>
      <c r="AD210" s="949">
        <f>510.838+91.156</f>
        <v>601.99400000000003</v>
      </c>
      <c r="AE210" s="949">
        <f>492.475+89.203</f>
        <v>581.678</v>
      </c>
      <c r="AF210" s="949">
        <f>492.698+90.06</f>
        <v>582.75800000000004</v>
      </c>
      <c r="AG210" s="949">
        <f>513.484+93.699</f>
        <v>607.18299999999999</v>
      </c>
      <c r="AH210" s="949">
        <f>470.476+82.068</f>
        <v>552.54399999999998</v>
      </c>
      <c r="AI210" s="949">
        <f>490.8+84</f>
        <v>574.79999999999995</v>
      </c>
      <c r="AJ210" s="949">
        <f>502.3+92.5</f>
        <v>594.79999999999995</v>
      </c>
      <c r="AK210" s="1107"/>
      <c r="AL210" s="1107"/>
      <c r="AM210" s="410"/>
      <c r="AN210" s="154"/>
      <c r="AO210" s="154"/>
      <c r="AT210" s="154"/>
      <c r="BR210" s="154"/>
      <c r="BS210" s="154"/>
      <c r="BT210" s="154"/>
      <c r="BU210" s="154"/>
      <c r="BV210" s="154"/>
      <c r="BW210" s="154"/>
      <c r="BX210" s="154"/>
      <c r="BY210" s="154"/>
      <c r="BZ210" s="154"/>
      <c r="CA210" s="154"/>
      <c r="CB210" s="154"/>
      <c r="CC210" s="154"/>
      <c r="CD210" s="154"/>
      <c r="CE210" s="154"/>
      <c r="CF210" s="154"/>
      <c r="CG210" s="154"/>
      <c r="CH210" s="154"/>
      <c r="CI210" s="154"/>
      <c r="CJ210" s="154"/>
      <c r="CK210" s="154"/>
      <c r="CL210" s="154"/>
      <c r="CM210" s="154"/>
      <c r="CN210" s="154"/>
      <c r="CO210" s="154"/>
      <c r="CP210" s="154"/>
      <c r="CQ210" s="154"/>
      <c r="CR210" s="154"/>
      <c r="CS210" s="154"/>
      <c r="CT210" s="154"/>
      <c r="CU210" s="154"/>
      <c r="CV210" s="154"/>
      <c r="CW210" s="154"/>
      <c r="CX210" s="410"/>
      <c r="CY210" s="154"/>
      <c r="CZ210" s="154"/>
      <c r="DA210" s="1107"/>
    </row>
    <row r="211" spans="1:105">
      <c r="A211" s="154"/>
      <c r="B211" s="154"/>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c r="AA211" s="154"/>
      <c r="AB211" s="154"/>
      <c r="AC211" s="154"/>
      <c r="AD211" s="154"/>
      <c r="AE211" s="154"/>
      <c r="AF211" s="154"/>
      <c r="AG211" s="154"/>
      <c r="AH211" s="154"/>
      <c r="AI211" s="154"/>
      <c r="AJ211" s="154"/>
      <c r="AK211" s="1092"/>
      <c r="AL211" s="1092"/>
      <c r="AM211" s="410"/>
      <c r="AN211" s="154"/>
      <c r="AO211" s="154"/>
      <c r="AT211" s="154"/>
      <c r="BR211" s="154"/>
      <c r="BS211" s="154"/>
      <c r="BT211" s="154"/>
      <c r="BU211" s="154"/>
      <c r="BV211" s="154"/>
      <c r="BW211" s="154"/>
      <c r="BX211" s="154"/>
      <c r="BY211" s="154"/>
      <c r="BZ211" s="154"/>
      <c r="CA211" s="154"/>
      <c r="CB211" s="154"/>
      <c r="CC211" s="154"/>
      <c r="CD211" s="154"/>
      <c r="CE211" s="154"/>
      <c r="CF211" s="154"/>
      <c r="CG211" s="154"/>
      <c r="CH211" s="154"/>
      <c r="CI211" s="154"/>
      <c r="CJ211" s="154"/>
      <c r="CK211" s="154"/>
      <c r="CL211" s="154"/>
      <c r="CM211" s="154"/>
      <c r="CN211" s="154"/>
      <c r="CO211" s="154"/>
      <c r="CP211" s="154"/>
      <c r="CQ211" s="154"/>
      <c r="CR211" s="154"/>
      <c r="CS211" s="154"/>
      <c r="CT211" s="154"/>
      <c r="CU211" s="154"/>
      <c r="CV211" s="154"/>
      <c r="CW211" s="154"/>
      <c r="CX211" s="410"/>
      <c r="CY211" s="154"/>
      <c r="CZ211" s="154"/>
      <c r="DA211" s="1092"/>
    </row>
    <row r="212" spans="1:105">
      <c r="A212" s="15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c r="AA212" s="154"/>
      <c r="AB212" s="154"/>
      <c r="AC212" s="154"/>
      <c r="AD212" s="154"/>
      <c r="AE212" s="154"/>
      <c r="AF212" s="154"/>
      <c r="AG212" s="154"/>
      <c r="AH212" s="154"/>
      <c r="AI212" s="154"/>
      <c r="AJ212" s="154"/>
      <c r="AK212" s="1092"/>
      <c r="AL212" s="1092"/>
      <c r="AM212" s="410"/>
      <c r="AN212" s="154"/>
      <c r="AO212" s="154"/>
      <c r="AT212" s="154"/>
      <c r="BR212" s="154"/>
      <c r="BS212" s="154"/>
      <c r="BT212" s="154"/>
      <c r="BU212" s="154"/>
      <c r="BV212" s="154"/>
      <c r="BW212" s="154"/>
      <c r="BX212" s="154"/>
      <c r="BY212" s="154"/>
      <c r="BZ212" s="154"/>
      <c r="CA212" s="154"/>
      <c r="CB212" s="154"/>
      <c r="CC212" s="154"/>
      <c r="CD212" s="154"/>
      <c r="CE212" s="154"/>
      <c r="CF212" s="154"/>
      <c r="CG212" s="154"/>
      <c r="CH212" s="154"/>
      <c r="CI212" s="154"/>
      <c r="CJ212" s="154"/>
      <c r="CK212" s="154"/>
      <c r="CL212" s="154"/>
      <c r="CM212" s="154"/>
      <c r="CN212" s="154"/>
      <c r="CO212" s="154"/>
      <c r="CP212" s="154"/>
      <c r="CQ212" s="154"/>
      <c r="CR212" s="154"/>
      <c r="CS212" s="154"/>
      <c r="CT212" s="154"/>
      <c r="CU212" s="154"/>
      <c r="CV212" s="154"/>
      <c r="CW212" s="154"/>
      <c r="CX212" s="410"/>
      <c r="CY212" s="154"/>
      <c r="CZ212" s="154"/>
      <c r="DA212" s="1092"/>
    </row>
    <row r="213" spans="1:105">
      <c r="AK213" s="1081"/>
      <c r="AL213" s="1081"/>
      <c r="AM213" s="410"/>
      <c r="DA213" s="1081"/>
    </row>
    <row r="214" spans="1:105">
      <c r="AK214" s="1081"/>
      <c r="AL214" s="1081"/>
      <c r="AM214" s="410"/>
      <c r="DA214" s="1081"/>
    </row>
    <row r="215" spans="1:105">
      <c r="A215" s="154"/>
      <c r="B215" s="154"/>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c r="AA215" s="154"/>
      <c r="AB215" s="154"/>
      <c r="AC215" s="154"/>
      <c r="AD215" s="154"/>
      <c r="AE215" s="154"/>
      <c r="AF215" s="154"/>
      <c r="AG215" s="154"/>
      <c r="AH215" s="154"/>
      <c r="AI215" s="154"/>
      <c r="AJ215" s="154"/>
      <c r="AK215" s="1092"/>
      <c r="AL215" s="1092"/>
      <c r="AM215" s="410"/>
      <c r="AN215" s="154"/>
      <c r="AO215" s="154"/>
      <c r="AT215" s="154"/>
      <c r="BR215" s="154"/>
      <c r="BS215" s="154"/>
      <c r="BT215" s="154"/>
      <c r="BU215" s="154"/>
      <c r="BV215" s="154"/>
      <c r="BW215" s="154"/>
      <c r="BX215" s="154"/>
      <c r="BY215" s="154"/>
      <c r="BZ215" s="154"/>
      <c r="CA215" s="154"/>
      <c r="CB215" s="154"/>
      <c r="CC215" s="154"/>
      <c r="CD215" s="154"/>
      <c r="CE215" s="154"/>
      <c r="CF215" s="154"/>
      <c r="CG215" s="154"/>
      <c r="CH215" s="154"/>
      <c r="CI215" s="154"/>
      <c r="CJ215" s="154"/>
      <c r="CK215" s="154"/>
      <c r="CL215" s="154"/>
      <c r="CM215" s="154"/>
      <c r="CN215" s="154"/>
      <c r="CO215" s="154"/>
      <c r="CP215" s="154"/>
      <c r="CQ215" s="154"/>
      <c r="CR215" s="154"/>
      <c r="CS215" s="154"/>
      <c r="CT215" s="154"/>
      <c r="CU215" s="154"/>
      <c r="CV215" s="154"/>
      <c r="CW215" s="154"/>
      <c r="CX215" s="154"/>
      <c r="CY215" s="154"/>
      <c r="CZ215" s="154"/>
      <c r="DA215" s="1092"/>
    </row>
    <row r="216" spans="1:105">
      <c r="A216" s="154"/>
      <c r="B216" s="154"/>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c r="AA216" s="154"/>
      <c r="AB216" s="154"/>
      <c r="AC216" s="154"/>
      <c r="AD216" s="154"/>
      <c r="AE216" s="154"/>
      <c r="AF216" s="154"/>
      <c r="AG216" s="154"/>
      <c r="AH216" s="154"/>
      <c r="AI216" s="154"/>
      <c r="AJ216" s="154"/>
      <c r="AK216" s="1092"/>
      <c r="AL216" s="1092"/>
      <c r="AM216" s="410"/>
      <c r="AN216" s="154"/>
      <c r="AO216" s="154"/>
      <c r="AT216" s="154"/>
      <c r="BR216" s="154"/>
      <c r="BS216" s="154"/>
      <c r="BT216" s="154"/>
      <c r="BU216" s="154"/>
      <c r="BV216" s="154"/>
      <c r="BW216" s="154"/>
      <c r="BX216" s="154"/>
      <c r="BY216" s="154"/>
      <c r="BZ216" s="154"/>
      <c r="CA216" s="154"/>
      <c r="CB216" s="154"/>
      <c r="CC216" s="154"/>
      <c r="CD216" s="154"/>
      <c r="CE216" s="154"/>
      <c r="CF216" s="154"/>
      <c r="CG216" s="154"/>
      <c r="CH216" s="154"/>
      <c r="CI216" s="154"/>
      <c r="CJ216" s="154"/>
      <c r="CK216" s="154"/>
      <c r="CL216" s="154"/>
      <c r="CM216" s="154"/>
      <c r="CN216" s="154"/>
      <c r="CO216" s="154"/>
      <c r="CP216" s="154"/>
      <c r="CQ216" s="154"/>
      <c r="CR216" s="154"/>
      <c r="CS216" s="154"/>
      <c r="CT216" s="154"/>
      <c r="CU216" s="154"/>
      <c r="CV216" s="154"/>
      <c r="CW216" s="154"/>
      <c r="CX216" s="154"/>
      <c r="CY216" s="154"/>
      <c r="CZ216" s="154"/>
      <c r="DA216" s="1092"/>
    </row>
    <row r="217" spans="1:105">
      <c r="A217" s="154" t="s">
        <v>862</v>
      </c>
      <c r="B217" s="154"/>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c r="AA217" s="154"/>
      <c r="AB217" s="154"/>
      <c r="AC217" s="154"/>
      <c r="AD217" s="154"/>
      <c r="AE217" s="154"/>
      <c r="AF217" s="154"/>
      <c r="AG217" s="154"/>
      <c r="AH217" s="154"/>
      <c r="AI217" s="154"/>
      <c r="AJ217" s="154"/>
      <c r="AK217" s="1092"/>
      <c r="AL217" s="1092"/>
      <c r="AM217" s="410"/>
      <c r="AN217" s="154"/>
      <c r="AO217" s="154"/>
      <c r="AT217" s="154"/>
      <c r="BR217" s="154"/>
      <c r="BS217" s="154"/>
      <c r="BT217" s="154"/>
      <c r="BU217" s="154"/>
      <c r="BV217" s="154"/>
      <c r="BW217" s="154"/>
      <c r="BX217" s="154"/>
      <c r="BY217" s="154"/>
      <c r="BZ217" s="154"/>
      <c r="CA217" s="154"/>
      <c r="CB217" s="154"/>
      <c r="CC217" s="154"/>
      <c r="CD217" s="154"/>
      <c r="CE217" s="154"/>
      <c r="CF217" s="154"/>
      <c r="CG217" s="154"/>
      <c r="CH217" s="154"/>
      <c r="CI217" s="154"/>
      <c r="CJ217" s="154"/>
      <c r="CK217" s="154"/>
      <c r="CL217" s="154"/>
      <c r="CM217" s="154"/>
      <c r="CN217" s="154"/>
      <c r="CO217" s="154"/>
      <c r="CP217" s="154"/>
      <c r="CQ217" s="154"/>
      <c r="CR217" s="154"/>
      <c r="CS217" s="154"/>
      <c r="CT217" s="154"/>
      <c r="CU217" s="154"/>
      <c r="CV217" s="154"/>
      <c r="CW217" s="154"/>
      <c r="CX217" s="154"/>
      <c r="CY217" s="154"/>
      <c r="CZ217" s="154"/>
      <c r="DA217" s="1092"/>
    </row>
    <row r="218" spans="1:105">
      <c r="A218" s="154"/>
      <c r="B218" s="154"/>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67"/>
      <c r="AA218" s="167"/>
      <c r="AB218" s="167"/>
      <c r="AC218" s="167"/>
      <c r="AD218" s="167"/>
      <c r="AE218" s="167"/>
      <c r="AF218" s="167"/>
      <c r="AG218" s="167"/>
      <c r="AH218" s="167"/>
      <c r="AI218" s="167"/>
      <c r="AJ218" s="167"/>
      <c r="AK218" s="1090"/>
      <c r="AL218" s="1090"/>
      <c r="AM218" s="410"/>
      <c r="AN218" s="154"/>
      <c r="AO218" s="154"/>
      <c r="AT218" s="167"/>
      <c r="BR218" s="154"/>
      <c r="BS218" s="154"/>
      <c r="BT218" s="154"/>
      <c r="BU218" s="154"/>
      <c r="BV218" s="154"/>
      <c r="BW218" s="154"/>
      <c r="BX218" s="154"/>
      <c r="BY218" s="154"/>
      <c r="BZ218" s="154"/>
      <c r="CA218" s="154"/>
      <c r="CB218" s="154"/>
      <c r="CC218" s="154"/>
      <c r="CD218" s="154"/>
      <c r="CE218" s="167"/>
      <c r="CF218" s="167"/>
      <c r="CG218" s="154"/>
      <c r="CH218" s="154"/>
      <c r="CI218" s="154"/>
      <c r="CJ218" s="154"/>
      <c r="CK218" s="154"/>
      <c r="CL218" s="167"/>
      <c r="CM218" s="154"/>
      <c r="CN218" s="154"/>
      <c r="CO218" s="154"/>
      <c r="CP218" s="154"/>
      <c r="CQ218" s="167"/>
      <c r="CR218" s="154"/>
      <c r="CS218" s="154"/>
      <c r="CT218" s="154"/>
      <c r="CU218" s="154"/>
      <c r="CV218" s="154"/>
      <c r="CW218" s="167"/>
      <c r="CX218" s="154"/>
      <c r="CY218" s="154"/>
      <c r="CZ218" s="154"/>
      <c r="DA218" s="1090"/>
    </row>
    <row r="219" spans="1:105">
      <c r="A219" s="154"/>
      <c r="B219" s="154"/>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376"/>
      <c r="Z219" s="167"/>
      <c r="AA219" s="167"/>
      <c r="AB219" s="167"/>
      <c r="AC219" s="167"/>
      <c r="AD219" s="167"/>
      <c r="AE219" s="167"/>
      <c r="AF219" s="167"/>
      <c r="AG219" s="167"/>
      <c r="AH219" s="167"/>
      <c r="AI219" s="167"/>
      <c r="AJ219" s="167"/>
      <c r="AK219" s="1090"/>
      <c r="AL219" s="1090"/>
      <c r="AM219" s="410"/>
      <c r="AN219" s="154"/>
      <c r="AO219" s="154"/>
      <c r="AT219" s="167"/>
      <c r="BR219" s="154"/>
      <c r="BS219" s="154"/>
      <c r="BT219" s="154"/>
      <c r="BU219" s="154"/>
      <c r="BV219" s="154"/>
      <c r="BW219" s="154"/>
      <c r="BX219" s="154"/>
      <c r="BY219" s="154"/>
      <c r="BZ219" s="154"/>
      <c r="CA219" s="154"/>
      <c r="CB219" s="154"/>
      <c r="CC219" s="154"/>
      <c r="CD219" s="154"/>
      <c r="CE219" s="167"/>
      <c r="CF219" s="167"/>
      <c r="CG219" s="154"/>
      <c r="CH219" s="154"/>
      <c r="CI219" s="154"/>
      <c r="CJ219" s="154"/>
      <c r="CK219" s="154"/>
      <c r="CL219" s="167"/>
      <c r="CM219" s="154"/>
      <c r="CN219" s="154"/>
      <c r="CO219" s="154"/>
      <c r="CP219" s="154"/>
      <c r="CQ219" s="167"/>
      <c r="CR219" s="154"/>
      <c r="CS219" s="154"/>
      <c r="CT219" s="154"/>
      <c r="CU219" s="154"/>
      <c r="CV219" s="154"/>
      <c r="CW219" s="167"/>
      <c r="CX219" s="154"/>
      <c r="CY219" s="154"/>
      <c r="CZ219" s="154"/>
      <c r="DA219" s="1090"/>
    </row>
    <row r="220" spans="1:105">
      <c r="A220" s="154"/>
      <c r="B220" s="154"/>
      <c r="C220" s="154"/>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4"/>
      <c r="Z220" s="154"/>
      <c r="AA220" s="154"/>
      <c r="AB220" s="154"/>
      <c r="AC220" s="154"/>
      <c r="AD220" s="154"/>
      <c r="AE220" s="154"/>
      <c r="AF220" s="154"/>
      <c r="AG220" s="154"/>
      <c r="AH220" s="154"/>
      <c r="AI220" s="154"/>
      <c r="AJ220" s="154"/>
      <c r="AK220" s="1092"/>
      <c r="AL220" s="1092"/>
      <c r="AM220" s="410"/>
      <c r="AN220" s="154"/>
      <c r="AO220" s="154"/>
      <c r="AT220" s="154"/>
      <c r="BR220" s="154"/>
      <c r="BS220" s="154"/>
      <c r="BT220" s="154"/>
      <c r="BU220" s="154"/>
      <c r="BV220" s="154"/>
      <c r="BW220" s="154"/>
      <c r="BX220" s="154"/>
      <c r="BY220" s="154"/>
      <c r="BZ220" s="154"/>
      <c r="CA220" s="154"/>
      <c r="CB220" s="154"/>
      <c r="CC220" s="154"/>
      <c r="CD220" s="154"/>
      <c r="CE220" s="154"/>
      <c r="CF220" s="154"/>
      <c r="CG220" s="154"/>
      <c r="CH220" s="154"/>
      <c r="CI220" s="154"/>
      <c r="CJ220" s="154"/>
      <c r="CK220" s="154"/>
      <c r="CL220" s="154"/>
      <c r="CM220" s="154"/>
      <c r="CN220" s="154"/>
      <c r="CO220" s="154"/>
      <c r="CP220" s="154"/>
      <c r="CQ220" s="154"/>
      <c r="CR220" s="154"/>
      <c r="CS220" s="154"/>
      <c r="CT220" s="154"/>
      <c r="CU220" s="154"/>
      <c r="CV220" s="154"/>
      <c r="CW220" s="154"/>
      <c r="CX220" s="154"/>
      <c r="CY220" s="154"/>
      <c r="CZ220" s="154"/>
      <c r="DA220" s="1092"/>
    </row>
    <row r="221" spans="1:105">
      <c r="A221" s="154"/>
      <c r="B221" s="154"/>
      <c r="C221" s="154"/>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4"/>
      <c r="Z221" s="154"/>
      <c r="AA221" s="154"/>
      <c r="AB221" s="154"/>
      <c r="AC221" s="154"/>
      <c r="AD221" s="154"/>
      <c r="AE221" s="154"/>
      <c r="AF221" s="154"/>
      <c r="AG221" s="154"/>
      <c r="AH221" s="154"/>
      <c r="AI221" s="154"/>
      <c r="AJ221" s="154"/>
      <c r="AK221" s="1092"/>
      <c r="AL221" s="1092"/>
      <c r="AM221" s="410"/>
      <c r="AN221" s="154"/>
      <c r="AO221" s="154"/>
      <c r="AT221" s="154"/>
      <c r="BR221" s="154"/>
      <c r="BS221" s="154"/>
      <c r="BT221" s="154"/>
      <c r="BU221" s="154"/>
      <c r="BV221" s="154"/>
      <c r="BW221" s="154"/>
      <c r="BX221" s="154"/>
      <c r="BY221" s="154"/>
      <c r="BZ221" s="154"/>
      <c r="CA221" s="154"/>
      <c r="CB221" s="154"/>
      <c r="CC221" s="154"/>
      <c r="CD221" s="154"/>
      <c r="CE221" s="154"/>
      <c r="CF221" s="154"/>
      <c r="CG221" s="154"/>
      <c r="CH221" s="154"/>
      <c r="CI221" s="154"/>
      <c r="CJ221" s="154"/>
      <c r="CK221" s="154"/>
      <c r="CL221" s="154"/>
      <c r="CM221" s="154"/>
      <c r="CN221" s="154"/>
      <c r="CO221" s="154"/>
      <c r="CP221" s="154"/>
      <c r="CQ221" s="154"/>
      <c r="CR221" s="154"/>
      <c r="CS221" s="154"/>
      <c r="CT221" s="154"/>
      <c r="CU221" s="154"/>
      <c r="CV221" s="154"/>
      <c r="CW221" s="154"/>
      <c r="CX221" s="154"/>
      <c r="CY221" s="154"/>
      <c r="CZ221" s="154"/>
      <c r="DA221" s="1092"/>
    </row>
    <row r="222" spans="1:105">
      <c r="A222" s="154"/>
      <c r="B222" s="154"/>
      <c r="C222" s="154"/>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4"/>
      <c r="Z222" s="154"/>
      <c r="AA222" s="154"/>
      <c r="AB222" s="154"/>
      <c r="AC222" s="154"/>
      <c r="AD222" s="154"/>
      <c r="AK222" s="1090"/>
      <c r="AL222" s="1090"/>
      <c r="AM222" s="410"/>
      <c r="AO222" s="154"/>
      <c r="AT222" s="154"/>
      <c r="BR222" s="154"/>
      <c r="BS222" s="154"/>
      <c r="BT222" s="154"/>
      <c r="BU222" s="154"/>
      <c r="BV222" s="154"/>
      <c r="BW222" s="154"/>
      <c r="BX222" s="154"/>
      <c r="BY222" s="154"/>
      <c r="BZ222" s="154"/>
      <c r="CA222" s="154"/>
      <c r="CB222" s="154"/>
      <c r="CC222" s="154"/>
      <c r="CD222" s="154"/>
      <c r="CE222" s="154"/>
      <c r="CF222" s="154"/>
      <c r="CG222" s="154"/>
      <c r="CH222" s="154"/>
      <c r="CI222" s="154"/>
      <c r="CJ222" s="154"/>
      <c r="CK222" s="154"/>
      <c r="CL222" s="154"/>
      <c r="CM222" s="154"/>
      <c r="CN222" s="154"/>
      <c r="CO222" s="154"/>
      <c r="CP222" s="154"/>
      <c r="CQ222" s="154"/>
      <c r="CR222" s="154"/>
      <c r="CS222" s="154"/>
      <c r="CT222" s="154"/>
      <c r="CU222" s="154"/>
      <c r="CV222" s="154"/>
      <c r="CX222" s="167"/>
      <c r="CY222" s="154"/>
      <c r="CZ222" s="154"/>
      <c r="DA222" s="1081"/>
    </row>
    <row r="223" spans="1:105">
      <c r="A223" s="154"/>
      <c r="B223" s="154"/>
      <c r="C223" s="154"/>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4"/>
      <c r="Z223" s="154"/>
      <c r="AA223" s="154"/>
      <c r="AB223" s="154"/>
      <c r="AC223" s="154"/>
      <c r="AD223" s="154"/>
      <c r="AK223" s="1094"/>
      <c r="AL223" s="1094"/>
      <c r="AM223" s="410"/>
      <c r="AO223" s="154"/>
      <c r="AT223" s="154"/>
      <c r="BR223" s="154"/>
      <c r="BS223" s="154"/>
      <c r="BT223" s="154"/>
      <c r="BU223" s="154"/>
      <c r="BV223" s="154"/>
      <c r="BW223" s="154"/>
      <c r="BX223" s="154"/>
      <c r="BY223" s="154"/>
      <c r="BZ223" s="154"/>
      <c r="CA223" s="154"/>
      <c r="CB223" s="154"/>
      <c r="CC223" s="154"/>
      <c r="CD223" s="154"/>
      <c r="CE223" s="154"/>
      <c r="CF223" s="154"/>
      <c r="CG223" s="154"/>
      <c r="CH223" s="154"/>
      <c r="CI223" s="154"/>
      <c r="CJ223" s="154"/>
      <c r="CK223" s="154"/>
      <c r="CL223" s="154"/>
      <c r="CM223" s="154"/>
      <c r="CN223" s="154"/>
      <c r="CO223" s="154"/>
      <c r="CP223" s="154"/>
      <c r="CQ223" s="154"/>
      <c r="CR223" s="154"/>
      <c r="CS223" s="154"/>
      <c r="CT223" s="154"/>
      <c r="CU223" s="154"/>
      <c r="CV223" s="154"/>
      <c r="CW223" s="160"/>
      <c r="CX223" s="951"/>
      <c r="CY223" s="154"/>
      <c r="CZ223" s="154"/>
      <c r="DA223" s="1081"/>
    </row>
    <row r="224" spans="1:105">
      <c r="A224" s="154"/>
      <c r="B224" s="154"/>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c r="AA224" s="154"/>
      <c r="AB224" s="154"/>
      <c r="AC224" s="154"/>
      <c r="AD224" s="154"/>
      <c r="AK224" s="1092"/>
      <c r="AL224" s="1092"/>
      <c r="AM224" s="410"/>
      <c r="AN224" s="154"/>
      <c r="AO224" s="154"/>
      <c r="AT224" s="154"/>
      <c r="BR224" s="154"/>
      <c r="BS224" s="154"/>
      <c r="BT224" s="154"/>
      <c r="BU224" s="154"/>
      <c r="BV224" s="154"/>
      <c r="BW224" s="154"/>
      <c r="BX224" s="154"/>
      <c r="BY224" s="154"/>
      <c r="BZ224" s="154"/>
      <c r="CA224" s="154"/>
      <c r="CB224" s="154"/>
      <c r="CC224" s="154"/>
      <c r="CD224" s="154"/>
      <c r="CE224" s="154"/>
      <c r="CF224" s="154"/>
      <c r="CG224" s="154"/>
      <c r="CH224" s="154"/>
      <c r="CI224" s="154"/>
      <c r="CJ224" s="154"/>
      <c r="CK224" s="154"/>
      <c r="CL224" s="154"/>
      <c r="CM224" s="154"/>
      <c r="CN224" s="154"/>
      <c r="CO224" s="154"/>
      <c r="CP224" s="154"/>
      <c r="CQ224" s="154"/>
      <c r="CR224" s="154"/>
      <c r="CS224" s="154"/>
      <c r="CT224" s="154"/>
      <c r="CU224" s="154"/>
      <c r="CV224" s="154"/>
      <c r="CW224" s="154"/>
      <c r="CX224" s="154"/>
      <c r="CY224" s="154"/>
      <c r="CZ224" s="154"/>
      <c r="DA224" s="1081"/>
    </row>
    <row r="225" spans="1:105">
      <c r="A225" s="15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c r="AA225" s="154"/>
      <c r="AB225" s="154"/>
      <c r="AC225" s="154"/>
      <c r="AD225" s="154"/>
      <c r="AK225" s="1092"/>
      <c r="AL225" s="1092"/>
      <c r="AM225" s="410"/>
      <c r="AN225" s="154"/>
      <c r="AO225" s="154"/>
      <c r="AT225" s="154"/>
      <c r="BR225" s="154"/>
      <c r="BS225" s="154"/>
      <c r="BT225" s="154"/>
      <c r="BU225" s="154"/>
      <c r="BV225" s="154"/>
      <c r="BW225" s="154"/>
      <c r="BX225" s="154"/>
      <c r="BY225" s="154"/>
      <c r="BZ225" s="154"/>
      <c r="CA225" s="154"/>
      <c r="CB225" s="154"/>
      <c r="CC225" s="154"/>
      <c r="CD225" s="154"/>
      <c r="CE225" s="154"/>
      <c r="CF225" s="154"/>
      <c r="CG225" s="154"/>
      <c r="CH225" s="154"/>
      <c r="CI225" s="154"/>
      <c r="CJ225" s="154"/>
      <c r="CK225" s="154"/>
      <c r="CL225" s="154"/>
      <c r="CM225" s="154"/>
      <c r="CN225" s="154"/>
      <c r="CO225" s="154"/>
      <c r="CP225" s="154"/>
      <c r="CQ225" s="154"/>
      <c r="CR225" s="154"/>
      <c r="CS225" s="154"/>
      <c r="CT225" s="154"/>
      <c r="CU225" s="154"/>
      <c r="CV225" s="154"/>
      <c r="CW225" s="154"/>
      <c r="CX225" s="154"/>
      <c r="CY225" s="154"/>
      <c r="CZ225" s="154"/>
      <c r="DA225" s="1081"/>
    </row>
    <row r="226" spans="1:105">
      <c r="A226" s="154"/>
      <c r="B226" s="154"/>
      <c r="C226" s="154"/>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4"/>
      <c r="Z226" s="154"/>
      <c r="AA226" s="154"/>
      <c r="AB226" s="154"/>
      <c r="AC226" s="154"/>
      <c r="AD226" s="154"/>
      <c r="AK226" s="1092"/>
      <c r="AL226" s="1092"/>
      <c r="AM226" s="410"/>
      <c r="AN226" s="154"/>
      <c r="AO226" s="154"/>
      <c r="AT226" s="154"/>
      <c r="BR226" s="154"/>
      <c r="BS226" s="154"/>
      <c r="BT226" s="154"/>
      <c r="BU226" s="154"/>
      <c r="BV226" s="154"/>
      <c r="BW226" s="154"/>
      <c r="BX226" s="154"/>
      <c r="BY226" s="154"/>
      <c r="BZ226" s="154"/>
      <c r="CA226" s="154"/>
      <c r="CB226" s="154"/>
      <c r="CC226" s="154"/>
      <c r="CD226" s="154"/>
      <c r="CE226" s="154"/>
      <c r="CF226" s="154"/>
      <c r="CG226" s="154"/>
      <c r="CH226" s="154"/>
      <c r="CI226" s="154"/>
      <c r="CJ226" s="154"/>
      <c r="CK226" s="154"/>
      <c r="CL226" s="154"/>
      <c r="CM226" s="154"/>
      <c r="CN226" s="154"/>
      <c r="CO226" s="154"/>
      <c r="CP226" s="154"/>
      <c r="CQ226" s="154"/>
      <c r="CR226" s="154"/>
      <c r="CS226" s="154"/>
      <c r="CT226" s="154"/>
      <c r="CU226" s="154"/>
      <c r="CV226" s="154"/>
      <c r="CW226" s="154"/>
      <c r="CX226" s="154"/>
      <c r="CY226" s="154"/>
      <c r="CZ226" s="154"/>
      <c r="DA226" s="1081"/>
    </row>
    <row r="227" spans="1:105">
      <c r="A227" s="154"/>
      <c r="B227" s="154"/>
      <c r="C227" s="154"/>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4"/>
      <c r="Z227" s="154"/>
      <c r="AA227" s="154"/>
      <c r="AB227" s="154"/>
      <c r="AC227" s="154"/>
      <c r="AD227" s="154"/>
      <c r="AE227" s="154"/>
      <c r="AF227" s="154"/>
      <c r="AG227" s="154"/>
      <c r="AH227" s="154"/>
      <c r="AI227" s="154"/>
      <c r="AJ227" s="154"/>
      <c r="AK227" s="1092"/>
      <c r="AL227" s="1092"/>
      <c r="AM227" s="410"/>
      <c r="AN227" s="154"/>
      <c r="AO227" s="154"/>
      <c r="AT227" s="154"/>
      <c r="BR227" s="154"/>
      <c r="BS227" s="154"/>
      <c r="BT227" s="154"/>
      <c r="BU227" s="154"/>
      <c r="BV227" s="154"/>
      <c r="BW227" s="154"/>
      <c r="BX227" s="154"/>
      <c r="BY227" s="154"/>
      <c r="BZ227" s="154"/>
      <c r="CA227" s="154"/>
      <c r="CB227" s="154"/>
      <c r="CC227" s="154"/>
      <c r="CD227" s="154"/>
      <c r="CE227" s="154"/>
      <c r="CF227" s="154"/>
      <c r="CG227" s="154"/>
      <c r="CH227" s="154"/>
      <c r="CI227" s="154"/>
      <c r="CJ227" s="154"/>
      <c r="CK227" s="154"/>
      <c r="CL227" s="154"/>
      <c r="CM227" s="154"/>
      <c r="CN227" s="154"/>
      <c r="CO227" s="154"/>
      <c r="CP227" s="154"/>
      <c r="CQ227" s="154"/>
      <c r="CR227" s="154"/>
      <c r="CS227" s="154"/>
      <c r="CT227" s="154"/>
      <c r="CU227" s="154"/>
      <c r="CV227" s="154"/>
      <c r="CW227" s="154"/>
      <c r="CX227" s="154"/>
      <c r="CY227" s="154"/>
      <c r="CZ227" s="154"/>
      <c r="DA227" s="1092"/>
    </row>
    <row r="228" spans="1:105">
      <c r="A228" s="154"/>
      <c r="B228" s="154"/>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c r="AA228" s="154"/>
      <c r="AB228" s="154"/>
      <c r="AC228" s="154"/>
      <c r="AD228" s="154"/>
      <c r="AE228" s="154"/>
      <c r="AF228" s="154"/>
      <c r="AG228" s="154"/>
      <c r="AH228" s="154"/>
      <c r="AI228" s="154"/>
      <c r="AJ228" s="154"/>
      <c r="AK228" s="1092"/>
      <c r="AL228" s="1092"/>
      <c r="AM228" s="410"/>
      <c r="AN228" s="154"/>
      <c r="AO228" s="154"/>
      <c r="AT228" s="154"/>
      <c r="BR228" s="154"/>
      <c r="BS228" s="154"/>
      <c r="BT228" s="154"/>
      <c r="BU228" s="154"/>
      <c r="BV228" s="154"/>
      <c r="BW228" s="154"/>
      <c r="BX228" s="154"/>
      <c r="BY228" s="154"/>
      <c r="BZ228" s="154"/>
      <c r="CA228" s="154"/>
      <c r="CB228" s="154"/>
      <c r="CC228" s="154"/>
      <c r="CD228" s="154"/>
      <c r="CE228" s="154"/>
      <c r="CF228" s="154"/>
      <c r="CG228" s="154"/>
      <c r="CH228" s="154"/>
      <c r="CI228" s="154"/>
      <c r="CJ228" s="154"/>
      <c r="CK228" s="154"/>
      <c r="CL228" s="154"/>
      <c r="CM228" s="154"/>
      <c r="CN228" s="154"/>
      <c r="CO228" s="154"/>
      <c r="CP228" s="154"/>
      <c r="CQ228" s="154"/>
      <c r="CR228" s="154"/>
      <c r="CS228" s="154"/>
      <c r="CT228" s="154"/>
      <c r="CU228" s="154"/>
      <c r="CV228" s="154"/>
      <c r="CW228" s="154"/>
      <c r="CX228" s="154"/>
      <c r="CY228" s="154"/>
      <c r="CZ228" s="154"/>
      <c r="DA228" s="1092"/>
    </row>
    <row r="229" spans="1:105">
      <c r="A229" s="160" t="s">
        <v>1153</v>
      </c>
      <c r="B229" s="154"/>
      <c r="C229" s="154"/>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4"/>
      <c r="Z229" s="154"/>
      <c r="AA229" s="154"/>
      <c r="AB229" s="154"/>
      <c r="AC229" s="154"/>
      <c r="AD229" s="154"/>
      <c r="AE229" s="154"/>
      <c r="AF229" s="154"/>
      <c r="AG229" s="154"/>
      <c r="AH229" s="154"/>
      <c r="AI229" s="154"/>
      <c r="AJ229" s="154"/>
      <c r="AK229" s="1092"/>
      <c r="AL229" s="1092"/>
      <c r="AM229" s="410"/>
      <c r="AN229" s="154"/>
      <c r="AO229" s="154"/>
      <c r="AT229" s="154"/>
      <c r="BR229" s="154"/>
      <c r="BS229" s="154"/>
      <c r="BT229" s="154"/>
      <c r="BU229" s="154"/>
      <c r="BV229" s="154"/>
      <c r="BW229" s="154"/>
      <c r="BX229" s="154"/>
      <c r="BY229" s="154"/>
      <c r="BZ229" s="154"/>
      <c r="CA229" s="154"/>
      <c r="CB229" s="154"/>
      <c r="CC229" s="154"/>
      <c r="CD229" s="154"/>
      <c r="CE229" s="154"/>
      <c r="CF229" s="154"/>
      <c r="CG229" s="154"/>
      <c r="CH229" s="154"/>
      <c r="CI229" s="154"/>
      <c r="CJ229" s="154"/>
      <c r="CK229" s="154"/>
      <c r="CL229" s="154"/>
      <c r="CM229" s="154"/>
      <c r="CN229" s="154"/>
      <c r="CO229" s="154"/>
      <c r="CP229" s="154"/>
      <c r="CQ229" s="154"/>
      <c r="CR229" s="154"/>
      <c r="CS229" s="154"/>
      <c r="CT229" s="154"/>
      <c r="CU229" s="154"/>
      <c r="CV229" s="154"/>
      <c r="CW229" s="154"/>
      <c r="CX229" s="154"/>
      <c r="CY229" s="154"/>
      <c r="CZ229" s="154"/>
      <c r="DA229" s="1092"/>
    </row>
    <row r="230" spans="1:105">
      <c r="A230" s="154"/>
      <c r="B230" s="154"/>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c r="AA230" s="154"/>
      <c r="AB230" s="154"/>
      <c r="AC230" s="154"/>
      <c r="AD230" s="154"/>
      <c r="AE230" s="154"/>
      <c r="AF230" s="154"/>
      <c r="AG230" s="154"/>
      <c r="AH230" s="154"/>
      <c r="AI230" s="154"/>
      <c r="AJ230" s="154"/>
      <c r="AK230" s="1092"/>
      <c r="AL230" s="1092"/>
      <c r="AM230" s="410"/>
      <c r="AN230" s="154"/>
      <c r="AO230" s="154"/>
      <c r="AT230" s="154"/>
      <c r="BR230" s="154"/>
      <c r="BS230" s="154"/>
      <c r="BT230" s="154"/>
      <c r="BU230" s="154"/>
      <c r="BV230" s="154"/>
      <c r="BW230" s="154"/>
      <c r="BX230" s="154"/>
      <c r="BY230" s="154"/>
      <c r="BZ230" s="154"/>
      <c r="CA230" s="154"/>
      <c r="CB230" s="154"/>
      <c r="CC230" s="154"/>
      <c r="CD230" s="154"/>
      <c r="CE230" s="154"/>
      <c r="CF230" s="154"/>
      <c r="CG230" s="154"/>
      <c r="CH230" s="154"/>
      <c r="CI230" s="154"/>
      <c r="CJ230" s="154"/>
      <c r="CK230" s="154"/>
      <c r="CL230" s="154"/>
      <c r="CM230" s="154"/>
      <c r="CN230" s="154"/>
      <c r="CO230" s="154"/>
      <c r="CP230" s="154"/>
      <c r="CQ230" s="154"/>
      <c r="CR230" s="154"/>
      <c r="CS230" s="154"/>
      <c r="CT230" s="154"/>
      <c r="CU230" s="154"/>
      <c r="CV230" s="154"/>
      <c r="CW230" s="154"/>
      <c r="CX230" s="154"/>
      <c r="CY230" s="154"/>
      <c r="CZ230" s="154"/>
      <c r="DA230" s="1092"/>
    </row>
    <row r="231" spans="1:105">
      <c r="A231" s="154" t="s">
        <v>140</v>
      </c>
      <c r="B231" s="154"/>
      <c r="C231" s="154"/>
      <c r="D231" s="154"/>
      <c r="E231" s="154"/>
      <c r="F231" s="154"/>
      <c r="G231" s="154"/>
      <c r="H231" s="154"/>
      <c r="I231" s="154"/>
      <c r="J231" s="154"/>
      <c r="K231" s="154"/>
      <c r="L231" s="154"/>
      <c r="M231" s="154"/>
      <c r="N231" s="154"/>
      <c r="O231" s="154">
        <v>230</v>
      </c>
      <c r="P231" s="154"/>
      <c r="Q231" s="154"/>
      <c r="R231" s="154"/>
      <c r="S231" s="154"/>
      <c r="T231" s="154"/>
      <c r="U231" s="154"/>
      <c r="V231" s="154"/>
      <c r="W231" s="154"/>
      <c r="X231" s="154"/>
      <c r="Y231" s="154"/>
      <c r="Z231" s="154"/>
      <c r="AA231" s="154"/>
      <c r="AB231" s="154"/>
      <c r="AC231" s="154"/>
      <c r="AD231" s="154"/>
      <c r="AE231" s="154">
        <v>250</v>
      </c>
      <c r="AF231" s="154"/>
      <c r="AG231" s="154">
        <v>230</v>
      </c>
      <c r="AI231" s="154">
        <v>230</v>
      </c>
      <c r="AJ231" s="154"/>
      <c r="AK231" s="1092"/>
      <c r="AL231" s="1092"/>
      <c r="AM231" s="410"/>
      <c r="AN231" s="154"/>
      <c r="AO231" s="154"/>
      <c r="AT231" s="154"/>
      <c r="BR231" s="154"/>
      <c r="BS231" s="154"/>
      <c r="BT231" s="154"/>
      <c r="BU231" s="154"/>
      <c r="BV231" s="154"/>
      <c r="BW231" s="154"/>
      <c r="BX231" s="154"/>
      <c r="BY231" s="154"/>
      <c r="BZ231" s="154"/>
      <c r="CA231" s="154"/>
      <c r="CB231" s="154"/>
      <c r="CC231" s="154"/>
      <c r="CD231" s="154"/>
      <c r="CE231" s="154"/>
      <c r="CF231" s="154"/>
      <c r="CG231" s="154"/>
      <c r="CH231" s="154"/>
      <c r="CI231" s="154"/>
      <c r="CJ231" s="154"/>
      <c r="CK231" s="154"/>
      <c r="CL231" s="154"/>
      <c r="CM231" s="154"/>
      <c r="CN231" s="154"/>
      <c r="CO231" s="154"/>
      <c r="CP231" s="154"/>
      <c r="CQ231" s="154"/>
      <c r="CR231" s="154"/>
      <c r="CS231" s="154"/>
      <c r="CT231" s="154"/>
      <c r="CU231" s="154"/>
      <c r="CV231" s="154"/>
      <c r="CW231" s="154"/>
      <c r="CX231" s="154"/>
      <c r="CY231" s="154"/>
      <c r="CZ231" s="154"/>
      <c r="DA231" s="1092"/>
    </row>
    <row r="232" spans="1:105">
      <c r="A232" s="154" t="s">
        <v>1088</v>
      </c>
      <c r="B232" s="154"/>
      <c r="C232" s="154"/>
      <c r="D232" s="154"/>
      <c r="E232" s="154"/>
      <c r="F232" s="154"/>
      <c r="G232" s="154"/>
      <c r="H232" s="154"/>
      <c r="I232" s="154"/>
      <c r="J232" s="154"/>
      <c r="K232" s="154"/>
      <c r="L232" s="154"/>
      <c r="M232" s="154"/>
      <c r="N232" s="154"/>
      <c r="O232" s="160">
        <v>14.2</v>
      </c>
      <c r="P232" s="154"/>
      <c r="Q232" s="154"/>
      <c r="R232" s="154"/>
      <c r="S232" s="154"/>
      <c r="T232" s="154"/>
      <c r="U232" s="154"/>
      <c r="V232" s="154"/>
      <c r="W232" s="154"/>
      <c r="X232" s="154"/>
      <c r="Y232" s="154"/>
      <c r="Z232" s="154"/>
      <c r="AA232" s="154"/>
      <c r="AB232" s="154"/>
      <c r="AC232" s="154"/>
      <c r="AD232" s="154"/>
      <c r="AE232" s="154">
        <v>1672</v>
      </c>
      <c r="AF232" s="154"/>
      <c r="AG232" s="167">
        <f>SUM(AD150:AG150)</f>
        <v>28.013999999999999</v>
      </c>
      <c r="AI232" s="167">
        <f>AJ232-12</f>
        <v>16.013999999999999</v>
      </c>
      <c r="AJ232" s="167">
        <v>28.013999999999999</v>
      </c>
      <c r="AK232" s="1092"/>
      <c r="AL232" s="1092"/>
      <c r="AM232" s="410"/>
      <c r="AN232" s="154"/>
      <c r="AO232" s="154"/>
      <c r="AT232" s="154"/>
      <c r="BR232" s="154"/>
      <c r="BS232" s="154"/>
      <c r="BT232" s="154"/>
      <c r="BU232" s="154"/>
      <c r="BV232" s="154"/>
      <c r="BW232" s="154"/>
      <c r="BX232" s="154"/>
      <c r="BY232" s="154"/>
      <c r="BZ232" s="154"/>
      <c r="CA232" s="154"/>
      <c r="CB232" s="154"/>
      <c r="CC232" s="154"/>
      <c r="CD232" s="154"/>
      <c r="CE232" s="154"/>
      <c r="CF232" s="154"/>
      <c r="CG232" s="154"/>
      <c r="CH232" s="154"/>
      <c r="CI232" s="154"/>
      <c r="CJ232" s="154"/>
      <c r="CK232" s="154"/>
      <c r="CL232" s="154"/>
      <c r="CM232" s="154"/>
      <c r="CN232" s="154"/>
      <c r="CO232" s="154"/>
      <c r="CP232" s="154"/>
      <c r="CQ232" s="154"/>
      <c r="CR232" s="154"/>
      <c r="CS232" s="154"/>
      <c r="CT232" s="154"/>
      <c r="CU232" s="154"/>
      <c r="CV232" s="154"/>
      <c r="CW232" s="154"/>
      <c r="CX232" s="154"/>
      <c r="CY232" s="154"/>
      <c r="CZ232" s="154"/>
      <c r="DA232" s="1090">
        <v>28.013999999999999</v>
      </c>
    </row>
    <row r="233" spans="1:105">
      <c r="A233" s="154" t="s">
        <v>1087</v>
      </c>
      <c r="B233" s="154"/>
      <c r="C233" s="154"/>
      <c r="D233" s="154"/>
      <c r="E233" s="154"/>
      <c r="F233" s="154"/>
      <c r="G233" s="154"/>
      <c r="H233" s="154"/>
      <c r="I233" s="154"/>
      <c r="J233" s="154"/>
      <c r="K233" s="154"/>
      <c r="L233" s="154"/>
      <c r="M233" s="154"/>
      <c r="N233" s="154"/>
      <c r="O233" s="626">
        <f>O231/O232</f>
        <v>16.197183098591552</v>
      </c>
      <c r="P233" s="154"/>
      <c r="Q233" s="154"/>
      <c r="R233" s="154"/>
      <c r="S233" s="154"/>
      <c r="T233" s="154"/>
      <c r="U233" s="154"/>
      <c r="V233" s="154"/>
      <c r="W233" s="154"/>
      <c r="X233" s="154"/>
      <c r="Y233" s="154"/>
      <c r="Z233" s="154"/>
      <c r="AA233" s="154"/>
      <c r="AB233" s="154"/>
      <c r="AC233" s="154"/>
      <c r="AD233" s="154"/>
      <c r="AE233" s="154">
        <f>AE231/AE232*1000</f>
        <v>149.52153110047848</v>
      </c>
      <c r="AF233" s="154"/>
      <c r="AG233" s="160">
        <f>AG231/AG232</f>
        <v>8.2101806239737272</v>
      </c>
      <c r="AI233" s="951">
        <f>AI231/AI232</f>
        <v>14.362432871237667</v>
      </c>
      <c r="AJ233" s="951"/>
      <c r="AK233" s="1092"/>
      <c r="AL233" s="1092"/>
      <c r="AM233" s="410"/>
      <c r="AN233" s="154"/>
      <c r="AO233" s="154"/>
      <c r="AT233" s="154"/>
      <c r="BR233" s="154"/>
      <c r="BS233" s="154"/>
      <c r="BT233" s="154"/>
      <c r="BU233" s="154"/>
      <c r="BV233" s="154"/>
      <c r="BW233" s="154"/>
      <c r="BX233" s="154"/>
      <c r="BY233" s="154"/>
      <c r="BZ233" s="154"/>
      <c r="CA233" s="154"/>
      <c r="CB233" s="154"/>
      <c r="CC233" s="154"/>
      <c r="CD233" s="154"/>
      <c r="CE233" s="154"/>
      <c r="CF233" s="154"/>
      <c r="CG233" s="154"/>
      <c r="CH233" s="154"/>
      <c r="CI233" s="154"/>
      <c r="CJ233" s="154"/>
      <c r="CK233" s="154"/>
      <c r="CL233" s="154"/>
      <c r="CM233" s="154"/>
      <c r="CN233" s="154"/>
      <c r="CO233" s="154"/>
      <c r="CP233" s="154"/>
      <c r="CQ233" s="154"/>
      <c r="CR233" s="154"/>
      <c r="CS233" s="154"/>
      <c r="CT233" s="154"/>
      <c r="CU233" s="154"/>
      <c r="CV233" s="154"/>
      <c r="CW233" s="154"/>
      <c r="CX233" s="154"/>
      <c r="CY233" s="154"/>
      <c r="CZ233" s="154"/>
      <c r="DA233" s="1092"/>
    </row>
    <row r="234" spans="1:105">
      <c r="A234" s="154"/>
      <c r="B234" s="154"/>
      <c r="C234" s="154"/>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4"/>
      <c r="Z234" s="154"/>
      <c r="AA234" s="154"/>
      <c r="AB234" s="154"/>
      <c r="AC234" s="154"/>
      <c r="AD234" s="154"/>
      <c r="AE234" s="154">
        <v>22</v>
      </c>
      <c r="AF234" s="154"/>
      <c r="AG234" s="154"/>
      <c r="AH234" s="154"/>
      <c r="AI234" s="154"/>
      <c r="AJ234" s="154"/>
      <c r="AK234" s="1092"/>
      <c r="AL234" s="1092"/>
      <c r="AM234" s="410"/>
      <c r="AN234" s="154"/>
      <c r="AO234" s="154"/>
      <c r="AT234" s="154"/>
      <c r="BR234" s="154"/>
      <c r="BS234" s="154"/>
      <c r="BT234" s="154"/>
      <c r="BU234" s="154"/>
      <c r="BV234" s="154"/>
      <c r="BW234" s="154"/>
      <c r="BX234" s="154"/>
      <c r="BY234" s="154"/>
      <c r="BZ234" s="154"/>
      <c r="CA234" s="154"/>
      <c r="CB234" s="154"/>
      <c r="CC234" s="154"/>
      <c r="CD234" s="154"/>
      <c r="CE234" s="154"/>
      <c r="CF234" s="154"/>
      <c r="CG234" s="154"/>
      <c r="CH234" s="154"/>
      <c r="CI234" s="154"/>
      <c r="CJ234" s="154"/>
      <c r="CK234" s="154"/>
      <c r="CL234" s="154"/>
      <c r="CM234" s="154"/>
      <c r="CN234" s="154"/>
      <c r="CO234" s="154"/>
      <c r="CP234" s="154"/>
      <c r="CQ234" s="154"/>
      <c r="CR234" s="154"/>
      <c r="CS234" s="154"/>
      <c r="CT234" s="154"/>
      <c r="CU234" s="154"/>
      <c r="CV234" s="154"/>
      <c r="CW234" s="154"/>
      <c r="CX234" s="154"/>
      <c r="CY234" s="154"/>
      <c r="CZ234" s="154"/>
      <c r="DA234" s="1092"/>
    </row>
    <row r="235" spans="1:105">
      <c r="A235" s="154" t="s">
        <v>1089</v>
      </c>
      <c r="B235" s="154"/>
      <c r="C235" s="154"/>
      <c r="D235" s="154"/>
      <c r="E235" s="154"/>
      <c r="F235" s="154"/>
      <c r="G235" s="154"/>
      <c r="H235" s="154"/>
      <c r="I235" s="154"/>
      <c r="J235" s="154"/>
      <c r="K235" s="154"/>
      <c r="L235" s="154"/>
      <c r="M235" s="154"/>
      <c r="N235" s="154"/>
      <c r="O235" s="154">
        <v>0.4</v>
      </c>
      <c r="P235" s="154"/>
      <c r="Q235" s="154"/>
      <c r="R235" s="154"/>
      <c r="S235" s="154"/>
      <c r="T235" s="154"/>
      <c r="U235" s="154"/>
      <c r="V235" s="154"/>
      <c r="W235" s="154"/>
      <c r="X235" s="154"/>
      <c r="Y235" s="154"/>
      <c r="Z235" s="154"/>
      <c r="AA235" s="154"/>
      <c r="AB235" s="154"/>
      <c r="AC235" s="154"/>
      <c r="AD235" s="154"/>
      <c r="AE235" s="154">
        <f>AE231/AE234</f>
        <v>11.363636363636363</v>
      </c>
      <c r="AF235" s="154"/>
      <c r="AG235" s="154"/>
      <c r="AH235" s="154"/>
      <c r="AI235" s="154"/>
      <c r="AJ235" s="154"/>
      <c r="AK235" s="1092"/>
      <c r="AL235" s="1092"/>
      <c r="AM235" s="410"/>
      <c r="AN235" s="154"/>
      <c r="AO235" s="154"/>
      <c r="AT235" s="154"/>
      <c r="BR235" s="154"/>
      <c r="BS235" s="154"/>
      <c r="BT235" s="154"/>
      <c r="BU235" s="154"/>
      <c r="BV235" s="154"/>
      <c r="BW235" s="154"/>
      <c r="BX235" s="154"/>
      <c r="BY235" s="154"/>
      <c r="BZ235" s="154"/>
      <c r="CA235" s="154"/>
      <c r="CB235" s="154"/>
      <c r="CC235" s="154"/>
      <c r="CD235" s="154"/>
      <c r="CE235" s="154"/>
      <c r="CF235" s="154"/>
      <c r="CG235" s="154"/>
      <c r="CH235" s="154"/>
      <c r="CI235" s="154"/>
      <c r="CJ235" s="154"/>
      <c r="CK235" s="154"/>
      <c r="CL235" s="154"/>
      <c r="CM235" s="154"/>
      <c r="CN235" s="154"/>
      <c r="CO235" s="154"/>
      <c r="CP235" s="154"/>
      <c r="CQ235" s="154"/>
      <c r="CR235" s="154"/>
      <c r="CS235" s="154"/>
      <c r="CT235" s="154"/>
      <c r="CU235" s="154"/>
      <c r="CV235" s="154"/>
      <c r="CW235" s="154"/>
      <c r="CX235" s="154"/>
      <c r="CY235" s="154"/>
      <c r="CZ235" s="154"/>
      <c r="DA235" s="1092"/>
    </row>
    <row r="236" spans="1:105">
      <c r="A236" s="154" t="s">
        <v>1091</v>
      </c>
      <c r="B236" s="154"/>
      <c r="C236" s="154"/>
      <c r="D236" s="154"/>
      <c r="E236" s="154"/>
      <c r="F236" s="154"/>
      <c r="G236" s="154"/>
      <c r="H236" s="154"/>
      <c r="I236" s="154"/>
      <c r="J236" s="154"/>
      <c r="K236" s="154"/>
      <c r="L236" s="154"/>
      <c r="M236" s="154"/>
      <c r="N236" s="154"/>
      <c r="O236" s="154">
        <v>12</v>
      </c>
      <c r="P236" s="154"/>
      <c r="Q236" s="154"/>
      <c r="R236" s="154"/>
      <c r="S236" s="154"/>
      <c r="T236" s="154"/>
      <c r="U236" s="154"/>
      <c r="V236" s="154"/>
      <c r="W236" s="154"/>
      <c r="X236" s="154"/>
      <c r="Y236" s="154"/>
      <c r="Z236" s="154"/>
      <c r="AA236" s="154"/>
      <c r="AB236" s="154"/>
      <c r="AC236" s="154"/>
      <c r="AD236" s="154"/>
      <c r="AE236" s="154"/>
      <c r="AF236" s="154"/>
      <c r="AG236" s="154"/>
      <c r="AH236" s="154"/>
      <c r="AI236" s="154"/>
      <c r="AJ236" s="154"/>
      <c r="AK236" s="1092"/>
      <c r="AL236" s="1092"/>
      <c r="AM236" s="410"/>
      <c r="AN236" s="154"/>
      <c r="AO236" s="154"/>
      <c r="AT236" s="154"/>
      <c r="BR236" s="154"/>
      <c r="BS236" s="154"/>
      <c r="BT236" s="154"/>
      <c r="BU236" s="154"/>
      <c r="BV236" s="154"/>
      <c r="BW236" s="154"/>
      <c r="BX236" s="154"/>
      <c r="BY236" s="154"/>
      <c r="BZ236" s="154"/>
      <c r="CA236" s="154"/>
      <c r="CB236" s="154"/>
      <c r="CC236" s="154"/>
      <c r="CD236" s="154"/>
      <c r="CE236" s="154"/>
      <c r="CF236" s="154"/>
      <c r="CG236" s="154"/>
      <c r="CH236" s="154"/>
      <c r="CI236" s="154"/>
      <c r="CJ236" s="154"/>
      <c r="CK236" s="154"/>
      <c r="CL236" s="154"/>
      <c r="CM236" s="154"/>
      <c r="CN236" s="154"/>
      <c r="CO236" s="154"/>
      <c r="CP236" s="154"/>
      <c r="CQ236" s="154"/>
      <c r="CR236" s="154"/>
      <c r="CS236" s="154"/>
      <c r="CT236" s="154"/>
      <c r="CU236" s="154"/>
      <c r="CV236" s="154"/>
      <c r="CW236" s="154"/>
      <c r="CX236" s="154"/>
      <c r="CY236" s="154"/>
      <c r="CZ236" s="154"/>
      <c r="DA236" s="1092"/>
    </row>
    <row r="237" spans="1:105">
      <c r="A237" s="154" t="s">
        <v>1090</v>
      </c>
      <c r="B237" s="154"/>
      <c r="C237" s="154"/>
      <c r="D237" s="154"/>
      <c r="E237" s="154"/>
      <c r="F237" s="154"/>
      <c r="G237" s="154"/>
      <c r="H237" s="154"/>
      <c r="I237" s="154"/>
      <c r="J237" s="154"/>
      <c r="K237" s="154"/>
      <c r="L237" s="154"/>
      <c r="M237" s="154"/>
      <c r="N237" s="154"/>
      <c r="O237" s="460">
        <f>O233-O235+O236</f>
        <v>27.797183098591553</v>
      </c>
      <c r="P237" s="154"/>
      <c r="Q237" s="154"/>
      <c r="R237" s="154"/>
      <c r="S237" s="154"/>
      <c r="T237" s="154"/>
      <c r="U237" s="154"/>
      <c r="V237" s="154"/>
      <c r="W237" s="154"/>
      <c r="X237" s="154"/>
      <c r="Y237" s="154"/>
      <c r="Z237" s="154"/>
      <c r="AA237" s="154"/>
      <c r="AB237" s="154"/>
      <c r="AC237" s="154"/>
      <c r="AD237" s="154"/>
      <c r="AE237" s="154"/>
      <c r="AF237" s="154"/>
      <c r="AG237" s="154"/>
      <c r="AH237" s="154"/>
      <c r="AI237" s="154"/>
      <c r="AJ237" s="154"/>
      <c r="AK237" s="1092"/>
      <c r="AL237" s="1092"/>
      <c r="AM237" s="410"/>
      <c r="AN237" s="154"/>
      <c r="AO237" s="154"/>
      <c r="AT237" s="154"/>
      <c r="BR237" s="154"/>
      <c r="BS237" s="154"/>
      <c r="BT237" s="154"/>
      <c r="BU237" s="154"/>
      <c r="BV237" s="154"/>
      <c r="BW237" s="154"/>
      <c r="BX237" s="154"/>
      <c r="BY237" s="154"/>
      <c r="BZ237" s="154"/>
      <c r="CA237" s="154"/>
      <c r="CB237" s="154"/>
      <c r="CC237" s="154"/>
      <c r="CD237" s="154"/>
      <c r="CE237" s="154"/>
      <c r="CF237" s="154"/>
      <c r="CG237" s="154"/>
      <c r="CH237" s="154"/>
      <c r="CI237" s="154"/>
      <c r="CJ237" s="154"/>
      <c r="CK237" s="154"/>
      <c r="CL237" s="154"/>
      <c r="CM237" s="154"/>
      <c r="CN237" s="154"/>
      <c r="CO237" s="154"/>
      <c r="CP237" s="154"/>
      <c r="CQ237" s="154"/>
      <c r="CR237" s="154"/>
      <c r="CS237" s="154"/>
      <c r="CT237" s="154"/>
      <c r="CU237" s="154"/>
      <c r="CV237" s="154"/>
      <c r="CW237" s="154"/>
      <c r="CX237" s="154"/>
      <c r="CY237" s="154"/>
      <c r="CZ237" s="154"/>
      <c r="DA237" s="1092"/>
    </row>
    <row r="238" spans="1:105">
      <c r="A238" s="154" t="s">
        <v>946</v>
      </c>
      <c r="B238" s="154"/>
      <c r="C238" s="154"/>
      <c r="D238" s="154"/>
      <c r="E238" s="154"/>
      <c r="F238" s="154"/>
      <c r="G238" s="154"/>
      <c r="H238" s="154"/>
      <c r="I238" s="154"/>
      <c r="J238" s="154"/>
      <c r="K238" s="154"/>
      <c r="L238" s="154"/>
      <c r="M238" s="154"/>
      <c r="N238" s="154"/>
      <c r="O238" s="626">
        <f>O231/O237</f>
        <v>8.2742197000405344</v>
      </c>
      <c r="P238" s="154"/>
      <c r="Q238" s="154"/>
      <c r="R238" s="154"/>
      <c r="S238" s="154"/>
      <c r="T238" s="154"/>
      <c r="U238" s="154"/>
      <c r="V238" s="154"/>
      <c r="W238" s="154"/>
      <c r="X238" s="154"/>
      <c r="Y238" s="154"/>
      <c r="Z238" s="154"/>
      <c r="AA238" s="154"/>
      <c r="AB238" s="154"/>
      <c r="AC238" s="154"/>
      <c r="AD238" s="154"/>
      <c r="AE238" s="154"/>
      <c r="AF238" s="154"/>
      <c r="AG238" s="154"/>
      <c r="AH238" s="154"/>
      <c r="AI238" s="154"/>
      <c r="AJ238" s="154"/>
      <c r="AK238" s="1092"/>
      <c r="AL238" s="1092"/>
      <c r="AM238" s="410"/>
      <c r="AN238" s="154"/>
      <c r="AO238" s="154"/>
      <c r="AT238" s="154"/>
      <c r="BR238" s="154"/>
      <c r="BS238" s="154"/>
      <c r="BT238" s="154"/>
      <c r="BU238" s="154"/>
      <c r="BV238" s="154"/>
      <c r="BW238" s="154"/>
      <c r="BX238" s="154"/>
      <c r="BY238" s="154"/>
      <c r="BZ238" s="154"/>
      <c r="CA238" s="154"/>
      <c r="CB238" s="154"/>
      <c r="CC238" s="154"/>
      <c r="CD238" s="154"/>
      <c r="CE238" s="154"/>
      <c r="CF238" s="154"/>
      <c r="CG238" s="154"/>
      <c r="CH238" s="154"/>
      <c r="CI238" s="154"/>
      <c r="CJ238" s="154"/>
      <c r="CK238" s="154"/>
      <c r="CL238" s="154"/>
      <c r="CM238" s="154"/>
      <c r="CN238" s="154"/>
      <c r="CO238" s="154"/>
      <c r="CP238" s="154"/>
      <c r="CQ238" s="154"/>
      <c r="CR238" s="154"/>
      <c r="CS238" s="154"/>
      <c r="CT238" s="154"/>
      <c r="CU238" s="154"/>
      <c r="CV238" s="154"/>
      <c r="CW238" s="154"/>
      <c r="CX238" s="154"/>
      <c r="CY238" s="154"/>
      <c r="CZ238" s="154"/>
      <c r="DA238" s="1092"/>
    </row>
    <row r="239" spans="1:105">
      <c r="A239" s="154"/>
      <c r="B239" s="154"/>
      <c r="C239" s="154"/>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c r="AA239" s="154"/>
      <c r="AB239" s="154"/>
      <c r="AC239" s="154"/>
      <c r="AD239" s="154"/>
      <c r="AE239" s="154"/>
      <c r="AF239" s="154"/>
      <c r="AG239" s="154"/>
      <c r="AH239" s="154"/>
      <c r="AI239" s="154"/>
      <c r="AJ239" s="154"/>
      <c r="AK239" s="1092"/>
      <c r="AL239" s="1092"/>
      <c r="AM239" s="410"/>
      <c r="AN239" s="154"/>
      <c r="AO239" s="154"/>
      <c r="AT239" s="154"/>
      <c r="BR239" s="154"/>
      <c r="BS239" s="154"/>
      <c r="BT239" s="154"/>
      <c r="BU239" s="154"/>
      <c r="BV239" s="154"/>
      <c r="BW239" s="154"/>
      <c r="BX239" s="154"/>
      <c r="BY239" s="154"/>
      <c r="BZ239" s="154"/>
      <c r="CA239" s="154"/>
      <c r="CB239" s="154"/>
      <c r="CC239" s="154"/>
      <c r="CD239" s="154"/>
      <c r="CE239" s="154"/>
      <c r="CF239" s="154"/>
      <c r="CG239" s="154"/>
      <c r="CH239" s="154"/>
      <c r="CI239" s="154"/>
      <c r="CJ239" s="154"/>
      <c r="CK239" s="154"/>
      <c r="CL239" s="154"/>
      <c r="CM239" s="154"/>
      <c r="CN239" s="154"/>
      <c r="CO239" s="154"/>
      <c r="CP239" s="154"/>
      <c r="CQ239" s="154"/>
      <c r="CR239" s="154"/>
      <c r="CS239" s="154"/>
      <c r="CT239" s="154"/>
      <c r="CU239" s="154"/>
      <c r="CV239" s="154"/>
      <c r="CW239" s="154"/>
      <c r="CX239" s="154"/>
      <c r="CY239" s="154"/>
      <c r="CZ239" s="154"/>
      <c r="DA239" s="1092"/>
    </row>
    <row r="240" spans="1:105">
      <c r="A240" s="154"/>
      <c r="B240" s="154"/>
      <c r="C240" s="154"/>
      <c r="D240" s="154"/>
      <c r="E240" s="154"/>
      <c r="F240" s="154"/>
      <c r="G240" s="154"/>
      <c r="H240" s="154"/>
      <c r="I240" s="154"/>
      <c r="J240" s="154"/>
      <c r="K240" s="154"/>
      <c r="L240" s="154"/>
      <c r="M240" s="154"/>
      <c r="N240" s="154"/>
      <c r="O240" s="154">
        <v>1675</v>
      </c>
      <c r="P240" s="154">
        <f>O240+700</f>
        <v>2375</v>
      </c>
      <c r="Q240" s="154"/>
      <c r="R240" s="154"/>
      <c r="S240" s="154"/>
      <c r="T240" s="154"/>
      <c r="U240" s="154"/>
      <c r="V240" s="154"/>
      <c r="W240" s="154"/>
      <c r="X240" s="154"/>
      <c r="Y240" s="154"/>
      <c r="Z240" s="154"/>
      <c r="AA240" s="154"/>
      <c r="AB240" s="154"/>
      <c r="AC240" s="154"/>
      <c r="AD240" s="154"/>
      <c r="AE240" s="154"/>
      <c r="AF240" s="154"/>
      <c r="AG240" s="154"/>
      <c r="AH240" s="154"/>
      <c r="AI240" s="154"/>
      <c r="AJ240" s="154"/>
      <c r="AK240" s="1092"/>
      <c r="AL240" s="1092"/>
      <c r="AM240" s="410"/>
      <c r="AN240" s="154"/>
      <c r="AO240" s="154"/>
      <c r="AT240" s="154"/>
      <c r="BR240" s="154"/>
      <c r="BS240" s="154"/>
      <c r="BT240" s="154"/>
      <c r="BU240" s="154"/>
      <c r="BV240" s="154"/>
      <c r="BW240" s="154"/>
      <c r="BX240" s="154"/>
      <c r="BY240" s="154"/>
      <c r="BZ240" s="154"/>
      <c r="CA240" s="154"/>
      <c r="CB240" s="154"/>
      <c r="CC240" s="154"/>
      <c r="CD240" s="154"/>
      <c r="CE240" s="154"/>
      <c r="CF240" s="154"/>
      <c r="CG240" s="154"/>
      <c r="CH240" s="154"/>
      <c r="CI240" s="154"/>
      <c r="CJ240" s="154"/>
      <c r="CK240" s="154"/>
      <c r="CL240" s="154"/>
      <c r="CM240" s="154"/>
      <c r="CN240" s="154"/>
      <c r="CO240" s="154"/>
      <c r="CP240" s="154"/>
      <c r="CQ240" s="154"/>
      <c r="CR240" s="154"/>
      <c r="CS240" s="154"/>
      <c r="CT240" s="154"/>
      <c r="CU240" s="154"/>
      <c r="CV240" s="154"/>
      <c r="CW240" s="154"/>
      <c r="CX240" s="154"/>
      <c r="CY240" s="154"/>
      <c r="CZ240" s="154"/>
      <c r="DA240" s="1092"/>
    </row>
    <row r="241" spans="1:105">
      <c r="A241" s="154" t="s">
        <v>1092</v>
      </c>
      <c r="B241" s="154"/>
      <c r="C241" s="154"/>
      <c r="D241" s="154"/>
      <c r="E241" s="154"/>
      <c r="F241" s="154"/>
      <c r="G241" s="154"/>
      <c r="H241" s="154"/>
      <c r="I241" s="154"/>
      <c r="J241" s="154"/>
      <c r="K241" s="154"/>
      <c r="L241" s="154"/>
      <c r="M241" s="154"/>
      <c r="N241" s="154"/>
      <c r="O241" s="460">
        <f>O231/O240*1000</f>
        <v>137.31343283582089</v>
      </c>
      <c r="P241" s="460">
        <f>O231/P240*1000</f>
        <v>96.84210526315789</v>
      </c>
      <c r="Q241" s="154"/>
      <c r="R241" s="154"/>
      <c r="S241" s="154"/>
      <c r="T241" s="154"/>
      <c r="U241" s="154"/>
      <c r="V241" s="154"/>
      <c r="W241" s="154"/>
      <c r="X241" s="154"/>
      <c r="Y241" s="154"/>
      <c r="Z241" s="154"/>
      <c r="AA241" s="154"/>
      <c r="AB241" s="154"/>
      <c r="AC241" s="154"/>
      <c r="AD241" s="154"/>
      <c r="AE241" s="154"/>
      <c r="AF241" s="154"/>
      <c r="AG241" s="154"/>
      <c r="AH241" s="154"/>
      <c r="AI241" s="154"/>
      <c r="AJ241" s="154"/>
      <c r="AK241" s="1092"/>
      <c r="AL241" s="1092"/>
      <c r="AM241" s="410"/>
      <c r="AN241" s="154"/>
      <c r="AO241" s="154"/>
      <c r="AT241" s="154"/>
      <c r="BR241" s="154"/>
      <c r="BS241" s="154"/>
      <c r="BT241" s="154"/>
      <c r="BU241" s="154"/>
      <c r="BV241" s="154"/>
      <c r="BW241" s="154"/>
      <c r="BX241" s="154"/>
      <c r="BY241" s="154"/>
      <c r="BZ241" s="154"/>
      <c r="CA241" s="154"/>
      <c r="CB241" s="154"/>
      <c r="CC241" s="154"/>
      <c r="CD241" s="154"/>
      <c r="CE241" s="154"/>
      <c r="CF241" s="154"/>
      <c r="CG241" s="154"/>
      <c r="CH241" s="154"/>
      <c r="CI241" s="154"/>
      <c r="CJ241" s="154"/>
      <c r="CK241" s="154"/>
      <c r="CL241" s="154"/>
      <c r="CM241" s="154"/>
      <c r="CN241" s="154"/>
      <c r="CO241" s="154"/>
      <c r="CP241" s="154"/>
      <c r="CQ241" s="154"/>
      <c r="CR241" s="154"/>
      <c r="CS241" s="154"/>
      <c r="CT241" s="154"/>
      <c r="CU241" s="154"/>
      <c r="CV241" s="154"/>
      <c r="CW241" s="154"/>
      <c r="CX241" s="154"/>
      <c r="CY241" s="154"/>
      <c r="CZ241" s="154"/>
      <c r="DA241" s="1092"/>
    </row>
    <row r="242" spans="1:105">
      <c r="A242" s="154"/>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c r="AA242" s="154"/>
      <c r="AB242" s="154"/>
      <c r="AC242" s="154"/>
      <c r="AD242" s="154"/>
      <c r="AE242" s="154"/>
      <c r="AF242" s="154"/>
      <c r="AG242" s="154"/>
      <c r="AH242" s="154"/>
      <c r="AI242" s="154"/>
      <c r="AJ242" s="154"/>
      <c r="AK242" s="1092"/>
      <c r="AL242" s="1092"/>
      <c r="AM242" s="410"/>
      <c r="AN242" s="154"/>
      <c r="AO242" s="154"/>
      <c r="AT242" s="154"/>
      <c r="BR242" s="154"/>
      <c r="BS242" s="154"/>
      <c r="BT242" s="154"/>
      <c r="BU242" s="154"/>
      <c r="BV242" s="154"/>
      <c r="BW242" s="154"/>
      <c r="BX242" s="154"/>
      <c r="BY242" s="154"/>
      <c r="BZ242" s="154"/>
      <c r="CA242" s="154"/>
      <c r="CB242" s="154"/>
      <c r="CC242" s="154"/>
      <c r="CD242" s="154"/>
      <c r="CE242" s="154"/>
      <c r="CF242" s="154"/>
      <c r="CG242" s="154"/>
      <c r="CH242" s="154"/>
      <c r="CI242" s="154"/>
      <c r="CJ242" s="154"/>
      <c r="CK242" s="154"/>
      <c r="CL242" s="154"/>
      <c r="CM242" s="154"/>
      <c r="CN242" s="154"/>
      <c r="CO242" s="154"/>
      <c r="CP242" s="154"/>
      <c r="CQ242" s="154"/>
      <c r="CR242" s="154"/>
      <c r="CS242" s="154"/>
      <c r="CT242" s="154"/>
      <c r="CU242" s="154"/>
      <c r="CV242" s="154"/>
      <c r="CW242" s="154"/>
      <c r="CX242" s="154"/>
      <c r="CY242" s="154"/>
      <c r="CZ242" s="154"/>
      <c r="DA242" s="1092"/>
    </row>
    <row r="243" spans="1:105">
      <c r="A243" s="154"/>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c r="AA243" s="154"/>
      <c r="AB243" s="154"/>
      <c r="AC243" s="154"/>
      <c r="AD243" s="154"/>
      <c r="AE243" s="154"/>
      <c r="AF243" s="154"/>
      <c r="AG243" s="154"/>
      <c r="AH243" s="154"/>
      <c r="AI243" s="154"/>
      <c r="AJ243" s="154"/>
      <c r="AK243" s="1092"/>
      <c r="AL243" s="1092"/>
      <c r="AM243" s="410"/>
      <c r="AN243" s="154"/>
      <c r="AO243" s="154"/>
      <c r="AT243" s="154"/>
      <c r="BR243" s="154"/>
      <c r="BS243" s="154"/>
      <c r="BT243" s="154"/>
      <c r="BU243" s="154"/>
      <c r="BV243" s="154"/>
      <c r="BW243" s="154"/>
      <c r="BX243" s="154"/>
      <c r="BY243" s="154"/>
      <c r="BZ243" s="154"/>
      <c r="CA243" s="154"/>
      <c r="CB243" s="154"/>
      <c r="CC243" s="154"/>
      <c r="CD243" s="154"/>
      <c r="CE243" s="154"/>
      <c r="CF243" s="154"/>
      <c r="CG243" s="154"/>
      <c r="CH243" s="154"/>
      <c r="CI243" s="154"/>
      <c r="CJ243" s="154"/>
      <c r="CK243" s="154"/>
      <c r="CL243" s="154"/>
      <c r="CM243" s="154"/>
      <c r="CN243" s="154"/>
      <c r="CO243" s="154"/>
      <c r="CP243" s="154"/>
      <c r="CQ243" s="154"/>
      <c r="CR243" s="154"/>
      <c r="CS243" s="154"/>
      <c r="CT243" s="154"/>
      <c r="CU243" s="154"/>
      <c r="CV243" s="154"/>
      <c r="CW243" s="154"/>
      <c r="CX243" s="154"/>
      <c r="CY243" s="154"/>
      <c r="CZ243" s="154"/>
      <c r="DA243" s="1092"/>
    </row>
    <row r="244" spans="1:105">
      <c r="A244" s="154" t="s">
        <v>1093</v>
      </c>
      <c r="B244" s="154"/>
      <c r="C244" s="154"/>
      <c r="D244" s="154"/>
      <c r="E244" s="154"/>
      <c r="F244" s="154"/>
      <c r="G244" s="154"/>
      <c r="H244" s="154"/>
      <c r="I244" s="154"/>
      <c r="J244" s="154"/>
      <c r="K244" s="154"/>
      <c r="L244" s="154"/>
      <c r="M244" s="154"/>
      <c r="N244" s="154"/>
      <c r="O244" s="154">
        <f>56-16</f>
        <v>40</v>
      </c>
      <c r="P244" s="154"/>
      <c r="Q244" s="154"/>
      <c r="R244" s="154"/>
      <c r="S244" s="154"/>
      <c r="T244" s="154"/>
      <c r="U244" s="154"/>
      <c r="V244" s="154"/>
      <c r="W244" s="154"/>
      <c r="X244" s="154"/>
      <c r="Y244" s="154"/>
      <c r="Z244" s="154"/>
      <c r="AA244" s="154"/>
      <c r="AB244" s="154"/>
      <c r="AC244" s="154"/>
      <c r="AD244" s="154"/>
      <c r="AE244" s="154"/>
      <c r="AF244" s="154"/>
      <c r="AG244" s="154"/>
      <c r="AH244" s="154"/>
      <c r="AI244" s="154"/>
      <c r="AJ244" s="154"/>
      <c r="AK244" s="1092"/>
      <c r="AL244" s="1092"/>
      <c r="AM244" s="410"/>
      <c r="AN244" s="154"/>
      <c r="AO244" s="154"/>
      <c r="AT244" s="154"/>
      <c r="BR244" s="154"/>
      <c r="BS244" s="154"/>
      <c r="BT244" s="154"/>
      <c r="BU244" s="154"/>
      <c r="BV244" s="154"/>
      <c r="BW244" s="154"/>
      <c r="BX244" s="154"/>
      <c r="BY244" s="154"/>
      <c r="BZ244" s="154"/>
      <c r="CA244" s="154"/>
      <c r="CB244" s="154"/>
      <c r="CC244" s="154"/>
      <c r="CD244" s="154"/>
      <c r="CE244" s="154"/>
      <c r="CF244" s="154"/>
      <c r="CG244" s="154"/>
      <c r="CH244" s="154"/>
      <c r="CI244" s="154"/>
      <c r="CJ244" s="154"/>
      <c r="CK244" s="154"/>
      <c r="CL244" s="154"/>
      <c r="CM244" s="154"/>
      <c r="CN244" s="154"/>
      <c r="CO244" s="154"/>
      <c r="CP244" s="154"/>
      <c r="CQ244" s="154"/>
      <c r="CR244" s="154"/>
      <c r="CS244" s="154"/>
      <c r="CT244" s="154"/>
      <c r="CU244" s="154"/>
      <c r="CV244" s="154"/>
      <c r="CW244" s="154"/>
      <c r="CX244" s="154"/>
      <c r="CY244" s="154"/>
      <c r="CZ244" s="154"/>
      <c r="DA244" s="1092"/>
    </row>
    <row r="245" spans="1:105">
      <c r="A245" s="154"/>
      <c r="B245" s="154"/>
      <c r="C245" s="154"/>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c r="AA245" s="154"/>
      <c r="AB245" s="154"/>
      <c r="AC245" s="154"/>
      <c r="AD245" s="154"/>
      <c r="AE245" s="154"/>
      <c r="AF245" s="154"/>
      <c r="AG245" s="154"/>
      <c r="AH245" s="154"/>
      <c r="AI245" s="154"/>
      <c r="AJ245" s="154"/>
      <c r="AK245" s="1092"/>
      <c r="AL245" s="1092"/>
      <c r="AM245" s="410"/>
      <c r="AN245" s="154"/>
      <c r="AO245" s="154"/>
      <c r="AT245" s="154"/>
      <c r="BR245" s="154"/>
      <c r="BS245" s="154"/>
      <c r="BT245" s="154"/>
      <c r="BU245" s="154"/>
      <c r="BV245" s="154"/>
      <c r="BW245" s="154"/>
      <c r="BX245" s="154"/>
      <c r="BY245" s="154"/>
      <c r="BZ245" s="154"/>
      <c r="CA245" s="154"/>
      <c r="CB245" s="154"/>
      <c r="CC245" s="154"/>
      <c r="CD245" s="154"/>
      <c r="CE245" s="154"/>
      <c r="CF245" s="154"/>
      <c r="CG245" s="154"/>
      <c r="CH245" s="154"/>
      <c r="CI245" s="154"/>
      <c r="CJ245" s="154"/>
      <c r="CK245" s="154"/>
      <c r="CL245" s="154"/>
      <c r="CM245" s="154"/>
      <c r="CN245" s="154"/>
      <c r="CO245" s="154"/>
      <c r="CP245" s="154"/>
      <c r="CQ245" s="154"/>
      <c r="CR245" s="154"/>
      <c r="CS245" s="154"/>
      <c r="CT245" s="154"/>
      <c r="CU245" s="154"/>
      <c r="CV245" s="154"/>
      <c r="CW245" s="154"/>
      <c r="CX245" s="154"/>
      <c r="CY245" s="154"/>
      <c r="CZ245" s="154"/>
      <c r="DA245" s="1092"/>
    </row>
    <row r="246" spans="1:105">
      <c r="A246" s="154"/>
      <c r="B246" s="154"/>
      <c r="C246" s="154"/>
      <c r="D246" s="154"/>
      <c r="E246" s="154"/>
      <c r="F246" s="154"/>
      <c r="G246" s="154"/>
      <c r="H246" s="154"/>
      <c r="I246" s="154"/>
      <c r="J246" s="154"/>
      <c r="K246" s="154"/>
      <c r="L246" s="154"/>
      <c r="M246" s="154"/>
      <c r="N246" s="154"/>
      <c r="O246" s="154"/>
      <c r="P246" s="154"/>
      <c r="Q246" s="154"/>
      <c r="R246" s="154"/>
      <c r="S246" s="154"/>
      <c r="T246" s="154"/>
      <c r="U246" s="154"/>
      <c r="V246" s="154">
        <f>U247-V247</f>
        <v>190</v>
      </c>
      <c r="W246" s="154" t="s">
        <v>1094</v>
      </c>
      <c r="X246" s="165">
        <v>0.7</v>
      </c>
      <c r="Y246" s="160">
        <f>X246*V246</f>
        <v>133</v>
      </c>
      <c r="Z246" s="154"/>
      <c r="AA246" s="154"/>
      <c r="AB246" s="154"/>
      <c r="AC246" s="154"/>
      <c r="AD246" s="154"/>
      <c r="AE246" s="154"/>
      <c r="AF246" s="154"/>
      <c r="AG246" s="154"/>
      <c r="AH246" s="154"/>
      <c r="AI246" s="154"/>
      <c r="AJ246" s="154"/>
      <c r="AK246" s="1092"/>
      <c r="AL246" s="1092"/>
      <c r="AM246" s="410"/>
      <c r="AN246" s="154"/>
      <c r="AO246" s="154"/>
      <c r="AT246" s="154"/>
      <c r="BR246" s="154"/>
      <c r="BS246" s="154"/>
      <c r="BT246" s="154"/>
      <c r="BU246" s="154"/>
      <c r="BV246" s="154"/>
      <c r="BW246" s="154"/>
      <c r="BX246" s="154"/>
      <c r="BY246" s="154"/>
      <c r="BZ246" s="154"/>
      <c r="CA246" s="154"/>
      <c r="CB246" s="154"/>
      <c r="CC246" s="154"/>
      <c r="CD246" s="154"/>
      <c r="CE246" s="154"/>
      <c r="CF246" s="154"/>
      <c r="CG246" s="154"/>
      <c r="CH246" s="154"/>
      <c r="CI246" s="154"/>
      <c r="CJ246" s="154"/>
      <c r="CK246" s="154"/>
      <c r="CL246" s="154"/>
      <c r="CM246" s="154"/>
      <c r="CN246" s="154"/>
      <c r="CO246" s="154"/>
      <c r="CP246" s="154"/>
      <c r="CQ246" s="154"/>
      <c r="CR246" s="154"/>
      <c r="CS246" s="154"/>
      <c r="CT246" s="154"/>
      <c r="CU246" s="154"/>
      <c r="CV246" s="154"/>
      <c r="CW246" s="154"/>
      <c r="CX246" s="154"/>
      <c r="CY246" s="154"/>
      <c r="CZ246" s="154"/>
      <c r="DA246" s="1092"/>
    </row>
    <row r="247" spans="1:105">
      <c r="A247" s="154" t="s">
        <v>94</v>
      </c>
      <c r="B247" s="154"/>
      <c r="C247" s="154"/>
      <c r="D247" s="154"/>
      <c r="E247" s="154"/>
      <c r="F247" s="154"/>
      <c r="G247" s="154"/>
      <c r="H247" s="154"/>
      <c r="I247" s="154"/>
      <c r="J247" s="154"/>
      <c r="K247" s="154"/>
      <c r="L247" s="154"/>
      <c r="M247" s="154"/>
      <c r="N247" s="154"/>
      <c r="O247" s="167">
        <f>AG206</f>
        <v>3741</v>
      </c>
      <c r="P247" s="154">
        <f>O247/O253</f>
        <v>3.9131799163179917</v>
      </c>
      <c r="Q247" s="626">
        <f>P247-O257</f>
        <v>6.9192443934588344E-2</v>
      </c>
      <c r="R247" s="154"/>
      <c r="S247" s="154"/>
      <c r="T247" s="154" t="s">
        <v>140</v>
      </c>
      <c r="U247" s="154">
        <v>230</v>
      </c>
      <c r="V247" s="154">
        <v>40</v>
      </c>
      <c r="W247" s="154" t="s">
        <v>1095</v>
      </c>
      <c r="X247" s="154"/>
      <c r="Y247" s="154"/>
      <c r="Z247" s="154"/>
      <c r="AA247" s="154"/>
      <c r="AB247" s="154"/>
      <c r="AC247" s="154"/>
      <c r="AD247" s="154"/>
      <c r="AE247" s="154"/>
      <c r="AF247" s="154"/>
      <c r="AG247" s="154"/>
      <c r="AH247" s="154"/>
      <c r="AI247" s="154"/>
      <c r="AJ247" s="154"/>
      <c r="AK247" s="1092"/>
      <c r="AL247" s="1092"/>
      <c r="AM247" s="410"/>
      <c r="AN247" s="154"/>
      <c r="AO247" s="154"/>
      <c r="AT247" s="154"/>
      <c r="BR247" s="154"/>
      <c r="BS247" s="154"/>
      <c r="BT247" s="154"/>
      <c r="BU247" s="154"/>
      <c r="BV247" s="154"/>
      <c r="BW247" s="154"/>
      <c r="BX247" s="154"/>
      <c r="BY247" s="154"/>
      <c r="BZ247" s="154"/>
      <c r="CA247" s="154"/>
      <c r="CB247" s="154"/>
      <c r="CC247" s="154"/>
      <c r="CD247" s="154"/>
      <c r="CE247" s="154"/>
      <c r="CF247" s="154"/>
      <c r="CG247" s="154"/>
      <c r="CH247" s="154"/>
      <c r="CI247" s="154"/>
      <c r="CJ247" s="154"/>
      <c r="CK247" s="154"/>
      <c r="CL247" s="154"/>
      <c r="CM247" s="154"/>
      <c r="CN247" s="154"/>
      <c r="CO247" s="154"/>
      <c r="CP247" s="154"/>
      <c r="CQ247" s="154"/>
      <c r="CR247" s="154"/>
      <c r="CS247" s="154"/>
      <c r="CT247" s="154"/>
      <c r="CU247" s="154"/>
      <c r="CV247" s="154"/>
      <c r="CW247" s="154"/>
      <c r="CX247" s="154"/>
      <c r="CY247" s="154"/>
      <c r="CZ247" s="154"/>
      <c r="DA247" s="1092"/>
    </row>
    <row r="248" spans="1:105">
      <c r="A248" s="154"/>
      <c r="B248" s="154"/>
      <c r="C248" s="154"/>
      <c r="D248" s="154"/>
      <c r="E248" s="154"/>
      <c r="F248" s="154"/>
      <c r="G248" s="154"/>
      <c r="H248" s="154"/>
      <c r="I248" s="154"/>
      <c r="J248" s="154"/>
      <c r="K248" s="154"/>
      <c r="L248" s="154"/>
      <c r="M248" s="154"/>
      <c r="N248" s="154"/>
      <c r="O248" s="154">
        <v>40</v>
      </c>
      <c r="P248" s="154"/>
      <c r="Q248" s="154"/>
      <c r="R248" s="154"/>
      <c r="S248" s="154"/>
      <c r="T248" s="154"/>
      <c r="U248" s="154"/>
      <c r="V248" s="154"/>
      <c r="W248" s="154"/>
      <c r="X248" s="154"/>
      <c r="Y248" s="154"/>
      <c r="Z248" s="154"/>
      <c r="AA248" s="154"/>
      <c r="AB248" s="154"/>
      <c r="AC248" s="154"/>
      <c r="AD248" s="154"/>
      <c r="AE248" s="154"/>
      <c r="AF248" s="154"/>
      <c r="AG248" s="154"/>
      <c r="AH248" s="154"/>
      <c r="AI248" s="154"/>
      <c r="AJ248" s="154"/>
      <c r="AK248" s="1092"/>
      <c r="AL248" s="1092"/>
      <c r="AM248" s="410"/>
      <c r="AN248" s="154"/>
      <c r="AO248" s="154"/>
      <c r="AT248" s="154"/>
      <c r="BR248" s="154"/>
      <c r="BS248" s="154"/>
      <c r="BT248" s="154"/>
      <c r="BU248" s="154"/>
      <c r="BV248" s="154"/>
      <c r="BW248" s="154"/>
      <c r="BX248" s="154"/>
      <c r="BY248" s="154"/>
      <c r="BZ248" s="154"/>
      <c r="CA248" s="154"/>
      <c r="CB248" s="154"/>
      <c r="CC248" s="154"/>
      <c r="CD248" s="154"/>
      <c r="CE248" s="154"/>
      <c r="CF248" s="154"/>
      <c r="CG248" s="154"/>
      <c r="CH248" s="154"/>
      <c r="CI248" s="154"/>
      <c r="CJ248" s="154"/>
      <c r="CK248" s="154"/>
      <c r="CL248" s="154"/>
      <c r="CM248" s="154"/>
      <c r="CN248" s="154"/>
      <c r="CO248" s="154"/>
      <c r="CP248" s="154"/>
      <c r="CQ248" s="154"/>
      <c r="CR248" s="154"/>
      <c r="CS248" s="154"/>
      <c r="CT248" s="154"/>
      <c r="CU248" s="154"/>
      <c r="CV248" s="154"/>
      <c r="CW248" s="154"/>
      <c r="CX248" s="154"/>
      <c r="CY248" s="154"/>
      <c r="CZ248" s="154"/>
      <c r="DA248" s="1092"/>
    </row>
    <row r="249" spans="1:105">
      <c r="A249" s="154"/>
      <c r="B249" s="154"/>
      <c r="C249" s="154"/>
      <c r="D249" s="154"/>
      <c r="E249" s="154"/>
      <c r="F249" s="154"/>
      <c r="G249" s="154"/>
      <c r="H249" s="154"/>
      <c r="I249" s="154"/>
      <c r="J249" s="154"/>
      <c r="K249" s="154"/>
      <c r="L249" s="154"/>
      <c r="M249" s="154"/>
      <c r="N249" s="154"/>
      <c r="O249" s="167">
        <f>O247-O248</f>
        <v>3701</v>
      </c>
      <c r="P249" s="154"/>
      <c r="Q249" s="154"/>
      <c r="R249" s="154"/>
      <c r="S249" s="154"/>
      <c r="T249" s="154"/>
      <c r="U249" s="154"/>
      <c r="V249" s="154"/>
      <c r="W249" s="154"/>
      <c r="X249" s="154"/>
      <c r="Y249" s="154"/>
      <c r="Z249" s="154"/>
      <c r="AA249" s="154"/>
      <c r="AB249" s="154"/>
      <c r="AC249" s="154"/>
      <c r="AD249" s="154"/>
      <c r="AE249" s="154"/>
      <c r="AF249" s="154"/>
      <c r="AG249" s="154"/>
      <c r="AH249" s="154"/>
      <c r="AI249" s="154"/>
      <c r="AJ249" s="154"/>
      <c r="AK249" s="1092"/>
      <c r="AL249" s="1092"/>
      <c r="AM249" s="410"/>
      <c r="AN249" s="154"/>
      <c r="AO249" s="154"/>
      <c r="AT249" s="154"/>
      <c r="BR249" s="154"/>
      <c r="BS249" s="154"/>
      <c r="BT249" s="154"/>
      <c r="BU249" s="154"/>
      <c r="BV249" s="154"/>
      <c r="BW249" s="154"/>
      <c r="BX249" s="154"/>
      <c r="BY249" s="154"/>
      <c r="BZ249" s="154"/>
      <c r="CA249" s="154"/>
      <c r="CB249" s="154"/>
      <c r="CC249" s="154"/>
      <c r="CD249" s="154"/>
      <c r="CE249" s="154"/>
      <c r="CF249" s="154"/>
      <c r="CG249" s="154"/>
      <c r="CH249" s="154"/>
      <c r="CI249" s="154"/>
      <c r="CJ249" s="154"/>
      <c r="CK249" s="154"/>
      <c r="CL249" s="154"/>
      <c r="CM249" s="154"/>
      <c r="CN249" s="154"/>
      <c r="CO249" s="154"/>
      <c r="CP249" s="154"/>
      <c r="CQ249" s="154"/>
      <c r="CR249" s="154"/>
      <c r="CS249" s="154"/>
      <c r="CT249" s="154"/>
      <c r="CU249" s="154"/>
      <c r="CV249" s="154"/>
      <c r="CW249" s="154"/>
      <c r="CX249" s="154"/>
      <c r="CY249" s="154"/>
      <c r="CZ249" s="154"/>
      <c r="DA249" s="1092"/>
    </row>
    <row r="250" spans="1:105">
      <c r="A250" s="154"/>
      <c r="B250" s="154"/>
      <c r="C250" s="154"/>
      <c r="D250" s="154"/>
      <c r="E250" s="154"/>
      <c r="F250" s="154"/>
      <c r="G250" s="154"/>
      <c r="H250" s="154"/>
      <c r="I250" s="154"/>
      <c r="J250" s="154"/>
      <c r="K250" s="154"/>
      <c r="L250" s="154"/>
      <c r="M250" s="154"/>
      <c r="N250" s="154"/>
      <c r="O250" s="154">
        <v>133</v>
      </c>
      <c r="P250" s="154"/>
      <c r="Q250" s="154"/>
      <c r="R250" s="154"/>
      <c r="S250" s="154"/>
      <c r="T250" s="154"/>
      <c r="U250" s="154"/>
      <c r="V250" s="154"/>
      <c r="W250" s="154"/>
      <c r="X250" s="154"/>
      <c r="Y250" s="154"/>
      <c r="Z250" s="154"/>
      <c r="AA250" s="154"/>
      <c r="AB250" s="154"/>
      <c r="AC250" s="154"/>
      <c r="AD250" s="154"/>
      <c r="AE250" s="154"/>
      <c r="AF250" s="154"/>
      <c r="AG250" s="154"/>
      <c r="AH250" s="154"/>
      <c r="AI250" s="154"/>
      <c r="AJ250" s="154"/>
      <c r="AK250" s="1092"/>
      <c r="AL250" s="1092"/>
      <c r="AM250" s="410"/>
      <c r="AN250" s="154"/>
      <c r="AO250" s="167"/>
      <c r="AT250" s="154"/>
      <c r="BR250" s="154"/>
      <c r="BS250" s="154"/>
      <c r="BT250" s="154"/>
      <c r="BU250" s="154"/>
      <c r="BV250" s="154"/>
      <c r="BW250" s="154"/>
      <c r="BX250" s="154"/>
      <c r="BY250" s="154"/>
      <c r="BZ250" s="154"/>
      <c r="CA250" s="154"/>
      <c r="CB250" s="154"/>
      <c r="CC250" s="154"/>
      <c r="CD250" s="154"/>
      <c r="CE250" s="154"/>
      <c r="CF250" s="154"/>
      <c r="CG250" s="154"/>
      <c r="CH250" s="154"/>
      <c r="CI250" s="154"/>
      <c r="CJ250" s="154"/>
      <c r="CK250" s="154"/>
      <c r="CL250" s="154"/>
      <c r="CM250" s="154"/>
      <c r="CN250" s="154"/>
      <c r="CO250" s="154"/>
      <c r="CP250" s="154"/>
      <c r="CQ250" s="154"/>
      <c r="CR250" s="154"/>
      <c r="CS250" s="154"/>
      <c r="CT250" s="154"/>
      <c r="CU250" s="154"/>
      <c r="CV250" s="154"/>
      <c r="CW250" s="154"/>
      <c r="CX250" s="154"/>
      <c r="CY250" s="154"/>
      <c r="CZ250" s="154"/>
      <c r="DA250" s="1092"/>
    </row>
    <row r="251" spans="1:105">
      <c r="A251" s="154"/>
      <c r="B251" s="154"/>
      <c r="C251" s="154"/>
      <c r="D251" s="154"/>
      <c r="E251" s="154"/>
      <c r="F251" s="154"/>
      <c r="G251" s="154"/>
      <c r="H251" s="154"/>
      <c r="I251" s="154"/>
      <c r="J251" s="154"/>
      <c r="K251" s="154"/>
      <c r="L251" s="154"/>
      <c r="M251" s="154"/>
      <c r="N251" s="154"/>
      <c r="O251" s="168">
        <f>O249-O250</f>
        <v>3568</v>
      </c>
      <c r="P251" s="167">
        <f>O251-O247</f>
        <v>-173</v>
      </c>
      <c r="Q251" s="157">
        <f>P251/O247</f>
        <v>-4.6244319700614808E-2</v>
      </c>
      <c r="R251" s="154"/>
      <c r="S251" s="154"/>
      <c r="T251" s="154"/>
      <c r="U251" s="154"/>
      <c r="V251" s="154"/>
      <c r="W251" s="154"/>
      <c r="X251" s="154"/>
      <c r="Y251" s="154"/>
      <c r="Z251" s="154"/>
      <c r="AA251" s="154"/>
      <c r="AB251" s="154"/>
      <c r="AC251" s="154"/>
      <c r="AD251" s="154"/>
      <c r="AE251" s="154"/>
      <c r="AF251" s="154"/>
      <c r="AG251" s="154"/>
      <c r="AH251" s="154"/>
      <c r="AI251" s="154"/>
      <c r="AJ251" s="154"/>
      <c r="AK251" s="1092"/>
      <c r="AL251" s="1092"/>
      <c r="AM251" s="410"/>
      <c r="AN251" s="154"/>
      <c r="AO251" s="154"/>
      <c r="AT251" s="154"/>
      <c r="BR251" s="154"/>
      <c r="BS251" s="154"/>
      <c r="BT251" s="154"/>
      <c r="BU251" s="154"/>
      <c r="BV251" s="154"/>
      <c r="BW251" s="154"/>
      <c r="BX251" s="154"/>
      <c r="BY251" s="154"/>
      <c r="BZ251" s="154"/>
      <c r="CA251" s="154"/>
      <c r="CB251" s="154"/>
      <c r="CC251" s="154"/>
      <c r="CD251" s="154"/>
      <c r="CE251" s="154"/>
      <c r="CF251" s="154"/>
      <c r="CG251" s="154"/>
      <c r="CH251" s="154"/>
      <c r="CI251" s="154"/>
      <c r="CJ251" s="154"/>
      <c r="CK251" s="154"/>
      <c r="CL251" s="154"/>
      <c r="CM251" s="154"/>
      <c r="CN251" s="154"/>
      <c r="CO251" s="154"/>
      <c r="CP251" s="154"/>
      <c r="CQ251" s="154"/>
      <c r="CR251" s="154"/>
      <c r="CS251" s="154"/>
      <c r="CT251" s="154"/>
      <c r="CU251" s="154"/>
      <c r="CV251" s="154"/>
      <c r="CW251" s="154"/>
      <c r="CX251" s="154"/>
      <c r="CY251" s="154"/>
      <c r="CZ251" s="154"/>
      <c r="DA251" s="1092"/>
    </row>
    <row r="252" spans="1:105">
      <c r="A252" s="154"/>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c r="AA252" s="154"/>
      <c r="AB252" s="154"/>
      <c r="AC252" s="154"/>
      <c r="AD252" s="154"/>
      <c r="AE252" s="154"/>
      <c r="AF252" s="154"/>
      <c r="AG252" s="154"/>
      <c r="AH252" s="154"/>
      <c r="AI252" s="154"/>
      <c r="AJ252" s="154"/>
      <c r="AK252" s="1092"/>
      <c r="AL252" s="1092"/>
      <c r="AM252" s="410"/>
      <c r="AN252" s="154"/>
      <c r="AO252" s="154"/>
      <c r="AT252" s="154"/>
      <c r="BR252" s="154"/>
      <c r="BS252" s="154"/>
      <c r="BT252" s="154"/>
      <c r="BU252" s="154"/>
      <c r="BV252" s="154"/>
      <c r="BW252" s="154"/>
      <c r="BX252" s="154"/>
      <c r="BY252" s="154"/>
      <c r="BZ252" s="154"/>
      <c r="CA252" s="154"/>
      <c r="CB252" s="154"/>
      <c r="CC252" s="154"/>
      <c r="CD252" s="154"/>
      <c r="CE252" s="154"/>
      <c r="CF252" s="154"/>
      <c r="CG252" s="154"/>
      <c r="CH252" s="154"/>
      <c r="CI252" s="154"/>
      <c r="CJ252" s="154"/>
      <c r="CK252" s="154"/>
      <c r="CL252" s="154"/>
      <c r="CM252" s="154"/>
      <c r="CN252" s="154"/>
      <c r="CO252" s="154"/>
      <c r="CP252" s="154"/>
      <c r="CQ252" s="154"/>
      <c r="CR252" s="154"/>
      <c r="CS252" s="154"/>
      <c r="CT252" s="154"/>
      <c r="CU252" s="154"/>
      <c r="CV252" s="154"/>
      <c r="CW252" s="154"/>
      <c r="CX252" s="154"/>
      <c r="CY252" s="154"/>
      <c r="CZ252" s="154"/>
      <c r="DA252" s="1092"/>
    </row>
    <row r="253" spans="1:105">
      <c r="A253" s="154"/>
      <c r="B253" s="154"/>
      <c r="C253" s="154"/>
      <c r="D253" s="154"/>
      <c r="E253" s="154"/>
      <c r="F253" s="154"/>
      <c r="G253" s="154"/>
      <c r="H253" s="154"/>
      <c r="I253" s="154"/>
      <c r="J253" s="154"/>
      <c r="K253" s="154"/>
      <c r="L253" s="154"/>
      <c r="M253" s="154"/>
      <c r="N253" s="154"/>
      <c r="O253" s="167">
        <v>956</v>
      </c>
      <c r="P253" s="154"/>
      <c r="Q253" s="154"/>
      <c r="R253" s="154"/>
      <c r="S253" s="154"/>
      <c r="T253" s="154"/>
      <c r="U253" s="154"/>
      <c r="V253" s="154"/>
      <c r="W253" s="154"/>
      <c r="X253" s="154"/>
      <c r="Y253" s="154"/>
      <c r="Z253" s="154"/>
      <c r="AA253" s="154"/>
      <c r="AB253" s="154"/>
      <c r="AC253" s="154"/>
      <c r="AD253" s="154"/>
      <c r="AE253" s="154"/>
      <c r="AF253" s="154"/>
      <c r="AG253" s="154"/>
      <c r="AH253" s="154"/>
      <c r="AI253" s="154"/>
      <c r="AJ253" s="154"/>
      <c r="AK253" s="1092"/>
      <c r="AL253" s="1092"/>
      <c r="AM253" s="410"/>
      <c r="AN253" s="154"/>
      <c r="AO253" s="154"/>
      <c r="AT253" s="154"/>
      <c r="BR253" s="154"/>
      <c r="BS253" s="154"/>
      <c r="BT253" s="154"/>
      <c r="BU253" s="154"/>
      <c r="BV253" s="154"/>
      <c r="BW253" s="154"/>
      <c r="BX253" s="154"/>
      <c r="BY253" s="154"/>
      <c r="BZ253" s="154"/>
      <c r="CA253" s="154"/>
      <c r="CB253" s="154"/>
      <c r="CC253" s="154"/>
      <c r="CD253" s="154"/>
      <c r="CE253" s="154"/>
      <c r="CF253" s="154"/>
      <c r="CG253" s="154"/>
      <c r="CH253" s="154"/>
      <c r="CI253" s="154"/>
      <c r="CJ253" s="154"/>
      <c r="CK253" s="154"/>
      <c r="CL253" s="154"/>
      <c r="CM253" s="154"/>
      <c r="CN253" s="154"/>
      <c r="CO253" s="154"/>
      <c r="CP253" s="154"/>
      <c r="CQ253" s="154"/>
      <c r="CR253" s="154"/>
      <c r="CS253" s="154"/>
      <c r="CT253" s="154"/>
      <c r="CU253" s="154"/>
      <c r="CV253" s="154"/>
      <c r="CW253" s="154"/>
      <c r="CX253" s="154"/>
      <c r="CY253" s="154"/>
      <c r="CZ253" s="154"/>
      <c r="DA253" s="1092"/>
    </row>
    <row r="254" spans="1:105">
      <c r="A254" s="154"/>
      <c r="B254" s="154"/>
      <c r="C254" s="154"/>
      <c r="D254" s="154"/>
      <c r="E254" s="154"/>
      <c r="F254" s="154"/>
      <c r="G254" s="154"/>
      <c r="H254" s="154"/>
      <c r="I254" s="154"/>
      <c r="J254" s="154"/>
      <c r="K254" s="154"/>
      <c r="L254" s="154"/>
      <c r="M254" s="154"/>
      <c r="N254" s="154"/>
      <c r="O254" s="460">
        <f>O237</f>
        <v>27.797183098591553</v>
      </c>
      <c r="P254" s="154"/>
      <c r="Q254" s="154"/>
      <c r="R254" s="154"/>
      <c r="S254" s="154"/>
      <c r="T254" s="154"/>
      <c r="U254" s="154">
        <v>230</v>
      </c>
      <c r="V254" s="154"/>
      <c r="W254" s="154"/>
      <c r="X254" s="154"/>
      <c r="Y254" s="154"/>
      <c r="Z254" s="154"/>
      <c r="AA254" s="154"/>
      <c r="AB254" s="154"/>
      <c r="AC254" s="154"/>
      <c r="AD254" s="154"/>
      <c r="AE254" s="154"/>
      <c r="AF254" s="154"/>
      <c r="AG254" s="154"/>
      <c r="AH254" s="154"/>
      <c r="AI254" s="154"/>
      <c r="AJ254" s="154"/>
      <c r="AK254" s="1092"/>
      <c r="AL254" s="1092"/>
      <c r="AM254" s="410"/>
      <c r="AN254" s="154"/>
      <c r="AO254" s="154"/>
      <c r="AT254" s="154"/>
      <c r="BR254" s="154"/>
      <c r="BS254" s="154"/>
      <c r="BT254" s="154"/>
      <c r="BU254" s="154"/>
      <c r="BV254" s="154"/>
      <c r="BW254" s="154"/>
      <c r="BX254" s="154"/>
      <c r="BY254" s="154"/>
      <c r="BZ254" s="154"/>
      <c r="CA254" s="154"/>
      <c r="CB254" s="154"/>
      <c r="CC254" s="154"/>
      <c r="CD254" s="154"/>
      <c r="CE254" s="154"/>
      <c r="CF254" s="154"/>
      <c r="CG254" s="154"/>
      <c r="CH254" s="154"/>
      <c r="CI254" s="154"/>
      <c r="CJ254" s="154"/>
      <c r="CK254" s="154"/>
      <c r="CL254" s="154"/>
      <c r="CM254" s="154"/>
      <c r="CN254" s="154"/>
      <c r="CO254" s="154"/>
      <c r="CP254" s="154"/>
      <c r="CQ254" s="154"/>
      <c r="CR254" s="154"/>
      <c r="CS254" s="154"/>
      <c r="CT254" s="154"/>
      <c r="CU254" s="154"/>
      <c r="CV254" s="154"/>
      <c r="CW254" s="154"/>
      <c r="CX254" s="154"/>
      <c r="CY254" s="154"/>
      <c r="CZ254" s="154"/>
      <c r="DA254" s="1092"/>
    </row>
    <row r="255" spans="1:105">
      <c r="A255" s="154"/>
      <c r="B255" s="154"/>
      <c r="C255" s="154"/>
      <c r="D255" s="154"/>
      <c r="E255" s="154"/>
      <c r="F255" s="154"/>
      <c r="G255" s="154"/>
      <c r="H255" s="154"/>
      <c r="I255" s="154"/>
      <c r="J255" s="154"/>
      <c r="K255" s="154"/>
      <c r="L255" s="154"/>
      <c r="M255" s="154"/>
      <c r="N255" s="154"/>
      <c r="O255" s="167">
        <f>O253-O254</f>
        <v>928.20281690140848</v>
      </c>
      <c r="P255" s="154"/>
      <c r="Q255" s="154"/>
      <c r="R255" s="154"/>
      <c r="S255" s="154"/>
      <c r="T255" s="154"/>
      <c r="U255" s="154">
        <f>0.7*U254</f>
        <v>161</v>
      </c>
      <c r="V255" s="154"/>
      <c r="W255" s="154"/>
      <c r="X255" s="154"/>
      <c r="Y255" s="154"/>
      <c r="Z255" s="154"/>
      <c r="AA255" s="154"/>
      <c r="AB255" s="154"/>
      <c r="AC255" s="154"/>
      <c r="AD255" s="154"/>
      <c r="AE255" s="154"/>
      <c r="AF255" s="154"/>
      <c r="AG255" s="154"/>
      <c r="AH255" s="154"/>
      <c r="AI255" s="154"/>
      <c r="AJ255" s="154"/>
      <c r="AK255" s="1092"/>
      <c r="AL255" s="1092"/>
      <c r="AM255" s="410"/>
      <c r="AN255" s="154"/>
      <c r="AO255" s="154"/>
      <c r="AT255" s="154"/>
      <c r="BR255" s="154"/>
      <c r="BS255" s="154"/>
      <c r="BT255" s="154"/>
      <c r="BU255" s="154"/>
      <c r="BV255" s="154"/>
      <c r="BW255" s="154"/>
      <c r="BX255" s="154"/>
      <c r="BY255" s="154"/>
      <c r="BZ255" s="154"/>
      <c r="CA255" s="154"/>
      <c r="CB255" s="154"/>
      <c r="CC255" s="154"/>
      <c r="CD255" s="154"/>
      <c r="CE255" s="154"/>
      <c r="CF255" s="154"/>
      <c r="CG255" s="154"/>
      <c r="CH255" s="154"/>
      <c r="CI255" s="154"/>
      <c r="CJ255" s="154"/>
      <c r="CK255" s="154"/>
      <c r="CL255" s="154"/>
      <c r="CM255" s="154"/>
      <c r="CN255" s="154"/>
      <c r="CO255" s="154"/>
      <c r="CP255" s="154"/>
      <c r="CQ255" s="154"/>
      <c r="CR255" s="154"/>
      <c r="CS255" s="154"/>
      <c r="CT255" s="154"/>
      <c r="CU255" s="154"/>
      <c r="CV255" s="154"/>
      <c r="CW255" s="154"/>
      <c r="CX255" s="154"/>
      <c r="CY255" s="154"/>
      <c r="CZ255" s="154"/>
      <c r="DA255" s="1092"/>
    </row>
    <row r="256" spans="1:105">
      <c r="A256" s="154"/>
      <c r="B256" s="154"/>
      <c r="C256" s="154"/>
      <c r="D256" s="154"/>
      <c r="E256" s="154"/>
      <c r="F256" s="154"/>
      <c r="G256" s="154"/>
      <c r="H256" s="154"/>
      <c r="I256" s="154"/>
      <c r="J256" s="154"/>
      <c r="K256" s="154"/>
      <c r="L256" s="154"/>
      <c r="M256" s="154"/>
      <c r="N256" s="154"/>
      <c r="O256" s="154"/>
      <c r="P256" s="154"/>
      <c r="Q256" s="154"/>
      <c r="R256" s="154"/>
      <c r="S256" s="154"/>
      <c r="T256" s="154"/>
      <c r="U256" s="154">
        <f>U255-V247</f>
        <v>121</v>
      </c>
      <c r="V256" s="154"/>
      <c r="W256" s="154"/>
      <c r="X256" s="154"/>
      <c r="Y256" s="154"/>
      <c r="Z256" s="154"/>
      <c r="AA256" s="154"/>
      <c r="AB256" s="154"/>
      <c r="AC256" s="154"/>
      <c r="AD256" s="154"/>
      <c r="AE256" s="154"/>
      <c r="AF256" s="154"/>
      <c r="AG256" s="154"/>
      <c r="AH256" s="154"/>
      <c r="AI256" s="154"/>
      <c r="AJ256" s="154"/>
      <c r="AK256" s="1092"/>
      <c r="AL256" s="1092"/>
      <c r="AM256" s="410"/>
      <c r="AN256" s="154"/>
      <c r="AO256" s="154"/>
      <c r="AT256" s="154"/>
      <c r="BR256" s="154"/>
      <c r="BS256" s="154"/>
      <c r="BT256" s="154"/>
      <c r="BU256" s="154"/>
      <c r="BV256" s="154"/>
      <c r="BW256" s="154"/>
      <c r="BX256" s="154"/>
      <c r="BY256" s="154"/>
      <c r="BZ256" s="154"/>
      <c r="CA256" s="154"/>
      <c r="CB256" s="154"/>
      <c r="CC256" s="154"/>
      <c r="CD256" s="154"/>
      <c r="CE256" s="154"/>
      <c r="CF256" s="154"/>
      <c r="CG256" s="154"/>
      <c r="CH256" s="154"/>
      <c r="CI256" s="154"/>
      <c r="CJ256" s="154"/>
      <c r="CK256" s="154"/>
      <c r="CL256" s="154"/>
      <c r="CM256" s="154"/>
      <c r="CN256" s="154"/>
      <c r="CO256" s="154"/>
      <c r="CP256" s="154"/>
      <c r="CQ256" s="154"/>
      <c r="CR256" s="154"/>
      <c r="CS256" s="154"/>
      <c r="CT256" s="154"/>
      <c r="CU256" s="154"/>
      <c r="CV256" s="154"/>
      <c r="CW256" s="154"/>
      <c r="CX256" s="154"/>
      <c r="CY256" s="154"/>
      <c r="CZ256" s="154"/>
      <c r="DA256" s="1092"/>
    </row>
    <row r="257" spans="1:105">
      <c r="A257" s="154"/>
      <c r="B257" s="154"/>
      <c r="C257" s="154"/>
      <c r="D257" s="154"/>
      <c r="E257" s="154"/>
      <c r="F257" s="154"/>
      <c r="G257" s="154"/>
      <c r="H257" s="154"/>
      <c r="I257" s="154"/>
      <c r="J257" s="154"/>
      <c r="K257" s="154"/>
      <c r="L257" s="154"/>
      <c r="M257" s="154"/>
      <c r="N257" s="154"/>
      <c r="O257" s="952">
        <f>O251/O255</f>
        <v>3.8439874723834033</v>
      </c>
      <c r="P257" s="154"/>
      <c r="Q257" s="154"/>
      <c r="R257" s="154"/>
      <c r="S257" s="154"/>
      <c r="T257" s="154"/>
      <c r="U257" s="154"/>
      <c r="V257" s="154"/>
      <c r="W257" s="154"/>
      <c r="X257" s="154"/>
      <c r="Y257" s="154"/>
      <c r="Z257" s="154"/>
      <c r="AA257" s="154"/>
      <c r="AB257" s="154"/>
      <c r="AC257" s="154"/>
      <c r="AD257" s="154"/>
      <c r="AE257" s="154"/>
      <c r="AF257" s="154"/>
      <c r="AG257" s="154"/>
      <c r="AH257" s="154"/>
      <c r="AI257" s="154"/>
      <c r="AJ257" s="154"/>
      <c r="AK257" s="1092"/>
      <c r="AL257" s="1092"/>
      <c r="AM257" s="410"/>
      <c r="AN257" s="154"/>
      <c r="AO257" s="154"/>
      <c r="AT257" s="154"/>
      <c r="BR257" s="154"/>
      <c r="BS257" s="154"/>
      <c r="BT257" s="154"/>
      <c r="BU257" s="154"/>
      <c r="BV257" s="154"/>
      <c r="BW257" s="154"/>
      <c r="BX257" s="154"/>
      <c r="BY257" s="154"/>
      <c r="BZ257" s="154"/>
      <c r="CA257" s="154"/>
      <c r="CB257" s="154"/>
      <c r="CC257" s="154"/>
      <c r="CD257" s="154"/>
      <c r="CE257" s="154"/>
      <c r="CF257" s="154"/>
      <c r="CG257" s="154"/>
      <c r="CH257" s="154"/>
      <c r="CI257" s="154"/>
      <c r="CJ257" s="154"/>
      <c r="CK257" s="154"/>
      <c r="CL257" s="154"/>
      <c r="CM257" s="154"/>
      <c r="CN257" s="154"/>
      <c r="CO257" s="154"/>
      <c r="CP257" s="154"/>
      <c r="CQ257" s="154"/>
      <c r="CR257" s="154"/>
      <c r="CS257" s="154"/>
      <c r="CT257" s="154"/>
      <c r="CU257" s="154"/>
      <c r="CV257" s="154"/>
      <c r="CW257" s="154"/>
      <c r="CX257" s="154"/>
      <c r="CY257" s="154"/>
      <c r="CZ257" s="154"/>
      <c r="DA257" s="1092"/>
    </row>
    <row r="258" spans="1:105">
      <c r="A258" s="154"/>
      <c r="B258" s="154"/>
      <c r="C258" s="154"/>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c r="AA258" s="154"/>
      <c r="AB258" s="154"/>
      <c r="AC258" s="154"/>
      <c r="AD258" s="154"/>
      <c r="AE258" s="154"/>
      <c r="AF258" s="154"/>
      <c r="AG258" s="154"/>
      <c r="AH258" s="154"/>
      <c r="AI258" s="154"/>
      <c r="AJ258" s="154"/>
      <c r="AK258" s="1092"/>
      <c r="AL258" s="1092"/>
      <c r="AM258" s="410"/>
      <c r="AN258" s="154"/>
      <c r="AO258" s="154"/>
      <c r="AT258" s="154"/>
      <c r="BR258" s="154"/>
      <c r="BS258" s="154"/>
      <c r="BT258" s="154"/>
      <c r="BU258" s="154"/>
      <c r="BV258" s="154"/>
      <c r="BW258" s="154"/>
      <c r="BX258" s="154"/>
      <c r="BY258" s="154"/>
      <c r="BZ258" s="154"/>
      <c r="CA258" s="154"/>
      <c r="CB258" s="154"/>
      <c r="CC258" s="154"/>
      <c r="CD258" s="154"/>
      <c r="CE258" s="154"/>
      <c r="CF258" s="154"/>
      <c r="CG258" s="154"/>
      <c r="CH258" s="154"/>
      <c r="CI258" s="154"/>
      <c r="CJ258" s="154"/>
      <c r="CK258" s="154"/>
      <c r="CL258" s="154"/>
      <c r="CM258" s="154"/>
      <c r="CN258" s="154"/>
      <c r="CO258" s="154"/>
      <c r="CP258" s="154"/>
      <c r="CQ258" s="154"/>
      <c r="CR258" s="154"/>
      <c r="CS258" s="154"/>
      <c r="CT258" s="154"/>
      <c r="CU258" s="154"/>
      <c r="CV258" s="154"/>
      <c r="CW258" s="154"/>
      <c r="CX258" s="154"/>
      <c r="CY258" s="154"/>
      <c r="CZ258" s="154"/>
      <c r="DA258" s="1092"/>
    </row>
    <row r="259" spans="1:105">
      <c r="A259" s="154"/>
      <c r="B259" s="154"/>
      <c r="C259" s="154"/>
      <c r="D259" s="154"/>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c r="AA259" s="154"/>
      <c r="AB259" s="154"/>
      <c r="AC259" s="154"/>
      <c r="AD259" s="154"/>
      <c r="AE259" s="154"/>
      <c r="AF259" s="154"/>
      <c r="AG259" s="154"/>
      <c r="AH259" s="154"/>
      <c r="AI259" s="154"/>
      <c r="AJ259" s="154"/>
      <c r="AK259" s="154"/>
      <c r="AL259" s="154"/>
      <c r="AM259" s="154"/>
      <c r="AN259" s="154"/>
      <c r="AO259" s="154"/>
      <c r="AT259" s="154"/>
      <c r="BR259" s="154"/>
      <c r="BS259" s="154"/>
      <c r="BT259" s="154"/>
      <c r="BU259" s="154"/>
      <c r="BV259" s="154"/>
      <c r="BW259" s="154"/>
      <c r="BX259" s="154"/>
      <c r="BY259" s="154"/>
      <c r="BZ259" s="154"/>
      <c r="CA259" s="154"/>
      <c r="CB259" s="154"/>
      <c r="CC259" s="154"/>
      <c r="CD259" s="154"/>
      <c r="CE259" s="154"/>
      <c r="CF259" s="154"/>
      <c r="CG259" s="154"/>
      <c r="CH259" s="154"/>
      <c r="CI259" s="154"/>
      <c r="CJ259" s="154"/>
      <c r="CK259" s="154"/>
      <c r="CL259" s="154"/>
      <c r="CM259" s="154"/>
      <c r="CN259" s="154"/>
      <c r="CO259" s="154"/>
      <c r="CP259" s="154"/>
      <c r="CQ259" s="154"/>
      <c r="CR259" s="154"/>
      <c r="CS259" s="154"/>
      <c r="CT259" s="154"/>
      <c r="CU259" s="154"/>
      <c r="CV259" s="154"/>
      <c r="CW259" s="154"/>
      <c r="CX259" s="154"/>
      <c r="CY259" s="154"/>
      <c r="CZ259" s="154"/>
      <c r="DA259" s="154"/>
    </row>
    <row r="260" spans="1:105">
      <c r="A260" s="154"/>
      <c r="B260" s="154"/>
      <c r="C260" s="154"/>
      <c r="D260" s="154"/>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c r="AA260" s="154"/>
      <c r="AB260" s="154"/>
      <c r="AC260" s="154"/>
      <c r="AD260" s="154"/>
      <c r="AE260" s="154"/>
      <c r="AF260" s="154"/>
      <c r="AG260" s="154"/>
      <c r="AH260" s="154"/>
      <c r="AI260" s="154"/>
      <c r="AJ260" s="154"/>
      <c r="AK260" s="154"/>
      <c r="AL260" s="154"/>
      <c r="AM260" s="154"/>
      <c r="AN260" s="154"/>
      <c r="AO260" s="154"/>
      <c r="AT260" s="154"/>
      <c r="BR260" s="154"/>
      <c r="BS260" s="154"/>
      <c r="BT260" s="154"/>
      <c r="BU260" s="154"/>
      <c r="BV260" s="154"/>
      <c r="BW260" s="154"/>
      <c r="BX260" s="154"/>
      <c r="BY260" s="154"/>
      <c r="BZ260" s="154"/>
      <c r="CA260" s="154"/>
      <c r="CB260" s="154"/>
      <c r="CC260" s="154"/>
      <c r="CD260" s="154"/>
      <c r="CE260" s="154"/>
      <c r="CF260" s="154"/>
      <c r="CG260" s="154"/>
      <c r="CH260" s="154"/>
      <c r="CI260" s="154"/>
      <c r="CJ260" s="154"/>
      <c r="CK260" s="154"/>
      <c r="CL260" s="154"/>
      <c r="CM260" s="154"/>
      <c r="CN260" s="154"/>
      <c r="CO260" s="154"/>
      <c r="CP260" s="154"/>
      <c r="CQ260" s="154"/>
      <c r="CR260" s="154"/>
      <c r="CS260" s="154"/>
      <c r="CT260" s="154"/>
      <c r="CU260" s="154"/>
      <c r="CV260" s="154"/>
      <c r="CW260" s="154"/>
      <c r="CX260" s="154"/>
      <c r="CY260" s="154"/>
      <c r="CZ260" s="154"/>
      <c r="DA260" s="154"/>
    </row>
    <row r="261" spans="1:105">
      <c r="A261" s="154"/>
      <c r="B261" s="154"/>
      <c r="C261" s="154"/>
      <c r="D261" s="154"/>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c r="AA261" s="154"/>
      <c r="AB261" s="154"/>
      <c r="AC261" s="154"/>
      <c r="AD261" s="154"/>
      <c r="AE261" s="154"/>
      <c r="AF261" s="154"/>
      <c r="AG261" s="154"/>
      <c r="AH261" s="154"/>
      <c r="AI261" s="154"/>
      <c r="AJ261" s="154"/>
      <c r="AK261" s="154"/>
      <c r="AL261" s="154"/>
      <c r="AM261" s="154"/>
      <c r="AN261" s="154"/>
      <c r="AO261" s="154"/>
      <c r="AT261" s="154"/>
      <c r="BR261" s="154"/>
      <c r="BS261" s="154"/>
      <c r="BT261" s="154"/>
      <c r="BU261" s="154"/>
      <c r="BV261" s="154"/>
      <c r="BW261" s="154"/>
      <c r="BX261" s="154"/>
      <c r="BY261" s="154"/>
      <c r="BZ261" s="154"/>
      <c r="CA261" s="154"/>
      <c r="CB261" s="154"/>
      <c r="CC261" s="154"/>
      <c r="CD261" s="154"/>
      <c r="CE261" s="154"/>
      <c r="CF261" s="154"/>
      <c r="CG261" s="154"/>
      <c r="CH261" s="154"/>
      <c r="CI261" s="154"/>
      <c r="CJ261" s="154"/>
      <c r="CK261" s="154"/>
      <c r="CL261" s="154"/>
      <c r="CM261" s="154"/>
      <c r="CN261" s="154"/>
      <c r="CO261" s="154"/>
      <c r="CP261" s="154"/>
      <c r="CQ261" s="154"/>
      <c r="CR261" s="154"/>
      <c r="CS261" s="154"/>
      <c r="CT261" s="154"/>
      <c r="CU261" s="154"/>
      <c r="CV261" s="154"/>
      <c r="CW261" s="154"/>
      <c r="CX261" s="154"/>
      <c r="CY261" s="154"/>
      <c r="CZ261" s="154"/>
      <c r="DA261" s="154"/>
    </row>
    <row r="262" spans="1:105">
      <c r="A262" s="154"/>
      <c r="B262" s="154"/>
      <c r="C262" s="154"/>
      <c r="D262" s="154"/>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c r="AA262" s="154"/>
      <c r="AB262" s="154"/>
      <c r="AC262" s="154"/>
      <c r="AD262" s="154"/>
      <c r="AE262" s="154"/>
      <c r="AF262" s="154"/>
      <c r="AG262" s="154"/>
      <c r="AH262" s="154"/>
      <c r="AI262" s="154"/>
      <c r="AJ262" s="154"/>
      <c r="AK262" s="154"/>
      <c r="AL262" s="154"/>
      <c r="AM262" s="154"/>
      <c r="AN262" s="154"/>
      <c r="AO262" s="154"/>
      <c r="AT262" s="154"/>
      <c r="BR262" s="154"/>
      <c r="BS262" s="154"/>
      <c r="BT262" s="154"/>
      <c r="BU262" s="154"/>
      <c r="BV262" s="154"/>
      <c r="BW262" s="154"/>
      <c r="BX262" s="154"/>
      <c r="BY262" s="154"/>
      <c r="BZ262" s="154"/>
      <c r="CA262" s="154"/>
      <c r="CB262" s="154"/>
      <c r="CC262" s="154"/>
      <c r="CD262" s="154"/>
      <c r="CE262" s="154"/>
      <c r="CF262" s="154"/>
      <c r="CG262" s="154"/>
      <c r="CH262" s="154"/>
      <c r="CI262" s="154"/>
      <c r="CJ262" s="154"/>
      <c r="CK262" s="154"/>
      <c r="CL262" s="154"/>
      <c r="CM262" s="154"/>
      <c r="CN262" s="154"/>
      <c r="CO262" s="154"/>
      <c r="CP262" s="154"/>
      <c r="CQ262" s="154"/>
      <c r="CR262" s="154"/>
      <c r="CS262" s="154"/>
      <c r="CT262" s="154"/>
      <c r="CU262" s="154"/>
      <c r="CV262" s="154"/>
      <c r="CW262" s="154"/>
      <c r="CX262" s="154"/>
      <c r="CY262" s="154"/>
      <c r="CZ262" s="154"/>
      <c r="DA262" s="154"/>
    </row>
    <row r="263" spans="1:105">
      <c r="A263" s="154"/>
      <c r="B263" s="154"/>
      <c r="C263" s="154"/>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c r="AA263" s="154"/>
      <c r="AB263" s="154"/>
      <c r="AC263" s="154"/>
      <c r="AD263" s="154"/>
      <c r="AE263" s="154"/>
      <c r="AF263" s="154"/>
      <c r="AG263" s="154"/>
      <c r="AH263" s="154"/>
      <c r="AI263" s="154"/>
      <c r="AJ263" s="154"/>
      <c r="AK263" s="154"/>
      <c r="AL263" s="154"/>
      <c r="AM263" s="154"/>
      <c r="AN263" s="154"/>
      <c r="AO263" s="154"/>
      <c r="AT263" s="154"/>
      <c r="BR263" s="154"/>
      <c r="BS263" s="154"/>
      <c r="BT263" s="154"/>
      <c r="BU263" s="154"/>
      <c r="BV263" s="154"/>
      <c r="BW263" s="154"/>
      <c r="BX263" s="154"/>
      <c r="BY263" s="154"/>
      <c r="BZ263" s="154"/>
      <c r="CA263" s="154"/>
      <c r="CB263" s="154"/>
      <c r="CC263" s="154"/>
      <c r="CD263" s="154"/>
      <c r="CE263" s="154"/>
      <c r="CF263" s="154"/>
      <c r="CG263" s="154"/>
      <c r="CH263" s="154"/>
      <c r="CI263" s="154"/>
      <c r="CJ263" s="154"/>
      <c r="CK263" s="154"/>
      <c r="CL263" s="154"/>
      <c r="CM263" s="154"/>
      <c r="CN263" s="154"/>
      <c r="CO263" s="154"/>
      <c r="CP263" s="154"/>
      <c r="CQ263" s="154"/>
      <c r="CR263" s="154"/>
      <c r="CS263" s="154"/>
      <c r="CT263" s="154"/>
      <c r="CU263" s="154"/>
      <c r="CV263" s="154"/>
      <c r="CW263" s="154"/>
      <c r="CX263" s="154"/>
      <c r="CY263" s="154"/>
      <c r="CZ263" s="154"/>
      <c r="DA263" s="154"/>
    </row>
    <row r="264" spans="1:105">
      <c r="A264" s="154"/>
      <c r="B264" s="154"/>
      <c r="C264" s="154"/>
      <c r="D264" s="154"/>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c r="AA264" s="154"/>
      <c r="AB264" s="154"/>
      <c r="AC264" s="154"/>
      <c r="AD264" s="154"/>
      <c r="AE264" s="154"/>
      <c r="AF264" s="154"/>
      <c r="AG264" s="154"/>
      <c r="AH264" s="154"/>
      <c r="AI264" s="154"/>
      <c r="AJ264" s="154"/>
      <c r="AK264" s="154"/>
      <c r="AL264" s="154"/>
      <c r="AM264" s="154"/>
      <c r="AN264" s="154"/>
      <c r="AO264" s="154"/>
      <c r="AT264" s="154"/>
      <c r="BR264" s="154"/>
      <c r="BS264" s="154"/>
      <c r="BT264" s="154"/>
      <c r="BU264" s="154"/>
      <c r="BV264" s="154"/>
      <c r="BW264" s="154"/>
      <c r="BX264" s="154"/>
      <c r="BY264" s="154"/>
      <c r="BZ264" s="154"/>
      <c r="CA264" s="154"/>
      <c r="CB264" s="154"/>
      <c r="CC264" s="154"/>
      <c r="CD264" s="154"/>
      <c r="CE264" s="154"/>
      <c r="CF264" s="154"/>
      <c r="CG264" s="154"/>
      <c r="CH264" s="154"/>
      <c r="CI264" s="154"/>
      <c r="CJ264" s="154"/>
      <c r="CK264" s="154"/>
      <c r="CL264" s="154"/>
      <c r="CM264" s="154"/>
      <c r="CN264" s="154"/>
      <c r="CO264" s="154"/>
      <c r="CP264" s="154"/>
      <c r="CQ264" s="154"/>
      <c r="CR264" s="154"/>
      <c r="CS264" s="154"/>
      <c r="CT264" s="154"/>
      <c r="CU264" s="154"/>
      <c r="CV264" s="154"/>
      <c r="CW264" s="154"/>
      <c r="CX264" s="154"/>
      <c r="CY264" s="154"/>
      <c r="CZ264" s="154"/>
      <c r="DA264" s="154"/>
    </row>
    <row r="265" spans="1:105">
      <c r="A265" s="154"/>
      <c r="B265" s="154"/>
      <c r="C265" s="154"/>
      <c r="D265" s="154"/>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c r="AA265" s="154"/>
      <c r="AB265" s="154"/>
      <c r="AC265" s="154"/>
      <c r="AD265" s="154"/>
      <c r="AE265" s="154"/>
      <c r="AF265" s="154"/>
      <c r="AG265" s="154"/>
      <c r="AH265" s="154"/>
      <c r="AI265" s="154"/>
      <c r="AJ265" s="154"/>
      <c r="AK265" s="154"/>
      <c r="AL265" s="154"/>
      <c r="AM265" s="154"/>
      <c r="AN265" s="154"/>
      <c r="AO265" s="154"/>
      <c r="AT265" s="154"/>
      <c r="BR265" s="154"/>
      <c r="BS265" s="154"/>
      <c r="BT265" s="154"/>
      <c r="BU265" s="154"/>
      <c r="BV265" s="154"/>
      <c r="BW265" s="154"/>
      <c r="BX265" s="154"/>
      <c r="BY265" s="154"/>
      <c r="BZ265" s="154"/>
      <c r="CA265" s="154"/>
      <c r="CB265" s="154"/>
      <c r="CC265" s="154"/>
      <c r="CD265" s="154"/>
      <c r="CE265" s="154"/>
      <c r="CF265" s="154"/>
      <c r="CG265" s="154"/>
      <c r="CH265" s="154"/>
      <c r="CI265" s="154"/>
      <c r="CJ265" s="154"/>
      <c r="CK265" s="154"/>
      <c r="CL265" s="154"/>
      <c r="CM265" s="154"/>
      <c r="CN265" s="154"/>
      <c r="CO265" s="154"/>
      <c r="CP265" s="154"/>
      <c r="CQ265" s="154"/>
      <c r="CR265" s="154"/>
      <c r="CS265" s="154"/>
      <c r="CT265" s="154"/>
      <c r="CU265" s="154"/>
      <c r="CV265" s="154"/>
      <c r="CW265" s="154"/>
      <c r="CX265" s="154"/>
      <c r="CY265" s="154"/>
      <c r="CZ265" s="154"/>
      <c r="DA265" s="154"/>
    </row>
    <row r="266" spans="1:105">
      <c r="A266" s="154"/>
      <c r="B266" s="154"/>
      <c r="C266" s="154"/>
      <c r="D266" s="154"/>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c r="AA266" s="154"/>
      <c r="AB266" s="154"/>
      <c r="AC266" s="154"/>
      <c r="AD266" s="154"/>
      <c r="AE266" s="154"/>
      <c r="AF266" s="154"/>
      <c r="AG266" s="154"/>
      <c r="AH266" s="154"/>
      <c r="AI266" s="154"/>
      <c r="AJ266" s="154"/>
      <c r="AK266" s="154"/>
      <c r="AL266" s="154"/>
      <c r="AM266" s="154"/>
      <c r="AN266" s="154"/>
      <c r="AO266" s="154"/>
      <c r="AT266" s="154"/>
      <c r="BR266" s="154"/>
      <c r="BS266" s="154"/>
      <c r="BT266" s="154"/>
      <c r="BU266" s="154"/>
      <c r="BV266" s="154"/>
      <c r="BW266" s="154"/>
      <c r="BX266" s="154"/>
      <c r="BY266" s="154"/>
      <c r="BZ266" s="154"/>
      <c r="CA266" s="154"/>
      <c r="CB266" s="154"/>
      <c r="CC266" s="154"/>
      <c r="CD266" s="154"/>
      <c r="CE266" s="154"/>
      <c r="CF266" s="154"/>
      <c r="CG266" s="154"/>
      <c r="CH266" s="154"/>
      <c r="CI266" s="154"/>
      <c r="CJ266" s="154"/>
      <c r="CK266" s="154"/>
      <c r="CL266" s="154"/>
      <c r="CM266" s="154"/>
      <c r="CN266" s="154"/>
      <c r="CO266" s="154"/>
      <c r="CP266" s="154"/>
      <c r="CQ266" s="154"/>
      <c r="CR266" s="154"/>
      <c r="CS266" s="154"/>
      <c r="CT266" s="154"/>
      <c r="CU266" s="154"/>
      <c r="CV266" s="154"/>
      <c r="CW266" s="154"/>
      <c r="CX266" s="154"/>
      <c r="CY266" s="154"/>
      <c r="CZ266" s="154"/>
      <c r="DA266" s="154"/>
    </row>
  </sheetData>
  <phoneticPr fontId="274" type="noConversion"/>
  <pageMargins left="0.7" right="0.7" top="0.75" bottom="0.75" header="0.3" footer="0.3"/>
  <pageSetup orientation="portrait" r:id="rId1"/>
  <ignoredErrors>
    <ignoredError sqref="Q37:X40 P90:R103 P82:R85 Q48:R49 Q26:X30 P68:R71 Q52:R55 P76:R80 P62:R66 X62:X63 X72:X75 X86:X89 X81 X67 X65 Q50 Q42:X43 Q41:R41 Q46:X47 Q44 Q33:X33 Q32:T32 W32:X32 Q35:V35 Q31:R31 Z62:Z63 Y62:Y63 AA62:AH63" formulaRange="1"/>
    <ignoredError sqref="S98:Y98 S101:X101 S99:X99 S100:W100 S103:W103 S102:X102 S95:X97" evalError="1" formulaRange="1"/>
    <ignoredError sqref="S106:X106 Z98 Z104 S104:X104" evalError="1"/>
    <ignoredError sqref="S62:W62 S48:X49 S52:X54 S55:W55 X64 AA64:AH64 AA80:AH80 AA82:AH82 Y82 AA86:AG89 AA81:AH81 Y81 Y83:AG84 AA90:AG92 Y90:Y92 AA79:AH79 Y79 AA78:AH78 Y78 AA85:AG85 Y85 Y86:Y89 AA94:AH94 AA65:AH68 Y65:Y68 Y69:AG70 AA71:AH77 Y71:Y77 Y80 AA93:AG93 Y93 Y64 Z93 Z71:Z77 Z65:Z68 Z85 Z78 Z79 Z90:Z92 Z81 Z86:Z89 Z82 Z80 Z64" formula="1" formulaRange="1"/>
    <ignoredError sqref="S76:W76 S94:X94 S68:W71 S63:W65 S78:W78 T77:W77 S82:W85 T79:W79 S80:W80 S66:W66 S90:W90 X66 X80 X79 X82:X85 X77 X78 X68:X71 X90:X93 X76 S92:W92 T91:W91 T93:W93 Z94 Y94:Y97" evalError="1" formula="1" formulaRange="1"/>
    <ignoredError sqref="Z48 AA95:AH97" formula="1"/>
    <ignoredError sqref="Z95:Z97" evalError="1" formula="1"/>
  </ignoredError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18C7-EF52-456E-9B62-FF3E390F5399}">
  <sheetPr codeName="Sheet11">
    <tabColor rgb="FFFFFF00"/>
  </sheetPr>
  <dimension ref="A1:BE139"/>
  <sheetViews>
    <sheetView zoomScale="75" zoomScaleNormal="75" workbookViewId="0">
      <pane xSplit="1" ySplit="2" topLeftCell="AD3" activePane="bottomRight" state="frozen"/>
      <selection pane="topRight" activeCell="B1" sqref="B1"/>
      <selection pane="bottomLeft" activeCell="A3" sqref="A3"/>
      <selection pane="bottomRight" activeCell="AV7" sqref="AV7"/>
    </sheetView>
  </sheetViews>
  <sheetFormatPr defaultRowHeight="15"/>
  <cols>
    <col min="1" max="1" width="24.140625" customWidth="1"/>
  </cols>
  <sheetData>
    <row r="1" spans="1:57">
      <c r="A1" s="377"/>
      <c r="B1" s="377"/>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377"/>
      <c r="BA1" s="377"/>
      <c r="BB1" s="377"/>
      <c r="BC1" s="153"/>
      <c r="BD1" s="153"/>
      <c r="BE1" s="153"/>
    </row>
    <row r="2" spans="1:57">
      <c r="A2" s="377"/>
      <c r="B2" s="378" t="s">
        <v>736</v>
      </c>
      <c r="C2" s="378" t="s">
        <v>737</v>
      </c>
      <c r="D2" s="378" t="s">
        <v>738</v>
      </c>
      <c r="E2" s="378" t="s">
        <v>708</v>
      </c>
      <c r="F2" s="377">
        <v>2016</v>
      </c>
      <c r="G2" s="378" t="s">
        <v>727</v>
      </c>
      <c r="H2" s="378" t="s">
        <v>728</v>
      </c>
      <c r="I2" s="378" t="s">
        <v>729</v>
      </c>
      <c r="J2" s="378" t="s">
        <v>707</v>
      </c>
      <c r="K2" s="377">
        <v>2017</v>
      </c>
      <c r="L2" s="378" t="s">
        <v>730</v>
      </c>
      <c r="M2" s="378" t="s">
        <v>731</v>
      </c>
      <c r="N2" s="378" t="s">
        <v>732</v>
      </c>
      <c r="O2" s="378" t="s">
        <v>706</v>
      </c>
      <c r="P2" s="377">
        <v>2018</v>
      </c>
      <c r="Q2" s="378" t="s">
        <v>733</v>
      </c>
      <c r="R2" s="378" t="s">
        <v>734</v>
      </c>
      <c r="S2" s="378" t="s">
        <v>735</v>
      </c>
      <c r="T2" s="378" t="s">
        <v>705</v>
      </c>
      <c r="U2" s="377">
        <v>2019</v>
      </c>
      <c r="V2" s="378" t="s">
        <v>631</v>
      </c>
      <c r="W2" s="378" t="s">
        <v>627</v>
      </c>
      <c r="X2" s="378" t="s">
        <v>628</v>
      </c>
      <c r="Y2" s="378" t="s">
        <v>629</v>
      </c>
      <c r="Z2" s="377">
        <v>2020</v>
      </c>
      <c r="AA2" s="378" t="s">
        <v>630</v>
      </c>
      <c r="AB2" s="378" t="s">
        <v>626</v>
      </c>
      <c r="AC2" s="378" t="s">
        <v>625</v>
      </c>
      <c r="AD2" s="378" t="s">
        <v>635</v>
      </c>
      <c r="AE2" s="377">
        <v>2021</v>
      </c>
      <c r="AF2" s="378" t="s">
        <v>742</v>
      </c>
      <c r="AG2" s="378" t="s">
        <v>747</v>
      </c>
      <c r="AH2" s="378" t="s">
        <v>842</v>
      </c>
      <c r="AI2" s="378" t="s">
        <v>860</v>
      </c>
      <c r="AJ2" s="377">
        <v>2022</v>
      </c>
      <c r="AK2" s="378" t="s">
        <v>863</v>
      </c>
      <c r="AL2" s="378" t="s">
        <v>864</v>
      </c>
      <c r="AM2" s="378" t="s">
        <v>865</v>
      </c>
      <c r="AN2" s="378" t="s">
        <v>866</v>
      </c>
      <c r="AO2" s="377">
        <v>2023</v>
      </c>
      <c r="AP2" s="378" t="s">
        <v>1005</v>
      </c>
      <c r="AQ2" s="378" t="s">
        <v>1006</v>
      </c>
      <c r="AR2" s="378" t="s">
        <v>1007</v>
      </c>
      <c r="AS2" s="378" t="s">
        <v>1008</v>
      </c>
      <c r="AT2" s="377">
        <v>2024</v>
      </c>
      <c r="AU2" s="378" t="s">
        <v>1122</v>
      </c>
      <c r="AV2" s="378" t="s">
        <v>1123</v>
      </c>
      <c r="AW2" s="377">
        <v>2025</v>
      </c>
      <c r="AX2" s="377">
        <v>2026</v>
      </c>
      <c r="AY2" s="377">
        <v>2027</v>
      </c>
      <c r="AZ2" s="377">
        <v>2028</v>
      </c>
      <c r="BA2" s="377">
        <v>2029</v>
      </c>
      <c r="BB2" s="377">
        <v>2030</v>
      </c>
      <c r="BC2" s="153"/>
      <c r="BD2" s="153"/>
      <c r="BE2" s="153"/>
    </row>
    <row r="3" spans="1:57">
      <c r="A3" s="153"/>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row>
    <row r="4" spans="1:57">
      <c r="A4" s="153"/>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row>
    <row r="5" spans="1:57">
      <c r="A5" s="379" t="s">
        <v>205</v>
      </c>
      <c r="B5" s="380"/>
      <c r="C5" s="380"/>
      <c r="D5" s="380"/>
      <c r="E5" s="380"/>
      <c r="F5" s="380"/>
      <c r="G5" s="380"/>
      <c r="H5" s="380"/>
      <c r="I5" s="380"/>
      <c r="J5" s="380"/>
      <c r="K5" s="380"/>
      <c r="L5" s="380"/>
      <c r="M5" s="380"/>
      <c r="N5" s="380"/>
      <c r="O5" s="380"/>
      <c r="P5" s="380"/>
      <c r="Q5" s="380"/>
      <c r="R5" s="380"/>
      <c r="S5" s="380"/>
      <c r="T5" s="380"/>
      <c r="U5" s="380"/>
      <c r="V5" s="380"/>
      <c r="W5" s="380"/>
      <c r="X5" s="380"/>
      <c r="Y5" s="380"/>
      <c r="Z5" s="380"/>
      <c r="AA5" s="380"/>
      <c r="AB5" s="380"/>
      <c r="AC5" s="380"/>
      <c r="AD5" s="380"/>
      <c r="AE5" s="380"/>
      <c r="AF5" s="380"/>
      <c r="AG5" s="380"/>
      <c r="AH5" s="380"/>
      <c r="AI5" s="380"/>
      <c r="AJ5" s="380"/>
      <c r="AK5" s="380"/>
      <c r="AL5" s="380"/>
      <c r="AM5" s="380"/>
      <c r="AN5" s="380"/>
      <c r="AO5" s="380"/>
      <c r="AP5" s="380"/>
      <c r="AQ5" s="380"/>
      <c r="AR5" s="380"/>
      <c r="AS5" s="380"/>
      <c r="AT5" s="380"/>
      <c r="AU5" s="380"/>
      <c r="AV5" s="380"/>
      <c r="AW5" s="380"/>
      <c r="AX5" s="380"/>
      <c r="AY5" s="380"/>
      <c r="AZ5" s="380"/>
      <c r="BA5" s="380"/>
      <c r="BB5" s="380"/>
      <c r="BC5" s="153"/>
      <c r="BD5" s="153"/>
      <c r="BE5" s="153"/>
    </row>
    <row r="6" spans="1:57">
      <c r="A6" s="381"/>
      <c r="B6" s="381"/>
      <c r="C6" s="381"/>
      <c r="D6" s="381"/>
      <c r="E6" s="381"/>
      <c r="F6" s="381"/>
      <c r="G6" s="381"/>
      <c r="H6" s="381"/>
      <c r="I6" s="381"/>
      <c r="J6" s="381"/>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153"/>
      <c r="BD6" s="153"/>
      <c r="BE6" s="153"/>
    </row>
    <row r="7" spans="1:57">
      <c r="A7" s="382" t="s">
        <v>716</v>
      </c>
      <c r="B7" s="383"/>
      <c r="C7" s="383"/>
      <c r="D7" s="383"/>
      <c r="E7" s="383"/>
      <c r="F7" s="383"/>
      <c r="G7" s="383"/>
      <c r="H7" s="383"/>
      <c r="I7" s="383"/>
      <c r="J7" s="383"/>
      <c r="K7" s="383"/>
      <c r="L7" s="383"/>
      <c r="M7" s="383"/>
      <c r="N7" s="383"/>
      <c r="O7" s="383"/>
      <c r="P7" s="383"/>
      <c r="Q7" s="383"/>
      <c r="R7" s="383"/>
      <c r="S7" s="383"/>
      <c r="T7" s="383"/>
      <c r="U7" s="383"/>
      <c r="V7" s="383">
        <f>Interims!O99</f>
        <v>332.589</v>
      </c>
      <c r="W7" s="383">
        <f>Interims!P99</f>
        <v>332</v>
      </c>
      <c r="X7" s="383">
        <f>Interims!Q99</f>
        <v>368</v>
      </c>
      <c r="Y7" s="383">
        <f>Interims!R99</f>
        <v>371</v>
      </c>
      <c r="Z7" s="383"/>
      <c r="AA7" s="383">
        <f>Interims!S99</f>
        <v>361.65</v>
      </c>
      <c r="AB7" s="383">
        <f>Interims!T99</f>
        <v>402</v>
      </c>
      <c r="AC7" s="383">
        <f>Interims!U99</f>
        <v>401</v>
      </c>
      <c r="AD7" s="383">
        <f>Interims!V99</f>
        <v>416</v>
      </c>
      <c r="AE7" s="383"/>
      <c r="AF7" s="383">
        <f>Interims!W99</f>
        <v>446.1</v>
      </c>
      <c r="AG7" s="383">
        <f>Interims!X99</f>
        <v>468</v>
      </c>
      <c r="AH7" s="383">
        <f>Interims!Y99</f>
        <v>521</v>
      </c>
      <c r="AI7" s="383">
        <f>Interims!Z99</f>
        <v>526</v>
      </c>
      <c r="AJ7" s="383"/>
      <c r="AK7" s="383">
        <f>Interims!AA99</f>
        <v>603</v>
      </c>
      <c r="AL7" s="383">
        <f>Interims!AB99</f>
        <v>546.20000000000005</v>
      </c>
      <c r="AM7" s="383">
        <f>Interims!AC99</f>
        <v>467.02300000000002</v>
      </c>
      <c r="AN7" s="383">
        <f>Interims!AD99</f>
        <v>509.8</v>
      </c>
      <c r="AO7" s="383"/>
      <c r="AP7" s="383">
        <f>Interims!AE99</f>
        <v>418</v>
      </c>
      <c r="AQ7" s="383">
        <f>Interims!AF99</f>
        <v>435</v>
      </c>
      <c r="AR7" s="383">
        <f>Interims!AG99</f>
        <v>420.28199999999998</v>
      </c>
      <c r="AS7" s="383">
        <f>Interims!AH99</f>
        <v>437.8</v>
      </c>
      <c r="AT7" s="383"/>
      <c r="AU7" s="383">
        <f>Interims!AI99</f>
        <v>439.6</v>
      </c>
      <c r="AV7" s="383">
        <f>Interims!AJ99</f>
        <v>433</v>
      </c>
      <c r="AW7" s="383"/>
      <c r="AX7" s="383"/>
      <c r="AY7" s="383"/>
      <c r="AZ7" s="383"/>
      <c r="BA7" s="383"/>
      <c r="BB7" s="383"/>
      <c r="BC7" s="153"/>
      <c r="BD7" s="153"/>
      <c r="BE7" s="153"/>
    </row>
    <row r="8" spans="1:57">
      <c r="A8" s="382" t="s">
        <v>717</v>
      </c>
      <c r="B8" s="383"/>
      <c r="C8" s="383"/>
      <c r="D8" s="383"/>
      <c r="E8" s="383"/>
      <c r="F8" s="383"/>
      <c r="G8" s="383"/>
      <c r="H8" s="383"/>
      <c r="I8" s="383"/>
      <c r="J8" s="383"/>
      <c r="K8" s="383"/>
      <c r="L8" s="383"/>
      <c r="M8" s="383"/>
      <c r="N8" s="383"/>
      <c r="O8" s="383"/>
      <c r="P8" s="383"/>
      <c r="Q8" s="383"/>
      <c r="R8" s="383"/>
      <c r="S8" s="383"/>
      <c r="T8" s="383"/>
      <c r="U8" s="383"/>
      <c r="V8" s="383">
        <f>V7</f>
        <v>332.589</v>
      </c>
      <c r="W8" s="383">
        <f t="shared" ref="W8:AD8" si="0">W7</f>
        <v>332</v>
      </c>
      <c r="X8" s="383">
        <f t="shared" si="0"/>
        <v>368</v>
      </c>
      <c r="Y8" s="383">
        <f t="shared" si="0"/>
        <v>371</v>
      </c>
      <c r="Z8" s="383"/>
      <c r="AA8" s="383">
        <f t="shared" si="0"/>
        <v>361.65</v>
      </c>
      <c r="AB8" s="383">
        <f t="shared" si="0"/>
        <v>402</v>
      </c>
      <c r="AC8" s="383">
        <f t="shared" si="0"/>
        <v>401</v>
      </c>
      <c r="AD8" s="383">
        <f t="shared" si="0"/>
        <v>416</v>
      </c>
      <c r="AE8" s="383"/>
      <c r="AF8" s="383">
        <f>AF7</f>
        <v>446.1</v>
      </c>
      <c r="AG8" s="383">
        <f>AG7</f>
        <v>468</v>
      </c>
      <c r="AH8" s="383">
        <f>AH7</f>
        <v>521</v>
      </c>
      <c r="AI8" s="383">
        <f>AI7</f>
        <v>526</v>
      </c>
      <c r="AJ8" s="383"/>
      <c r="AK8" s="383">
        <f>AK7</f>
        <v>603</v>
      </c>
      <c r="AL8" s="383">
        <f>AL7</f>
        <v>546.20000000000005</v>
      </c>
      <c r="AM8" s="383">
        <f>AM7</f>
        <v>467.02300000000002</v>
      </c>
      <c r="AN8" s="383">
        <f>AN7</f>
        <v>509.8</v>
      </c>
      <c r="AO8" s="383"/>
      <c r="AP8" s="383">
        <f>AP7</f>
        <v>418</v>
      </c>
      <c r="AQ8" s="383">
        <f>AQ7</f>
        <v>435</v>
      </c>
      <c r="AR8" s="383">
        <f>AR7</f>
        <v>420.28199999999998</v>
      </c>
      <c r="AS8" s="383">
        <f>AS7</f>
        <v>437.8</v>
      </c>
      <c r="AT8" s="383"/>
      <c r="AU8" s="383">
        <f>AU7</f>
        <v>439.6</v>
      </c>
      <c r="AV8" s="383">
        <f>AV7</f>
        <v>433</v>
      </c>
      <c r="AW8" s="383"/>
      <c r="AX8" s="383"/>
      <c r="AY8" s="383"/>
      <c r="AZ8" s="383"/>
      <c r="BA8" s="383"/>
      <c r="BB8" s="383"/>
      <c r="BC8" s="153"/>
      <c r="BD8" s="153"/>
      <c r="BE8" s="153"/>
    </row>
    <row r="9" spans="1:57">
      <c r="A9" s="384" t="s">
        <v>162</v>
      </c>
      <c r="B9" s="383"/>
      <c r="C9" s="385"/>
      <c r="D9" s="385"/>
      <c r="E9" s="385"/>
      <c r="F9" s="385"/>
      <c r="G9" s="385"/>
      <c r="H9" s="385"/>
      <c r="I9" s="385"/>
      <c r="J9" s="385"/>
      <c r="K9" s="385"/>
      <c r="L9" s="385"/>
      <c r="M9" s="385"/>
      <c r="N9" s="385"/>
      <c r="O9" s="385"/>
      <c r="P9" s="385"/>
      <c r="Q9" s="385"/>
      <c r="R9" s="385"/>
      <c r="S9" s="385"/>
      <c r="T9" s="385"/>
      <c r="U9" s="385"/>
      <c r="V9" s="385">
        <f>Interims!O9</f>
        <v>25774.5</v>
      </c>
      <c r="W9" s="385">
        <f>Interims!P9</f>
        <v>27473</v>
      </c>
      <c r="X9" s="385">
        <f>Interims!Q9</f>
        <v>27562</v>
      </c>
      <c r="Y9" s="385">
        <f>Interims!R9</f>
        <v>27807</v>
      </c>
      <c r="Z9" s="383"/>
      <c r="AA9" s="385">
        <f>Interims!S9</f>
        <v>29271</v>
      </c>
      <c r="AB9" s="385">
        <f>Interims!T9</f>
        <v>30207</v>
      </c>
      <c r="AC9" s="385">
        <f>Interims!U9</f>
        <v>30519</v>
      </c>
      <c r="AD9" s="385">
        <f>Interims!V9</f>
        <v>31043</v>
      </c>
      <c r="AE9" s="385"/>
      <c r="AF9" s="385">
        <f>Interims!W9</f>
        <v>33275</v>
      </c>
      <c r="AG9" s="385">
        <f>Interims!X9</f>
        <v>39052</v>
      </c>
      <c r="AH9" s="385">
        <f>Interims!Y9</f>
        <v>39397</v>
      </c>
      <c r="AI9" s="385">
        <f>Interims!Z9</f>
        <v>39652</v>
      </c>
      <c r="AJ9" s="385"/>
      <c r="AK9" s="385">
        <f>Interims!AA9</f>
        <v>39104</v>
      </c>
      <c r="AL9" s="385">
        <f>Interims!AB9</f>
        <v>39298</v>
      </c>
      <c r="AM9" s="385">
        <f>Interims!AC9</f>
        <v>39739</v>
      </c>
      <c r="AN9" s="385">
        <f>Interims!AD9</f>
        <v>40075</v>
      </c>
      <c r="AO9" s="385"/>
      <c r="AP9" s="385">
        <f>Interims!AE9</f>
        <v>40278</v>
      </c>
      <c r="AQ9" s="385">
        <f>Interims!AF9</f>
        <v>40332</v>
      </c>
      <c r="AR9" s="385">
        <f>Interims!AG9</f>
        <v>40650</v>
      </c>
      <c r="AS9" s="385">
        <f>Interims!AH9</f>
        <v>39229</v>
      </c>
      <c r="AT9" s="385"/>
      <c r="AU9" s="385">
        <f>Interims!AI9</f>
        <v>39212</v>
      </c>
      <c r="AV9" s="385">
        <f>Interims!AJ9</f>
        <v>39184</v>
      </c>
      <c r="AW9" s="385"/>
      <c r="AX9" s="385"/>
      <c r="AY9" s="385"/>
      <c r="AZ9" s="385"/>
      <c r="BA9" s="385"/>
      <c r="BB9" s="385"/>
      <c r="BC9" s="153"/>
      <c r="BD9" s="153"/>
      <c r="BE9" s="153"/>
    </row>
    <row r="10" spans="1:57">
      <c r="A10" s="384" t="s">
        <v>2</v>
      </c>
      <c r="B10" s="385"/>
      <c r="C10" s="385"/>
      <c r="D10" s="385"/>
      <c r="E10" s="385"/>
      <c r="F10" s="385"/>
      <c r="G10" s="385"/>
      <c r="H10" s="385"/>
      <c r="I10" s="385"/>
      <c r="J10" s="385"/>
      <c r="K10" s="385"/>
      <c r="L10" s="385"/>
      <c r="M10" s="385"/>
      <c r="N10" s="385"/>
      <c r="O10" s="385"/>
      <c r="P10" s="385"/>
      <c r="Q10" s="385"/>
      <c r="R10" s="385"/>
      <c r="S10" s="385"/>
      <c r="T10" s="385"/>
      <c r="U10" s="385"/>
      <c r="V10" s="385">
        <f>Interims!O10</f>
        <v>39952.5</v>
      </c>
      <c r="W10" s="385">
        <f>Interims!P10</f>
        <v>42253</v>
      </c>
      <c r="X10" s="385">
        <f>Interims!Q10</f>
        <v>42512</v>
      </c>
      <c r="Y10" s="385">
        <f>Interims!R10</f>
        <v>42864</v>
      </c>
      <c r="Z10" s="383"/>
      <c r="AA10" s="385">
        <f>Interims!S10</f>
        <v>44233</v>
      </c>
      <c r="AB10" s="385">
        <f>Interims!T10</f>
        <v>45487</v>
      </c>
      <c r="AC10" s="385">
        <f>Interims!U10</f>
        <v>46045</v>
      </c>
      <c r="AD10" s="385">
        <f>Interims!V10</f>
        <v>46414</v>
      </c>
      <c r="AE10" s="385"/>
      <c r="AF10" s="385">
        <f>Interims!W10</f>
        <v>49643</v>
      </c>
      <c r="AG10" s="385">
        <f>Interims!X10</f>
        <v>57381</v>
      </c>
      <c r="AH10" s="385">
        <f>Interims!Y10</f>
        <v>57893</v>
      </c>
      <c r="AI10" s="385">
        <f>Interims!Z10</f>
        <v>58573</v>
      </c>
      <c r="AJ10" s="385"/>
      <c r="AK10" s="385">
        <f>Interims!AA10</f>
        <v>58146</v>
      </c>
      <c r="AL10" s="385">
        <f>Interims!AB10</f>
        <v>58447</v>
      </c>
      <c r="AM10" s="385">
        <f>Interims!AC10</f>
        <v>59196</v>
      </c>
      <c r="AN10" s="385">
        <f>Interims!AD10</f>
        <v>59727</v>
      </c>
      <c r="AO10" s="385"/>
      <c r="AP10" s="385">
        <f>Interims!AE10</f>
        <v>59997</v>
      </c>
      <c r="AQ10" s="385">
        <f>Interims!AF10</f>
        <v>60382</v>
      </c>
      <c r="AR10" s="385">
        <f>Interims!AG10</f>
        <v>60315</v>
      </c>
      <c r="AS10" s="385">
        <f>Interims!AH10</f>
        <v>59343</v>
      </c>
      <c r="AT10" s="385"/>
      <c r="AU10" s="385">
        <f>Interims!AI10</f>
        <v>59606</v>
      </c>
      <c r="AV10" s="385">
        <f>Interims!AJ10</f>
        <v>59743</v>
      </c>
      <c r="AW10" s="385"/>
      <c r="AX10" s="385"/>
      <c r="AY10" s="385"/>
      <c r="AZ10" s="385"/>
      <c r="BA10" s="385"/>
      <c r="BB10" s="385"/>
      <c r="BC10" s="153"/>
      <c r="BD10" s="153"/>
      <c r="BE10" s="153"/>
    </row>
    <row r="11" spans="1:57">
      <c r="A11" s="382" t="s">
        <v>718</v>
      </c>
      <c r="B11" s="385"/>
      <c r="C11" s="386"/>
      <c r="D11" s="386"/>
      <c r="E11" s="386"/>
      <c r="F11" s="386"/>
      <c r="G11" s="387"/>
      <c r="H11" s="387"/>
      <c r="I11" s="387"/>
      <c r="J11" s="387"/>
      <c r="K11" s="387"/>
      <c r="L11" s="387"/>
      <c r="M11" s="387"/>
      <c r="N11" s="387"/>
      <c r="O11" s="387"/>
      <c r="P11" s="387"/>
      <c r="Q11" s="387"/>
      <c r="R11" s="387"/>
      <c r="S11" s="387"/>
      <c r="T11" s="387"/>
      <c r="U11" s="387"/>
      <c r="V11" s="388">
        <f>Interims!O11</f>
        <v>1.5500785660245591</v>
      </c>
      <c r="W11" s="388">
        <f>Interims!P11</f>
        <v>1.5379827466967568</v>
      </c>
      <c r="X11" s="388">
        <f>Interims!Q11</f>
        <v>1.5424134678180104</v>
      </c>
      <c r="Y11" s="388">
        <f>Interims!R11</f>
        <v>1.5414823605566943</v>
      </c>
      <c r="Z11" s="383"/>
      <c r="AA11" s="388">
        <f>Interims!S11</f>
        <v>1.5111543848860647</v>
      </c>
      <c r="AB11" s="388">
        <f>Interims!T11</f>
        <v>1.5058430165193499</v>
      </c>
      <c r="AC11" s="388">
        <f>Interims!U11</f>
        <v>1.5087322651463022</v>
      </c>
      <c r="AD11" s="388">
        <f>Interims!V11</f>
        <v>1.4951518860934832</v>
      </c>
      <c r="AE11" s="388"/>
      <c r="AF11" s="388">
        <f>Interims!W11</f>
        <v>1.491900826446281</v>
      </c>
      <c r="AG11" s="388">
        <f>Interims!X11</f>
        <v>1.469348560893168</v>
      </c>
      <c r="AH11" s="388">
        <f>Interims!Y11</f>
        <v>1.4694773713734548</v>
      </c>
      <c r="AI11" s="388">
        <f>Interims!Z11</f>
        <v>1.4771764349843639</v>
      </c>
      <c r="AJ11" s="387"/>
      <c r="AK11" s="388">
        <f>Interims!AA11</f>
        <v>1.4869578559738135</v>
      </c>
      <c r="AL11" s="388">
        <f>Interims!AB11</f>
        <v>1.4872767061936993</v>
      </c>
      <c r="AM11" s="388">
        <f>Interims!AC11</f>
        <v>1.4896197689926771</v>
      </c>
      <c r="AN11" s="388">
        <f>Interims!AD11</f>
        <v>1.4903805364940736</v>
      </c>
      <c r="AO11" s="387"/>
      <c r="AP11" s="388">
        <f>Interims!AE11</f>
        <v>1.4895724713242962</v>
      </c>
      <c r="AQ11" s="388">
        <f>Interims!AF11</f>
        <v>1.4971238718635327</v>
      </c>
      <c r="AR11" s="388">
        <f>Interims!AG11</f>
        <v>1.4837638376383764</v>
      </c>
      <c r="AS11" s="388">
        <f>Interims!AH11</f>
        <v>1.5127329271712253</v>
      </c>
      <c r="AT11" s="387"/>
      <c r="AU11" s="388">
        <f>Interims!AI11</f>
        <v>1.5200958890135672</v>
      </c>
      <c r="AV11" s="388">
        <f>Interims!AJ11</f>
        <v>1.5246784401796651</v>
      </c>
      <c r="AW11" s="387"/>
      <c r="AX11" s="387"/>
      <c r="AY11" s="387"/>
      <c r="AZ11" s="387"/>
      <c r="BA11" s="387"/>
      <c r="BB11" s="387"/>
      <c r="BC11" s="153"/>
      <c r="BD11" s="153"/>
      <c r="BE11" s="153"/>
    </row>
    <row r="12" spans="1:57">
      <c r="A12" s="382" t="s">
        <v>9</v>
      </c>
      <c r="B12" s="385"/>
      <c r="C12" s="383"/>
      <c r="D12" s="383"/>
      <c r="E12" s="383"/>
      <c r="F12" s="383"/>
      <c r="G12" s="383"/>
      <c r="H12" s="383"/>
      <c r="I12" s="383"/>
      <c r="J12" s="383"/>
      <c r="K12" s="383"/>
      <c r="L12" s="383"/>
      <c r="M12" s="383"/>
      <c r="N12" s="383"/>
      <c r="O12" s="383"/>
      <c r="P12" s="383"/>
      <c r="Q12" s="383"/>
      <c r="R12" s="383"/>
      <c r="S12" s="383"/>
      <c r="T12" s="383"/>
      <c r="U12" s="383"/>
      <c r="V12" s="383">
        <f>Interims!O128</f>
        <v>186</v>
      </c>
      <c r="W12" s="383">
        <f>Interims!P128</f>
        <v>189</v>
      </c>
      <c r="X12" s="383">
        <f>Interims!Q128</f>
        <v>229</v>
      </c>
      <c r="Y12" s="383">
        <f>Interims!R128</f>
        <v>215</v>
      </c>
      <c r="Z12" s="383"/>
      <c r="AA12" s="383">
        <f>Interims!S128</f>
        <v>215</v>
      </c>
      <c r="AB12" s="383">
        <f>Interims!T128</f>
        <v>275</v>
      </c>
      <c r="AC12" s="383">
        <f>Interims!U128</f>
        <v>220</v>
      </c>
      <c r="AD12" s="383">
        <f>Interims!V128</f>
        <v>217</v>
      </c>
      <c r="AE12" s="383"/>
      <c r="AF12" s="383">
        <f>Interims!W128</f>
        <v>244.9</v>
      </c>
      <c r="AG12" s="383">
        <f>Interims!X128</f>
        <v>239</v>
      </c>
      <c r="AH12" s="383">
        <f>Interims!Y128</f>
        <v>274.39999999999998</v>
      </c>
      <c r="AI12" s="383">
        <f>Interims!Z128</f>
        <v>273</v>
      </c>
      <c r="AJ12" s="383"/>
      <c r="AK12" s="383">
        <f>Interims!AA128</f>
        <v>335</v>
      </c>
      <c r="AL12" s="383">
        <f>Interims!AB128</f>
        <v>303.7</v>
      </c>
      <c r="AM12" s="383">
        <f>Interims!AC128</f>
        <v>238.102</v>
      </c>
      <c r="AN12" s="383">
        <f>Interims!AD128</f>
        <v>274.2</v>
      </c>
      <c r="AO12" s="383"/>
      <c r="AP12" s="383">
        <f>Interims!AE128</f>
        <v>185</v>
      </c>
      <c r="AQ12" s="383">
        <f>Interims!AF128</f>
        <v>251</v>
      </c>
      <c r="AR12" s="383">
        <f>Interims!AG128</f>
        <v>245.97499999999999</v>
      </c>
      <c r="AS12" s="383">
        <f>Interims!AH128</f>
        <v>246.4</v>
      </c>
      <c r="AT12" s="383"/>
      <c r="AU12" s="383">
        <f>Interims!AI128</f>
        <v>252.6</v>
      </c>
      <c r="AV12" s="383">
        <f>Interims!AJ128</f>
        <v>248</v>
      </c>
      <c r="AW12" s="383"/>
      <c r="AX12" s="383"/>
      <c r="AY12" s="383"/>
      <c r="AZ12" s="383"/>
      <c r="BA12" s="383"/>
      <c r="BB12" s="383"/>
      <c r="BC12" s="153"/>
      <c r="BD12" s="153"/>
      <c r="BE12" s="153"/>
    </row>
    <row r="13" spans="1:57">
      <c r="A13" s="382" t="s">
        <v>719</v>
      </c>
      <c r="B13" s="383"/>
      <c r="C13" s="383"/>
      <c r="D13" s="383"/>
      <c r="E13" s="383"/>
      <c r="F13" s="383"/>
      <c r="G13" s="383"/>
      <c r="H13" s="383"/>
      <c r="I13" s="383"/>
      <c r="J13" s="383"/>
      <c r="K13" s="383"/>
      <c r="L13" s="383"/>
      <c r="M13" s="383"/>
      <c r="N13" s="383"/>
      <c r="O13" s="383"/>
      <c r="P13" s="383"/>
      <c r="Q13" s="383"/>
      <c r="R13" s="383"/>
      <c r="S13" s="383"/>
      <c r="T13" s="383"/>
      <c r="U13" s="383"/>
      <c r="V13" s="383"/>
      <c r="W13" s="383"/>
      <c r="X13" s="383"/>
      <c r="Y13" s="383"/>
      <c r="Z13" s="383"/>
      <c r="AA13" s="383">
        <f>Interims!S170</f>
        <v>94</v>
      </c>
      <c r="AB13" s="383">
        <f>Interims!T170</f>
        <v>76</v>
      </c>
      <c r="AC13" s="383">
        <f>Interims!U170</f>
        <v>82</v>
      </c>
      <c r="AD13" s="383">
        <f>Interims!V170</f>
        <v>151</v>
      </c>
      <c r="AE13" s="383"/>
      <c r="AF13" s="383">
        <f>Interims!W170</f>
        <v>117</v>
      </c>
      <c r="AG13" s="383">
        <f>Interims!X170</f>
        <v>147</v>
      </c>
      <c r="AH13" s="383">
        <f>Interims!Y170</f>
        <v>174</v>
      </c>
      <c r="AI13" s="383">
        <f>Interims!Z170</f>
        <v>196</v>
      </c>
      <c r="AJ13" s="383"/>
      <c r="AK13" s="383">
        <f>Interims!AA170</f>
        <v>153</v>
      </c>
      <c r="AL13" s="383">
        <f>Interims!AB170</f>
        <v>202</v>
      </c>
      <c r="AM13" s="383">
        <f>Interims!AC170</f>
        <v>101</v>
      </c>
      <c r="AN13" s="383">
        <f>Interims!AD170</f>
        <v>131</v>
      </c>
      <c r="AO13" s="383"/>
      <c r="AP13" s="383">
        <f>Interims!AE170</f>
        <v>53</v>
      </c>
      <c r="AQ13" s="383">
        <f>Interims!AF170</f>
        <v>54</v>
      </c>
      <c r="AR13" s="383">
        <f>Interims!AG170</f>
        <v>66</v>
      </c>
      <c r="AS13" s="383">
        <f>Interims!AH170</f>
        <v>83</v>
      </c>
      <c r="AT13" s="383"/>
      <c r="AU13" s="383">
        <f>Interims!AI170</f>
        <v>43.7</v>
      </c>
      <c r="AV13" s="383">
        <f>Interims!AJ170</f>
        <v>46</v>
      </c>
      <c r="AW13" s="383"/>
      <c r="AX13" s="383"/>
      <c r="AY13" s="383"/>
      <c r="AZ13" s="383"/>
      <c r="BA13" s="383"/>
      <c r="BB13" s="383"/>
      <c r="BC13" s="153"/>
      <c r="BD13" s="153"/>
      <c r="BE13" s="153"/>
    </row>
    <row r="14" spans="1:57">
      <c r="A14" s="382"/>
      <c r="B14" s="383"/>
      <c r="C14" s="385"/>
      <c r="D14" s="385"/>
      <c r="E14" s="385"/>
      <c r="F14" s="385"/>
      <c r="G14" s="385"/>
      <c r="H14" s="385"/>
      <c r="I14" s="385"/>
      <c r="J14" s="385"/>
      <c r="K14" s="385"/>
      <c r="L14" s="385"/>
      <c r="M14" s="385"/>
      <c r="N14" s="385"/>
      <c r="O14" s="385"/>
      <c r="P14" s="385"/>
      <c r="Q14" s="385"/>
      <c r="R14" s="385"/>
      <c r="S14" s="385"/>
      <c r="T14" s="385"/>
      <c r="U14" s="385"/>
      <c r="V14" s="385"/>
      <c r="W14" s="385"/>
      <c r="X14" s="385"/>
      <c r="Y14" s="385"/>
      <c r="Z14" s="385"/>
      <c r="AA14" s="385"/>
      <c r="AB14" s="385"/>
      <c r="AC14" s="385"/>
      <c r="AD14" s="385"/>
      <c r="AE14" s="385"/>
      <c r="AF14" s="385"/>
      <c r="AG14" s="385"/>
      <c r="AH14" s="385"/>
      <c r="AI14" s="385"/>
      <c r="AJ14" s="385"/>
      <c r="AK14" s="385"/>
      <c r="AL14" s="385"/>
      <c r="AM14" s="385"/>
      <c r="AN14" s="385"/>
      <c r="AO14" s="385"/>
      <c r="AP14" s="385"/>
      <c r="AQ14" s="385"/>
      <c r="AR14" s="385"/>
      <c r="AS14" s="385"/>
      <c r="AT14" s="385"/>
      <c r="AU14" s="385"/>
      <c r="AV14" s="385"/>
      <c r="AW14" s="385"/>
      <c r="AX14" s="385"/>
      <c r="AY14" s="385"/>
      <c r="AZ14" s="385"/>
      <c r="BA14" s="385"/>
      <c r="BB14" s="385"/>
      <c r="BC14" s="153"/>
      <c r="BD14" s="153"/>
      <c r="BE14" s="153"/>
    </row>
    <row r="15" spans="1:57">
      <c r="A15" s="382" t="s">
        <v>720</v>
      </c>
      <c r="B15" s="385"/>
      <c r="C15" s="383"/>
      <c r="D15" s="383"/>
      <c r="E15" s="383"/>
      <c r="F15" s="383"/>
      <c r="G15" s="383"/>
      <c r="H15" s="383"/>
      <c r="I15" s="383"/>
      <c r="J15" s="383"/>
      <c r="K15" s="383"/>
      <c r="L15" s="383"/>
      <c r="M15" s="383"/>
      <c r="N15" s="383"/>
      <c r="O15" s="383"/>
      <c r="P15" s="383"/>
      <c r="Q15" s="383"/>
      <c r="R15" s="383"/>
      <c r="S15" s="383"/>
      <c r="T15" s="383"/>
      <c r="U15" s="383"/>
      <c r="V15" s="383"/>
      <c r="W15" s="383"/>
      <c r="X15" s="383"/>
      <c r="Y15" s="383"/>
      <c r="Z15" s="383"/>
      <c r="AA15" s="383"/>
      <c r="AB15" s="383"/>
      <c r="AC15" s="383"/>
      <c r="AD15" s="383"/>
      <c r="AE15" s="383"/>
      <c r="AF15" s="383"/>
      <c r="AG15" s="383"/>
      <c r="AH15" s="383"/>
      <c r="AI15" s="383"/>
      <c r="AJ15" s="383"/>
      <c r="AK15" s="383"/>
      <c r="AL15" s="383"/>
      <c r="AM15" s="383"/>
      <c r="AN15" s="383"/>
      <c r="AO15" s="383"/>
      <c r="AP15" s="383"/>
      <c r="AQ15" s="383"/>
      <c r="AR15" s="383"/>
      <c r="AS15" s="383"/>
      <c r="AT15" s="383"/>
      <c r="AU15" s="383"/>
      <c r="AV15" s="383"/>
      <c r="AW15" s="383"/>
      <c r="AX15" s="383"/>
      <c r="AY15" s="383"/>
      <c r="AZ15" s="383"/>
      <c r="BA15" s="383"/>
      <c r="BB15" s="383"/>
      <c r="BC15" s="153"/>
      <c r="BD15" s="153"/>
      <c r="BE15" s="153"/>
    </row>
    <row r="16" spans="1:57">
      <c r="A16" s="389" t="s">
        <v>721</v>
      </c>
      <c r="B16" s="390"/>
      <c r="C16" s="386"/>
      <c r="D16" s="386"/>
      <c r="E16" s="386"/>
      <c r="F16" s="386"/>
      <c r="G16" s="391"/>
      <c r="H16" s="391"/>
      <c r="I16" s="391"/>
      <c r="J16" s="391"/>
      <c r="K16" s="391"/>
      <c r="L16" s="391"/>
      <c r="M16" s="391"/>
      <c r="N16" s="391"/>
      <c r="O16" s="391"/>
      <c r="P16" s="391"/>
      <c r="Q16" s="391"/>
      <c r="R16" s="391"/>
      <c r="S16" s="391"/>
      <c r="T16" s="391"/>
      <c r="U16" s="385"/>
      <c r="V16" s="385">
        <f>Interims!O26</f>
        <v>2857.1281304563527</v>
      </c>
      <c r="W16" s="385">
        <f>Interims!P26</f>
        <v>2692.4394758663752</v>
      </c>
      <c r="X16" s="385">
        <f>Interims!Q26</f>
        <v>2894.2763326058321</v>
      </c>
      <c r="Y16" s="385">
        <f>Interims!R26</f>
        <v>2896.9890054972511</v>
      </c>
      <c r="Z16" s="385"/>
      <c r="AA16" s="385">
        <f>Interims!S26</f>
        <v>2768.1780084273855</v>
      </c>
      <c r="AB16" s="385">
        <f>Interims!T26</f>
        <v>2987.0708872046366</v>
      </c>
      <c r="AC16" s="385">
        <f>Interims!U26</f>
        <v>2920.654343107693</v>
      </c>
      <c r="AD16" s="385">
        <f>Interims!V26</f>
        <v>2999.5277185923846</v>
      </c>
      <c r="AE16" s="385"/>
      <c r="AF16" s="385">
        <f>Interims!W26</f>
        <v>3096.0783701343994</v>
      </c>
      <c r="AG16" s="385">
        <f>Interims!X26</f>
        <v>2915.2339662131858</v>
      </c>
      <c r="AH16" s="385">
        <f>Interims!Y26</f>
        <v>3013.1107911006238</v>
      </c>
      <c r="AI16" s="385">
        <f>Interims!Z26</f>
        <v>3010.8930217116299</v>
      </c>
      <c r="AJ16" s="391"/>
      <c r="AK16" s="385">
        <f>Interims!AA26</f>
        <v>3444.1693297577945</v>
      </c>
      <c r="AL16" s="385">
        <f>Interims!AB26</f>
        <v>3123.1148811106445</v>
      </c>
      <c r="AM16" s="385">
        <f>Interims!AC26</f>
        <v>2646.5549728132287</v>
      </c>
      <c r="AN16" s="385">
        <f>Interims!AD26</f>
        <v>2857.8716200118283</v>
      </c>
      <c r="AO16" s="391"/>
      <c r="AP16" s="385">
        <f>Interims!AE26</f>
        <v>2327.5756462085019</v>
      </c>
      <c r="AQ16" s="385">
        <f>Interims!AF26</f>
        <v>2409.0580582992047</v>
      </c>
      <c r="AR16" s="385">
        <f>Interims!AG26</f>
        <v>2321.4164395138237</v>
      </c>
      <c r="AS16" s="385">
        <f>Interims!AH26</f>
        <v>2439.1738677452963</v>
      </c>
      <c r="AT16" s="391"/>
      <c r="AU16" s="385">
        <f>Interims!AI26</f>
        <v>2463.8010127589696</v>
      </c>
      <c r="AV16" s="385">
        <f>Interims!AJ26</f>
        <v>2418.6768776166259</v>
      </c>
      <c r="AW16" s="391"/>
      <c r="AX16" s="391"/>
      <c r="AY16" s="391"/>
      <c r="AZ16" s="391"/>
      <c r="BA16" s="391"/>
      <c r="BB16" s="391"/>
      <c r="BC16" s="153"/>
      <c r="BD16" s="153"/>
      <c r="BE16" s="153"/>
    </row>
    <row r="17" spans="1:57">
      <c r="A17" s="389" t="s">
        <v>722</v>
      </c>
      <c r="B17" s="386"/>
      <c r="C17" s="386"/>
      <c r="D17" s="386"/>
      <c r="E17" s="386"/>
      <c r="F17" s="386"/>
      <c r="G17" s="391"/>
      <c r="H17" s="391"/>
      <c r="I17" s="391"/>
      <c r="J17" s="391"/>
      <c r="K17" s="391"/>
      <c r="L17" s="391"/>
      <c r="M17" s="391"/>
      <c r="N17" s="391"/>
      <c r="O17" s="391"/>
      <c r="P17" s="391"/>
      <c r="Q17" s="391"/>
      <c r="R17" s="391"/>
      <c r="S17" s="391"/>
      <c r="T17" s="391"/>
      <c r="U17" s="385"/>
      <c r="V17" s="385">
        <f>Interims!O29</f>
        <v>4447.8189787464516</v>
      </c>
      <c r="W17" s="385">
        <f>Interims!P29</f>
        <v>4156.6896724415856</v>
      </c>
      <c r="X17" s="385">
        <f>Interims!Q29</f>
        <v>4457.7692983253082</v>
      </c>
      <c r="Y17" s="385">
        <f>Interims!R29</f>
        <v>4467.000186626693</v>
      </c>
      <c r="Z17" s="385"/>
      <c r="AA17" s="385">
        <f>Interims!S29</f>
        <v>4224.0442902694558</v>
      </c>
      <c r="AB17" s="385">
        <f>Interims!T29</f>
        <v>4505.8677157940756</v>
      </c>
      <c r="AC17" s="385">
        <f>Interims!U29</f>
        <v>4402.287872300717</v>
      </c>
      <c r="AD17" s="385">
        <f>Interims!V29</f>
        <v>4504.9435257680607</v>
      </c>
      <c r="AE17" s="385"/>
      <c r="AF17" s="385">
        <f>Interims!W29</f>
        <v>4623.8999968904509</v>
      </c>
      <c r="AG17" s="385">
        <f>Interims!X29</f>
        <v>4313.7417561906341</v>
      </c>
      <c r="AH17" s="385">
        <f>Interims!Y29</f>
        <v>4427.5049182696193</v>
      </c>
      <c r="AI17" s="385">
        <f>Interims!Z29</f>
        <v>4436.0670807558181</v>
      </c>
      <c r="AJ17" s="391"/>
      <c r="AK17" s="385">
        <f>Interims!AA29</f>
        <v>5104.3730001523691</v>
      </c>
      <c r="AL17" s="385">
        <f>Interims!AB29</f>
        <v>4644.4393425337794</v>
      </c>
      <c r="AM17" s="385">
        <f>Interims!AC29</f>
        <v>3939.2773848535076</v>
      </c>
      <c r="AN17" s="385">
        <f>Interims!AD29</f>
        <v>4258.2337267480225</v>
      </c>
      <c r="AO17" s="391"/>
      <c r="AP17" s="385">
        <f>Interims!AE29</f>
        <v>3468.0306480985982</v>
      </c>
      <c r="AQ17" s="385">
        <f>Interims!AF29</f>
        <v>3597.5685398833889</v>
      </c>
      <c r="AR17" s="385">
        <f>Interims!AG29</f>
        <v>3459.8799733274063</v>
      </c>
      <c r="AS17" s="385">
        <f>Interims!AH29</f>
        <v>3653.8597962751996</v>
      </c>
      <c r="AT17" s="391"/>
      <c r="AU17" s="385">
        <f>Interims!AI29</f>
        <v>3736.1413886445439</v>
      </c>
      <c r="AV17" s="385">
        <f>Interims!AJ29</f>
        <v>3682.1606544551591</v>
      </c>
      <c r="AW17" s="391"/>
      <c r="AX17" s="391"/>
      <c r="AY17" s="391"/>
      <c r="AZ17" s="391"/>
      <c r="BA17" s="391"/>
      <c r="BB17" s="391"/>
      <c r="BC17" s="153"/>
      <c r="BD17" s="153"/>
      <c r="BE17" s="153"/>
    </row>
    <row r="18" spans="1:57">
      <c r="A18" s="392"/>
      <c r="B18" s="386"/>
      <c r="C18" s="386"/>
      <c r="D18" s="386"/>
      <c r="E18" s="386"/>
      <c r="F18" s="386"/>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153"/>
      <c r="BD18" s="153"/>
      <c r="BE18" s="153"/>
    </row>
    <row r="19" spans="1:57">
      <c r="A19" s="392" t="s">
        <v>94</v>
      </c>
      <c r="B19" s="393"/>
      <c r="C19" s="393"/>
      <c r="D19" s="393"/>
      <c r="E19" s="393"/>
      <c r="F19" s="393"/>
      <c r="G19" s="383"/>
      <c r="H19" s="383"/>
      <c r="I19" s="383"/>
      <c r="J19" s="383"/>
      <c r="K19" s="383"/>
      <c r="L19" s="383"/>
      <c r="M19" s="383"/>
      <c r="N19" s="383"/>
      <c r="O19" s="383"/>
      <c r="P19" s="383"/>
      <c r="Q19" s="383"/>
      <c r="R19" s="383"/>
      <c r="S19" s="383"/>
      <c r="T19" s="383"/>
      <c r="U19" s="383"/>
      <c r="V19" s="383"/>
      <c r="W19" s="383"/>
      <c r="X19" s="383">
        <f>Interims!Q206</f>
        <v>1900</v>
      </c>
      <c r="Y19" s="383">
        <f>Interims!R206</f>
        <v>1933</v>
      </c>
      <c r="Z19" s="383"/>
      <c r="AA19" s="383">
        <f>Interims!S206</f>
        <v>1933</v>
      </c>
      <c r="AB19" s="383">
        <f>Interims!T206</f>
        <v>2061</v>
      </c>
      <c r="AC19" s="383">
        <f>Interims!U206</f>
        <v>2022</v>
      </c>
      <c r="AD19" s="383">
        <f>Interims!V206</f>
        <v>2069</v>
      </c>
      <c r="AE19" s="383"/>
      <c r="AF19" s="383">
        <f>Interims!W206</f>
        <v>2552</v>
      </c>
      <c r="AG19" s="383">
        <f>Interims!X206</f>
        <v>3175</v>
      </c>
      <c r="AH19" s="383">
        <f>Interims!Y206</f>
        <v>3234</v>
      </c>
      <c r="AI19" s="383">
        <f>Interims!Z206</f>
        <v>3435</v>
      </c>
      <c r="AJ19" s="383"/>
      <c r="AK19" s="383">
        <f>Interims!AA206</f>
        <v>3544</v>
      </c>
      <c r="AL19" s="383">
        <f>Interims!AB206</f>
        <v>3625</v>
      </c>
      <c r="AM19" s="383">
        <f>Interims!AC206</f>
        <v>3711</v>
      </c>
      <c r="AN19" s="383">
        <f>Interims!AD206</f>
        <v>3819</v>
      </c>
      <c r="AO19" s="383"/>
      <c r="AP19" s="383">
        <f>Interims!AE206</f>
        <v>3717</v>
      </c>
      <c r="AQ19" s="383">
        <f>Interims!AF206</f>
        <v>3717</v>
      </c>
      <c r="AR19" s="383">
        <f>Interims!AG206</f>
        <v>3741</v>
      </c>
      <c r="AS19" s="383">
        <f>Interims!AH206</f>
        <v>3323</v>
      </c>
      <c r="AT19" s="383"/>
      <c r="AU19" s="383">
        <f>Interims!AI206</f>
        <v>3328</v>
      </c>
      <c r="AV19" s="383">
        <f>Interims!AJ206</f>
        <v>3321</v>
      </c>
      <c r="AW19" s="383"/>
      <c r="AX19" s="383"/>
      <c r="AY19" s="383"/>
      <c r="AZ19" s="383"/>
      <c r="BA19" s="383"/>
      <c r="BB19" s="383"/>
      <c r="BC19" s="153"/>
      <c r="BD19" s="153"/>
      <c r="BE19" s="153"/>
    </row>
    <row r="20" spans="1:57">
      <c r="A20" s="392" t="s">
        <v>723</v>
      </c>
      <c r="B20" s="386"/>
      <c r="C20" s="386"/>
      <c r="D20" s="386"/>
      <c r="E20" s="386"/>
      <c r="F20" s="386"/>
      <c r="G20" s="391"/>
      <c r="H20" s="391"/>
      <c r="I20" s="391"/>
      <c r="J20" s="391"/>
      <c r="K20" s="391"/>
      <c r="L20" s="391"/>
      <c r="M20" s="391"/>
      <c r="N20" s="391"/>
      <c r="O20" s="391"/>
      <c r="P20" s="391"/>
      <c r="Q20" s="391"/>
      <c r="R20" s="391"/>
      <c r="S20" s="391"/>
      <c r="T20" s="391"/>
      <c r="U20" s="391"/>
      <c r="V20" s="391"/>
      <c r="W20" s="391"/>
      <c r="X20" s="391">
        <f>X19/(4*X12)</f>
        <v>2.0742358078602621</v>
      </c>
      <c r="Y20" s="391">
        <f>Y19/(4*Y12)</f>
        <v>2.2476744186046513</v>
      </c>
      <c r="Z20" s="391"/>
      <c r="AA20" s="391">
        <f>AA19/(4*AA12)</f>
        <v>2.2476744186046513</v>
      </c>
      <c r="AB20" s="391">
        <f>AB19/(4*AB12)</f>
        <v>1.8736363636363635</v>
      </c>
      <c r="AC20" s="391">
        <f>AC19/(4*AC12)</f>
        <v>2.2977272727272728</v>
      </c>
      <c r="AD20" s="391">
        <f>AD19/(4*AD12)</f>
        <v>2.3836405529953919</v>
      </c>
      <c r="AE20" s="391"/>
      <c r="AF20" s="391">
        <f>AF19/(4*AF12)</f>
        <v>2.6051449571253573</v>
      </c>
      <c r="AG20" s="391">
        <f>AG19/(4*AG12)</f>
        <v>3.3211297071129708</v>
      </c>
      <c r="AH20" s="391">
        <f>AH19/(4*AH12)</f>
        <v>2.9464285714285716</v>
      </c>
      <c r="AI20" s="391">
        <f>AI19/(4*AI12)</f>
        <v>3.1456043956043955</v>
      </c>
      <c r="AJ20" s="391"/>
      <c r="AK20" s="391">
        <f>AK19/(4*AK12)</f>
        <v>2.6447761194029851</v>
      </c>
      <c r="AL20" s="391">
        <f>AL19/(4*AL12)</f>
        <v>2.9840302930523546</v>
      </c>
      <c r="AM20" s="391">
        <f>AM19/(4*AM12)</f>
        <v>3.8964393411227118</v>
      </c>
      <c r="AN20" s="391">
        <f>AN19/(4*AN12)</f>
        <v>3.4819474835886215</v>
      </c>
      <c r="AO20" s="391"/>
      <c r="AP20" s="391">
        <f>AP19/(4*AP12)</f>
        <v>5.0229729729729726</v>
      </c>
      <c r="AQ20" s="391">
        <f>AQ19/(4*AQ12)</f>
        <v>3.702191235059761</v>
      </c>
      <c r="AR20" s="391">
        <f>AR19/(4*AR12)</f>
        <v>3.8022156723244231</v>
      </c>
      <c r="AS20" s="391">
        <f>AS19/(4*AS12)</f>
        <v>3.3715503246753245</v>
      </c>
      <c r="AT20" s="391"/>
      <c r="AU20" s="391">
        <f>AU19/(4*AU12)</f>
        <v>3.2937450514647666</v>
      </c>
      <c r="AV20" s="391">
        <f>AV19/(4*AV12)</f>
        <v>3.347782258064516</v>
      </c>
      <c r="AW20" s="391"/>
      <c r="AX20" s="391"/>
      <c r="AY20" s="391"/>
      <c r="AZ20" s="391"/>
      <c r="BA20" s="391"/>
      <c r="BB20" s="391"/>
      <c r="BC20" s="153"/>
      <c r="BD20" s="153"/>
      <c r="BE20" s="153"/>
    </row>
    <row r="21" spans="1:57">
      <c r="A21" s="392" t="s">
        <v>299</v>
      </c>
      <c r="B21" s="394"/>
      <c r="C21" s="394"/>
      <c r="D21" s="394"/>
      <c r="E21" s="394"/>
      <c r="F21" s="394"/>
      <c r="G21" s="394"/>
      <c r="H21" s="394"/>
      <c r="I21" s="394"/>
      <c r="J21" s="394"/>
      <c r="K21" s="394"/>
      <c r="L21" s="394"/>
      <c r="M21" s="394"/>
      <c r="N21" s="394"/>
      <c r="O21" s="394"/>
      <c r="P21" s="394"/>
      <c r="Q21" s="394"/>
      <c r="R21" s="394"/>
      <c r="S21" s="394"/>
      <c r="T21" s="394"/>
      <c r="U21" s="394"/>
      <c r="V21" s="394"/>
      <c r="W21" s="394"/>
      <c r="X21" s="394"/>
      <c r="Y21" s="394"/>
      <c r="Z21" s="391"/>
      <c r="AA21" s="391"/>
      <c r="AB21" s="391"/>
      <c r="AC21" s="391"/>
      <c r="AD21" s="391"/>
      <c r="AE21" s="391"/>
      <c r="AF21" s="391"/>
      <c r="AG21" s="391"/>
      <c r="AH21" s="391"/>
      <c r="AI21" s="391"/>
      <c r="AJ21" s="391"/>
      <c r="AK21" s="391"/>
      <c r="AL21" s="391"/>
      <c r="AM21" s="391"/>
      <c r="AN21" s="391"/>
      <c r="AO21" s="391"/>
      <c r="AP21" s="391"/>
      <c r="AQ21" s="391"/>
      <c r="AR21" s="391"/>
      <c r="AS21" s="391"/>
      <c r="AT21" s="391"/>
      <c r="AU21" s="391"/>
      <c r="AV21" s="391"/>
      <c r="AW21" s="391"/>
      <c r="AX21" s="391"/>
      <c r="AY21" s="391"/>
      <c r="AZ21" s="391"/>
      <c r="BA21" s="391"/>
      <c r="BB21" s="391"/>
      <c r="BC21" s="153"/>
      <c r="BD21" s="153"/>
      <c r="BE21" s="153"/>
    </row>
    <row r="22" spans="1:57">
      <c r="A22" s="382" t="s">
        <v>248</v>
      </c>
      <c r="B22" s="394"/>
      <c r="C22" s="394"/>
      <c r="D22" s="394"/>
      <c r="E22" s="394"/>
      <c r="F22" s="394"/>
      <c r="G22" s="394"/>
      <c r="H22" s="394"/>
      <c r="I22" s="394"/>
      <c r="J22" s="394"/>
      <c r="K22" s="394"/>
      <c r="L22" s="394"/>
      <c r="M22" s="394"/>
      <c r="N22" s="394"/>
      <c r="O22" s="394"/>
      <c r="P22" s="394"/>
      <c r="Q22" s="394"/>
      <c r="R22" s="394"/>
      <c r="S22" s="394"/>
      <c r="T22" s="394"/>
      <c r="U22" s="394"/>
      <c r="V22" s="394"/>
      <c r="W22" s="394"/>
      <c r="X22" s="394"/>
      <c r="Y22" s="394"/>
      <c r="Z22" s="395"/>
      <c r="AA22" s="395"/>
      <c r="AB22" s="395"/>
      <c r="AC22" s="395"/>
      <c r="AD22" s="395"/>
      <c r="AE22" s="395"/>
      <c r="AF22" s="395"/>
      <c r="AG22" s="395"/>
      <c r="AH22" s="395"/>
      <c r="AI22" s="395"/>
      <c r="AJ22" s="391"/>
      <c r="AK22" s="395"/>
      <c r="AL22" s="395"/>
      <c r="AM22" s="395"/>
      <c r="AN22" s="395"/>
      <c r="AO22" s="391"/>
      <c r="AP22" s="395"/>
      <c r="AQ22" s="395"/>
      <c r="AR22" s="395"/>
      <c r="AS22" s="395"/>
      <c r="AT22" s="391"/>
      <c r="AU22" s="395"/>
      <c r="AV22" s="395"/>
      <c r="AW22" s="391"/>
      <c r="AX22" s="391"/>
      <c r="AY22" s="391"/>
      <c r="AZ22" s="391"/>
      <c r="BA22" s="391"/>
      <c r="BB22" s="391"/>
      <c r="BC22" s="153"/>
      <c r="BD22" s="153"/>
      <c r="BE22" s="153"/>
    </row>
    <row r="23" spans="1:57">
      <c r="A23" s="153"/>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row>
    <row r="24" spans="1:57">
      <c r="A24" s="153"/>
      <c r="B24" s="153"/>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row>
    <row r="25" spans="1:57">
      <c r="A25" s="153"/>
      <c r="B25" s="153"/>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row>
    <row r="26" spans="1:57">
      <c r="A26" s="379" t="s">
        <v>472</v>
      </c>
      <c r="B26" s="380"/>
      <c r="C26" s="380"/>
      <c r="D26" s="380"/>
      <c r="E26" s="380"/>
      <c r="F26" s="380"/>
      <c r="G26" s="380"/>
      <c r="H26" s="380"/>
      <c r="I26" s="380"/>
      <c r="J26" s="380"/>
      <c r="K26" s="380"/>
      <c r="L26" s="380"/>
      <c r="M26" s="380"/>
      <c r="N26" s="380"/>
      <c r="O26" s="380"/>
      <c r="P26" s="380"/>
      <c r="Q26" s="380"/>
      <c r="R26" s="380"/>
      <c r="S26" s="380"/>
      <c r="T26" s="380"/>
      <c r="U26" s="380"/>
      <c r="V26" s="380"/>
      <c r="W26" s="380"/>
      <c r="X26" s="380"/>
      <c r="Y26" s="380"/>
      <c r="Z26" s="380"/>
      <c r="AA26" s="380"/>
      <c r="AB26" s="380"/>
      <c r="AC26" s="380"/>
      <c r="AD26" s="380"/>
      <c r="AE26" s="380"/>
      <c r="AF26" s="380"/>
      <c r="AG26" s="380"/>
      <c r="AH26" s="380"/>
      <c r="AI26" s="380"/>
      <c r="AJ26" s="380"/>
      <c r="AK26" s="380"/>
      <c r="AL26" s="380"/>
      <c r="AM26" s="380"/>
      <c r="AN26" s="380"/>
      <c r="AO26" s="380"/>
      <c r="AP26" s="380"/>
      <c r="AQ26" s="380"/>
      <c r="AR26" s="380"/>
      <c r="AS26" s="380"/>
      <c r="AT26" s="380"/>
      <c r="AU26" s="380"/>
      <c r="AV26" s="380"/>
      <c r="AW26" s="380"/>
      <c r="AX26" s="380"/>
      <c r="AY26" s="380"/>
      <c r="AZ26" s="380"/>
      <c r="BA26" s="380"/>
      <c r="BB26" s="380"/>
      <c r="BC26" s="153"/>
      <c r="BD26" s="153"/>
      <c r="BE26" s="153"/>
    </row>
    <row r="27" spans="1:57">
      <c r="A27" s="381"/>
      <c r="B27" s="381"/>
      <c r="C27" s="381"/>
      <c r="D27" s="381"/>
      <c r="E27" s="381"/>
      <c r="F27" s="381"/>
      <c r="G27" s="381"/>
      <c r="H27" s="381"/>
      <c r="I27" s="381"/>
      <c r="J27" s="381"/>
      <c r="K27" s="381"/>
      <c r="L27" s="381"/>
      <c r="M27" s="381"/>
      <c r="N27" s="381"/>
      <c r="O27" s="381"/>
      <c r="P27" s="381"/>
      <c r="Q27" s="381"/>
      <c r="R27" s="381"/>
      <c r="S27" s="381"/>
      <c r="T27" s="381"/>
      <c r="U27" s="381"/>
      <c r="V27" s="381"/>
      <c r="W27" s="381"/>
      <c r="X27" s="381"/>
      <c r="Y27" s="381"/>
      <c r="Z27" s="381"/>
      <c r="AA27" s="381"/>
      <c r="AB27" s="381"/>
      <c r="AC27" s="381"/>
      <c r="AD27" s="381"/>
      <c r="AE27" s="381"/>
      <c r="AF27" s="381"/>
      <c r="AG27" s="381"/>
      <c r="AH27" s="381"/>
      <c r="AI27" s="381"/>
      <c r="AJ27" s="381"/>
      <c r="AK27" s="381"/>
      <c r="AL27" s="381"/>
      <c r="AM27" s="381"/>
      <c r="AN27" s="381"/>
      <c r="AO27" s="381"/>
      <c r="AP27" s="381"/>
      <c r="AQ27" s="381"/>
      <c r="AR27" s="381"/>
      <c r="AS27" s="381"/>
      <c r="AT27" s="381"/>
      <c r="AU27" s="381"/>
      <c r="AV27" s="381"/>
      <c r="AW27" s="381"/>
      <c r="AX27" s="381"/>
      <c r="AY27" s="381"/>
      <c r="AZ27" s="381"/>
      <c r="BA27" s="381"/>
      <c r="BB27" s="381"/>
      <c r="BC27" s="153"/>
      <c r="BD27" s="153"/>
      <c r="BE27" s="153"/>
    </row>
    <row r="28" spans="1:57">
      <c r="A28" s="382" t="s">
        <v>716</v>
      </c>
      <c r="B28" s="383"/>
      <c r="C28" s="383"/>
      <c r="D28" s="383"/>
      <c r="E28" s="383"/>
      <c r="F28" s="383"/>
      <c r="G28" s="383"/>
      <c r="H28" s="383"/>
      <c r="I28" s="383"/>
      <c r="J28" s="383"/>
      <c r="K28" s="383"/>
      <c r="L28" s="383"/>
      <c r="M28" s="383"/>
      <c r="N28" s="383"/>
      <c r="O28" s="383"/>
      <c r="P28" s="383"/>
      <c r="Q28" s="383"/>
      <c r="R28" s="383"/>
      <c r="S28" s="383"/>
      <c r="T28" s="383"/>
      <c r="U28" s="383"/>
      <c r="V28" s="383">
        <f>Interims!O110</f>
        <v>248.792</v>
      </c>
      <c r="W28" s="383">
        <f>Interims!P110</f>
        <v>242</v>
      </c>
      <c r="X28" s="383">
        <f>Interims!Q110</f>
        <v>274</v>
      </c>
      <c r="Y28" s="383">
        <f>Interims!R110</f>
        <v>273.20799999999997</v>
      </c>
      <c r="Z28" s="383"/>
      <c r="AA28" s="383">
        <f>Interims!S110</f>
        <v>261.25299999999999</v>
      </c>
      <c r="AB28" s="383">
        <f>Interims!T110</f>
        <v>297</v>
      </c>
      <c r="AC28" s="383">
        <f>Interims!U110</f>
        <v>289</v>
      </c>
      <c r="AD28" s="383">
        <f>Interims!V110</f>
        <v>299.74700000000007</v>
      </c>
      <c r="AE28" s="383"/>
      <c r="AF28" s="383">
        <f>Interims!W110</f>
        <v>321</v>
      </c>
      <c r="AG28" s="383">
        <f>Interims!X110</f>
        <v>321</v>
      </c>
      <c r="AH28" s="383">
        <f>Interims!Y110</f>
        <v>355</v>
      </c>
      <c r="AI28" s="383">
        <f>Interims!Z110</f>
        <v>355</v>
      </c>
      <c r="AJ28" s="383"/>
      <c r="AK28" s="383">
        <f>Interims!AA110</f>
        <v>425</v>
      </c>
      <c r="AL28" s="383">
        <f>Interims!AB110</f>
        <v>365</v>
      </c>
      <c r="AM28" s="383">
        <f>Interims!AC110</f>
        <v>271.39400000000001</v>
      </c>
      <c r="AN28" s="383">
        <f>Interims!AD110</f>
        <v>321</v>
      </c>
      <c r="AO28" s="383"/>
      <c r="AP28" s="383">
        <f>Interims!AE110</f>
        <v>228</v>
      </c>
      <c r="AQ28" s="383">
        <f>Interims!AF110</f>
        <v>269.60000000000002</v>
      </c>
      <c r="AR28" s="383">
        <f>Interims!AG110</f>
        <v>242.29</v>
      </c>
      <c r="AS28" s="383">
        <f>Interims!AH110</f>
        <v>259</v>
      </c>
      <c r="AT28" s="383"/>
      <c r="AU28" s="383">
        <f>Interims!AI110</f>
        <v>271.3</v>
      </c>
      <c r="AV28" s="383">
        <f>Interims!AJ110</f>
        <v>260.39999999999998</v>
      </c>
      <c r="AW28" s="383"/>
      <c r="AX28" s="383"/>
      <c r="AY28" s="383"/>
      <c r="AZ28" s="383"/>
      <c r="BA28" s="383"/>
      <c r="BB28" s="383"/>
      <c r="BC28" s="153"/>
      <c r="BD28" s="153"/>
      <c r="BE28" s="153"/>
    </row>
    <row r="29" spans="1:57">
      <c r="A29" s="382" t="s">
        <v>717</v>
      </c>
      <c r="B29" s="383"/>
      <c r="C29" s="383"/>
      <c r="D29" s="383"/>
      <c r="E29" s="383"/>
      <c r="F29" s="383"/>
      <c r="G29" s="383"/>
      <c r="H29" s="383"/>
      <c r="I29" s="383"/>
      <c r="J29" s="383"/>
      <c r="K29" s="383"/>
      <c r="L29" s="383"/>
      <c r="M29" s="383"/>
      <c r="N29" s="383"/>
      <c r="O29" s="383"/>
      <c r="P29" s="383"/>
      <c r="Q29" s="383"/>
      <c r="R29" s="383"/>
      <c r="S29" s="383"/>
      <c r="T29" s="383"/>
      <c r="U29" s="383"/>
      <c r="V29" s="383">
        <f>V28</f>
        <v>248.792</v>
      </c>
      <c r="W29" s="383">
        <f>W28</f>
        <v>242</v>
      </c>
      <c r="X29" s="383">
        <f>X28</f>
        <v>274</v>
      </c>
      <c r="Y29" s="383">
        <f>Y28</f>
        <v>273.20799999999997</v>
      </c>
      <c r="Z29" s="383"/>
      <c r="AA29" s="383">
        <f>AA28</f>
        <v>261.25299999999999</v>
      </c>
      <c r="AB29" s="383">
        <f>AB28</f>
        <v>297</v>
      </c>
      <c r="AC29" s="383">
        <f>AC28</f>
        <v>289</v>
      </c>
      <c r="AD29" s="383">
        <f>AD28</f>
        <v>299.74700000000007</v>
      </c>
      <c r="AE29" s="383"/>
      <c r="AF29" s="383">
        <f>AF28</f>
        <v>321</v>
      </c>
      <c r="AG29" s="383">
        <f>AG28</f>
        <v>321</v>
      </c>
      <c r="AH29" s="383">
        <f>AH28</f>
        <v>355</v>
      </c>
      <c r="AI29" s="383">
        <f>AI28</f>
        <v>355</v>
      </c>
      <c r="AJ29" s="383"/>
      <c r="AK29" s="383">
        <f>AK28</f>
        <v>425</v>
      </c>
      <c r="AL29" s="383">
        <f>AL28</f>
        <v>365</v>
      </c>
      <c r="AM29" s="383">
        <f>AM28</f>
        <v>271.39400000000001</v>
      </c>
      <c r="AN29" s="383">
        <f>AN28</f>
        <v>321</v>
      </c>
      <c r="AO29" s="383"/>
      <c r="AP29" s="383">
        <f>AP28</f>
        <v>228</v>
      </c>
      <c r="AQ29" s="383">
        <f>AQ28</f>
        <v>269.60000000000002</v>
      </c>
      <c r="AR29" s="383">
        <f>AR28</f>
        <v>242.29</v>
      </c>
      <c r="AS29" s="383">
        <f>AS28</f>
        <v>259</v>
      </c>
      <c r="AT29" s="383"/>
      <c r="AU29" s="383">
        <f>AU28</f>
        <v>271.3</v>
      </c>
      <c r="AV29" s="383">
        <f>AV28</f>
        <v>260.39999999999998</v>
      </c>
      <c r="AW29" s="383"/>
      <c r="AX29" s="383"/>
      <c r="AY29" s="383"/>
      <c r="AZ29" s="383"/>
      <c r="BA29" s="383"/>
      <c r="BB29" s="383"/>
      <c r="BC29" s="153"/>
      <c r="BD29" s="153"/>
      <c r="BE29" s="153"/>
    </row>
    <row r="30" spans="1:57">
      <c r="A30" s="384" t="s">
        <v>162</v>
      </c>
      <c r="B30" s="383"/>
      <c r="C30" s="385"/>
      <c r="D30" s="385"/>
      <c r="E30" s="385"/>
      <c r="F30" s="385"/>
      <c r="G30" s="385"/>
      <c r="H30" s="385"/>
      <c r="I30" s="385"/>
      <c r="J30" s="385"/>
      <c r="K30" s="385"/>
      <c r="L30" s="385"/>
      <c r="M30" s="385"/>
      <c r="N30" s="385"/>
      <c r="O30" s="385"/>
      <c r="P30" s="385"/>
      <c r="Q30" s="385"/>
      <c r="R30" s="385"/>
      <c r="S30" s="385"/>
      <c r="T30" s="385"/>
      <c r="U30" s="385"/>
      <c r="V30" s="385">
        <f>Interims!O38</f>
        <v>16490</v>
      </c>
      <c r="W30" s="385">
        <f>Interims!P38</f>
        <v>16481</v>
      </c>
      <c r="X30" s="385">
        <f>Interims!Q38</f>
        <v>16499</v>
      </c>
      <c r="Y30" s="385">
        <f>Interims!R38</f>
        <v>16537</v>
      </c>
      <c r="Z30" s="383"/>
      <c r="AA30" s="385">
        <f>Interims!S38</f>
        <v>16612</v>
      </c>
      <c r="AB30" s="385">
        <f>Interims!T38</f>
        <v>16522</v>
      </c>
      <c r="AC30" s="385">
        <f>Interims!U38</f>
        <v>16618</v>
      </c>
      <c r="AD30" s="385">
        <f>Interims!V38</f>
        <v>16854</v>
      </c>
      <c r="AE30" s="385"/>
      <c r="AF30" s="385">
        <f>Interims!W38</f>
        <v>16856</v>
      </c>
      <c r="AG30" s="385">
        <f>Interims!X38</f>
        <v>16738</v>
      </c>
      <c r="AH30" s="385">
        <f>Interims!Y38</f>
        <v>16906</v>
      </c>
      <c r="AI30" s="385">
        <f>Interims!Z38</f>
        <v>16995</v>
      </c>
      <c r="AJ30" s="385"/>
      <c r="AK30" s="385">
        <f>Interims!AA38</f>
        <v>16372</v>
      </c>
      <c r="AL30" s="385">
        <f>Interims!AB38</f>
        <v>16398</v>
      </c>
      <c r="AM30" s="385">
        <f>Interims!AC38</f>
        <v>16400</v>
      </c>
      <c r="AN30" s="385">
        <f>Interims!AD38</f>
        <v>16395</v>
      </c>
      <c r="AO30" s="385"/>
      <c r="AP30" s="385">
        <f>Interims!AE38</f>
        <v>16409</v>
      </c>
      <c r="AQ30" s="385">
        <f>Interims!AF38</f>
        <v>16345</v>
      </c>
      <c r="AR30" s="385">
        <f>Interims!AG38</f>
        <v>16488</v>
      </c>
      <c r="AS30" s="385">
        <f>Interims!AH38</f>
        <v>16495</v>
      </c>
      <c r="AT30" s="385"/>
      <c r="AU30" s="385">
        <f>Interims!AI38</f>
        <v>16398</v>
      </c>
      <c r="AV30" s="385">
        <f>Interims!AJ38</f>
        <v>16224</v>
      </c>
      <c r="AW30" s="385"/>
      <c r="AX30" s="385"/>
      <c r="AY30" s="385"/>
      <c r="AZ30" s="385"/>
      <c r="BA30" s="385"/>
      <c r="BB30" s="385"/>
      <c r="BC30" s="153"/>
      <c r="BD30" s="153"/>
      <c r="BE30" s="153"/>
    </row>
    <row r="31" spans="1:57">
      <c r="A31" s="384" t="s">
        <v>2</v>
      </c>
      <c r="B31" s="385"/>
      <c r="C31" s="385"/>
      <c r="D31" s="385"/>
      <c r="E31" s="385"/>
      <c r="F31" s="385"/>
      <c r="G31" s="385"/>
      <c r="H31" s="385"/>
      <c r="I31" s="385"/>
      <c r="J31" s="385"/>
      <c r="K31" s="385"/>
      <c r="L31" s="385"/>
      <c r="M31" s="385"/>
      <c r="N31" s="385"/>
      <c r="O31" s="385"/>
      <c r="P31" s="385"/>
      <c r="Q31" s="385"/>
      <c r="R31" s="385"/>
      <c r="S31" s="385"/>
      <c r="T31" s="385"/>
      <c r="U31" s="385"/>
      <c r="V31" s="385">
        <f>Interims!O39</f>
        <v>24364</v>
      </c>
      <c r="W31" s="385">
        <f>Interims!P39</f>
        <v>24532</v>
      </c>
      <c r="X31" s="385">
        <f>Interims!Q39</f>
        <v>24712</v>
      </c>
      <c r="Y31" s="385">
        <f>Interims!R39</f>
        <v>24834</v>
      </c>
      <c r="Z31" s="383"/>
      <c r="AA31" s="385">
        <f>Interims!S39</f>
        <v>24628</v>
      </c>
      <c r="AB31" s="385">
        <f>Interims!T39</f>
        <v>24602</v>
      </c>
      <c r="AC31" s="385">
        <f>Interims!U39</f>
        <v>25260</v>
      </c>
      <c r="AD31" s="385">
        <f>Interims!V39</f>
        <v>25621</v>
      </c>
      <c r="AE31" s="385"/>
      <c r="AF31" s="385">
        <f>Interims!W39</f>
        <v>25690</v>
      </c>
      <c r="AG31" s="385">
        <f>Interims!X39</f>
        <v>25685</v>
      </c>
      <c r="AH31" s="385">
        <f>Interims!Y39</f>
        <v>25861</v>
      </c>
      <c r="AI31" s="385">
        <f>Interims!Z39</f>
        <v>26210</v>
      </c>
      <c r="AJ31" s="385"/>
      <c r="AK31" s="385">
        <f>Interims!AA39</f>
        <v>25650</v>
      </c>
      <c r="AL31" s="385">
        <f>Interims!AB39</f>
        <v>25798</v>
      </c>
      <c r="AM31" s="385">
        <f>Interims!AC39</f>
        <v>25927</v>
      </c>
      <c r="AN31" s="385">
        <f>Interims!AD39</f>
        <v>26009</v>
      </c>
      <c r="AO31" s="385"/>
      <c r="AP31" s="385">
        <f>Interims!AE39</f>
        <v>26129</v>
      </c>
      <c r="AQ31" s="385">
        <f>Interims!AF39</f>
        <v>26196</v>
      </c>
      <c r="AR31" s="385">
        <f>Interims!AG39</f>
        <v>25648</v>
      </c>
      <c r="AS31" s="385">
        <f>Interims!AH39</f>
        <v>25740</v>
      </c>
      <c r="AT31" s="385"/>
      <c r="AU31" s="385">
        <f>Interims!AI39</f>
        <v>25709</v>
      </c>
      <c r="AV31" s="385">
        <f>Interims!AJ39</f>
        <v>25508</v>
      </c>
      <c r="AW31" s="385"/>
      <c r="AX31" s="385"/>
      <c r="AY31" s="385"/>
      <c r="AZ31" s="385"/>
      <c r="BA31" s="385"/>
      <c r="BB31" s="385"/>
      <c r="BC31" s="153"/>
      <c r="BD31" s="153"/>
      <c r="BE31" s="153"/>
    </row>
    <row r="32" spans="1:57">
      <c r="A32" s="382" t="s">
        <v>718</v>
      </c>
      <c r="B32" s="385"/>
      <c r="C32" s="386"/>
      <c r="D32" s="386"/>
      <c r="E32" s="386"/>
      <c r="F32" s="386"/>
      <c r="G32" s="387"/>
      <c r="H32" s="387"/>
      <c r="I32" s="387"/>
      <c r="J32" s="387"/>
      <c r="K32" s="387"/>
      <c r="L32" s="387"/>
      <c r="M32" s="387"/>
      <c r="N32" s="387"/>
      <c r="O32" s="387"/>
      <c r="P32" s="387"/>
      <c r="Q32" s="387"/>
      <c r="R32" s="387"/>
      <c r="S32" s="387"/>
      <c r="T32" s="387"/>
      <c r="U32" s="387"/>
      <c r="V32" s="388">
        <f>Interims!O40</f>
        <v>1.4775015160703457</v>
      </c>
      <c r="W32" s="388">
        <f>Interims!P40</f>
        <v>1.4885019112917905</v>
      </c>
      <c r="X32" s="388">
        <f>Interims!Q40</f>
        <v>1.4977877447118007</v>
      </c>
      <c r="Y32" s="388">
        <f>Interims!R40</f>
        <v>1.5017234081151358</v>
      </c>
      <c r="Z32" s="383"/>
      <c r="AA32" s="388">
        <f>Interims!S40</f>
        <v>1.482542740187816</v>
      </c>
      <c r="AB32" s="388">
        <f>Interims!T40</f>
        <v>1.4890449098172134</v>
      </c>
      <c r="AC32" s="388">
        <f>Interims!U40</f>
        <v>1.5200385124563727</v>
      </c>
      <c r="AD32" s="388">
        <f>Interims!V40</f>
        <v>1.5201732526403229</v>
      </c>
      <c r="AE32" s="388"/>
      <c r="AF32" s="388">
        <f>Interims!W40</f>
        <v>1.5240863787375416</v>
      </c>
      <c r="AG32" s="388">
        <f>Interims!X40</f>
        <v>1.5345322021746923</v>
      </c>
      <c r="AH32" s="388">
        <f>Interims!Y40</f>
        <v>1.5296935999053591</v>
      </c>
      <c r="AI32" s="388">
        <f>Interims!Z40</f>
        <v>1.542218299499853</v>
      </c>
      <c r="AJ32" s="387"/>
      <c r="AK32" s="388">
        <f>Interims!AA40</f>
        <v>1.5666992426093329</v>
      </c>
      <c r="AL32" s="388">
        <f>Interims!AB40</f>
        <v>1.5732406391023295</v>
      </c>
      <c r="AM32" s="388">
        <f>Interims!AC40</f>
        <v>1.5809146341463414</v>
      </c>
      <c r="AN32" s="388">
        <f>Interims!AD40</f>
        <v>1.5863982921622446</v>
      </c>
      <c r="AO32" s="387"/>
      <c r="AP32" s="388">
        <f>Interims!AE40</f>
        <v>1.5923578523980741</v>
      </c>
      <c r="AQ32" s="388">
        <f>Interims!AF40</f>
        <v>1.602691954726216</v>
      </c>
      <c r="AR32" s="388">
        <f>Interims!AG40</f>
        <v>1.5555555555555556</v>
      </c>
      <c r="AS32" s="388">
        <f>Interims!AH40</f>
        <v>1.5604728705668385</v>
      </c>
      <c r="AT32" s="387"/>
      <c r="AU32" s="388">
        <f>Interims!AI40</f>
        <v>1.5678131479448714</v>
      </c>
      <c r="AV32" s="388">
        <f>Interims!AJ40</f>
        <v>1.5722386587771202</v>
      </c>
      <c r="AW32" s="387"/>
      <c r="AX32" s="387"/>
      <c r="AY32" s="387"/>
      <c r="AZ32" s="387"/>
      <c r="BA32" s="387"/>
      <c r="BB32" s="387"/>
      <c r="BC32" s="153"/>
      <c r="BD32" s="153"/>
      <c r="BE32" s="153"/>
    </row>
    <row r="33" spans="1:57">
      <c r="A33" s="382" t="s">
        <v>9</v>
      </c>
      <c r="B33" s="385"/>
      <c r="C33" s="383"/>
      <c r="D33" s="383"/>
      <c r="E33" s="383"/>
      <c r="F33" s="383"/>
      <c r="G33" s="383"/>
      <c r="H33" s="383"/>
      <c r="I33" s="383"/>
      <c r="J33" s="383"/>
      <c r="K33" s="383"/>
      <c r="L33" s="383"/>
      <c r="M33" s="383"/>
      <c r="N33" s="383"/>
      <c r="O33" s="383"/>
      <c r="P33" s="383"/>
      <c r="Q33" s="383"/>
      <c r="R33" s="383"/>
      <c r="S33" s="383"/>
      <c r="T33" s="383"/>
      <c r="U33" s="383"/>
      <c r="V33" s="383">
        <f>Interims!O136</f>
        <v>164.55199999999999</v>
      </c>
      <c r="W33" s="383">
        <f>Interims!P136</f>
        <v>163</v>
      </c>
      <c r="X33" s="383">
        <f>Interims!Q136</f>
        <v>196</v>
      </c>
      <c r="Y33" s="383">
        <f>Interims!R136</f>
        <v>177.44799999999998</v>
      </c>
      <c r="Z33" s="383"/>
      <c r="AA33" s="383">
        <f>Interims!S136</f>
        <v>179.923</v>
      </c>
      <c r="AB33" s="383">
        <f>Interims!T136</f>
        <v>240</v>
      </c>
      <c r="AC33" s="383">
        <f>Interims!U136</f>
        <v>179</v>
      </c>
      <c r="AD33" s="383">
        <f>Interims!V136</f>
        <v>184</v>
      </c>
      <c r="AE33" s="383"/>
      <c r="AF33" s="383">
        <f>Interims!W136</f>
        <v>203</v>
      </c>
      <c r="AG33" s="383">
        <f>Interims!X136</f>
        <v>184</v>
      </c>
      <c r="AH33" s="383">
        <f>Interims!Y136</f>
        <v>210</v>
      </c>
      <c r="AI33" s="383">
        <f>Interims!Z136</f>
        <v>206</v>
      </c>
      <c r="AJ33" s="383"/>
      <c r="AK33" s="383">
        <f>Interims!AA136</f>
        <v>272</v>
      </c>
      <c r="AL33" s="383">
        <f>Interims!AB136</f>
        <v>238</v>
      </c>
      <c r="AM33" s="383">
        <f>Interims!AC136</f>
        <v>164.15199999999999</v>
      </c>
      <c r="AN33" s="383">
        <f>Interims!AD136</f>
        <v>200</v>
      </c>
      <c r="AO33" s="383"/>
      <c r="AP33" s="383">
        <f>Interims!AE136</f>
        <v>103</v>
      </c>
      <c r="AQ33" s="383">
        <f>Interims!AF136</f>
        <v>171</v>
      </c>
      <c r="AR33" s="383">
        <f>Interims!AG136</f>
        <v>158.9</v>
      </c>
      <c r="AS33" s="383">
        <f>Interims!AH136</f>
        <v>155</v>
      </c>
      <c r="AT33" s="383"/>
      <c r="AU33" s="383">
        <f>Interims!AI136</f>
        <v>179.1</v>
      </c>
      <c r="AV33" s="383">
        <f>Interims!AJ136</f>
        <v>171</v>
      </c>
      <c r="AW33" s="383"/>
      <c r="AX33" s="383"/>
      <c r="AY33" s="383"/>
      <c r="AZ33" s="383"/>
      <c r="BA33" s="383"/>
      <c r="BB33" s="383"/>
      <c r="BC33" s="153"/>
      <c r="BD33" s="153"/>
      <c r="BE33" s="153"/>
    </row>
    <row r="34" spans="1:57">
      <c r="A34" s="382" t="s">
        <v>719</v>
      </c>
      <c r="B34" s="383"/>
      <c r="C34" s="383"/>
      <c r="D34" s="383"/>
      <c r="E34" s="383"/>
      <c r="F34" s="383"/>
      <c r="G34" s="383"/>
      <c r="H34" s="383"/>
      <c r="I34" s="383"/>
      <c r="J34" s="383"/>
      <c r="K34" s="383"/>
      <c r="L34" s="383"/>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3"/>
      <c r="AT34" s="383"/>
      <c r="AU34" s="383"/>
      <c r="AV34" s="383"/>
      <c r="AW34" s="383"/>
      <c r="AX34" s="383"/>
      <c r="AY34" s="383"/>
      <c r="AZ34" s="383"/>
      <c r="BA34" s="383"/>
      <c r="BB34" s="383"/>
      <c r="BC34" s="153"/>
      <c r="BD34" s="153"/>
      <c r="BE34" s="153"/>
    </row>
    <row r="35" spans="1:57">
      <c r="A35" s="382"/>
      <c r="B35" s="383"/>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3"/>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5"/>
      <c r="AX35" s="385"/>
      <c r="AY35" s="385"/>
      <c r="AZ35" s="385"/>
      <c r="BA35" s="385"/>
      <c r="BB35" s="385"/>
      <c r="BC35" s="153"/>
      <c r="BD35" s="153"/>
      <c r="BE35" s="153"/>
    </row>
    <row r="36" spans="1:57">
      <c r="A36" s="382" t="s">
        <v>720</v>
      </c>
      <c r="B36" s="385"/>
      <c r="C36" s="383"/>
      <c r="D36" s="383"/>
      <c r="E36" s="383"/>
      <c r="F36" s="383"/>
      <c r="G36" s="383"/>
      <c r="H36" s="383"/>
      <c r="I36" s="383"/>
      <c r="J36" s="383"/>
      <c r="K36" s="383"/>
      <c r="L36" s="383"/>
      <c r="M36" s="383"/>
      <c r="N36" s="383"/>
      <c r="O36" s="383"/>
      <c r="P36" s="383"/>
      <c r="Q36" s="383"/>
      <c r="R36" s="383"/>
      <c r="S36" s="383"/>
      <c r="T36" s="383"/>
      <c r="U36" s="383"/>
      <c r="V36" s="383"/>
      <c r="W36" s="383"/>
      <c r="X36" s="383"/>
      <c r="Y36" s="383"/>
      <c r="Z36" s="383"/>
      <c r="AA36" s="383"/>
      <c r="AB36" s="383"/>
      <c r="AC36" s="383"/>
      <c r="AD36" s="383"/>
      <c r="AE36" s="383"/>
      <c r="AF36" s="383"/>
      <c r="AG36" s="383"/>
      <c r="AH36" s="383"/>
      <c r="AI36" s="383"/>
      <c r="AJ36" s="383"/>
      <c r="AK36" s="383"/>
      <c r="AL36" s="383"/>
      <c r="AM36" s="383"/>
      <c r="AN36" s="383"/>
      <c r="AO36" s="383"/>
      <c r="AP36" s="383"/>
      <c r="AQ36" s="383"/>
      <c r="AR36" s="383"/>
      <c r="AS36" s="383"/>
      <c r="AT36" s="383"/>
      <c r="AU36" s="383"/>
      <c r="AV36" s="383"/>
      <c r="AW36" s="383"/>
      <c r="AX36" s="383"/>
      <c r="AY36" s="383"/>
      <c r="AZ36" s="383"/>
      <c r="BA36" s="383"/>
      <c r="BB36" s="383"/>
      <c r="BC36" s="153"/>
      <c r="BD36" s="153"/>
      <c r="BE36" s="153"/>
    </row>
    <row r="37" spans="1:57">
      <c r="A37" s="389" t="s">
        <v>721</v>
      </c>
      <c r="B37" s="390"/>
      <c r="C37" s="386"/>
      <c r="D37" s="386"/>
      <c r="E37" s="386"/>
      <c r="F37" s="386"/>
      <c r="G37" s="391"/>
      <c r="H37" s="391"/>
      <c r="I37" s="391"/>
      <c r="J37" s="391"/>
      <c r="K37" s="391"/>
      <c r="L37" s="391"/>
      <c r="M37" s="391"/>
      <c r="N37" s="391"/>
      <c r="O37" s="391"/>
      <c r="P37" s="391"/>
      <c r="Q37" s="391"/>
      <c r="R37" s="391"/>
      <c r="S37" s="391"/>
      <c r="T37" s="391"/>
      <c r="U37" s="391"/>
      <c r="V37" s="385">
        <f>Interims!O46</f>
        <v>3415.595826468973</v>
      </c>
      <c r="W37" s="385">
        <f>Interims!P46</f>
        <v>3299.520069808028</v>
      </c>
      <c r="X37" s="385">
        <f>Interims!Q46</f>
        <v>3709.4197601061383</v>
      </c>
      <c r="Y37" s="385">
        <f>Interims!R46</f>
        <v>3676.1528007642719</v>
      </c>
      <c r="Z37" s="383"/>
      <c r="AA37" s="385">
        <f>Interims!S46</f>
        <v>3521.2621136764924</v>
      </c>
      <c r="AB37" s="385">
        <f>Interims!T46</f>
        <v>4021.9378427787938</v>
      </c>
      <c r="AC37" s="385">
        <f>Interims!U46</f>
        <v>3863.9979677242522</v>
      </c>
      <c r="AD37" s="385">
        <f>Interims!V46</f>
        <v>3927.4254305798509</v>
      </c>
      <c r="AE37" s="385"/>
      <c r="AF37" s="385">
        <f>Interims!W46</f>
        <v>4170.6456705189921</v>
      </c>
      <c r="AG37" s="385">
        <f>Interims!X46</f>
        <v>4165.4501216545013</v>
      </c>
      <c r="AH37" s="385">
        <f>Interims!Y46</f>
        <v>4591.368227731864</v>
      </c>
      <c r="AI37" s="385">
        <f>Interims!Z46</f>
        <v>4545.0762740616983</v>
      </c>
      <c r="AJ37" s="391"/>
      <c r="AK37" s="385">
        <f>Interims!AA46</f>
        <v>5463.4271757295282</v>
      </c>
      <c r="AL37" s="385">
        <f>Interims!AB46</f>
        <v>4729.694707925154</v>
      </c>
      <c r="AM37" s="385">
        <f>Interims!AC46</f>
        <v>3497.9088126309002</v>
      </c>
      <c r="AN37" s="385">
        <f>Interims!AD46</f>
        <v>4120.4559457794212</v>
      </c>
      <c r="AO37" s="391"/>
      <c r="AP37" s="385">
        <f>Interims!AE46</f>
        <v>2915.3400590739961</v>
      </c>
      <c r="AQ37" s="385">
        <f>Interims!AF46</f>
        <v>3434.9418697244782</v>
      </c>
      <c r="AR37" s="385">
        <f>Interims!AG46</f>
        <v>3115.6289380963403</v>
      </c>
      <c r="AS37" s="385">
        <f>Interims!AH46</f>
        <v>3360.0581199242365</v>
      </c>
      <c r="AT37" s="391"/>
      <c r="AU37" s="385">
        <f>Interims!AI46</f>
        <v>3515.4554348319048</v>
      </c>
      <c r="AV37" s="385">
        <f>Interims!AJ46</f>
        <v>3389.4995802175054</v>
      </c>
      <c r="AW37" s="391"/>
      <c r="AX37" s="391"/>
      <c r="AY37" s="391"/>
      <c r="AZ37" s="391"/>
      <c r="BA37" s="391"/>
      <c r="BB37" s="391"/>
      <c r="BC37" s="153"/>
      <c r="BD37" s="153"/>
      <c r="BE37" s="153"/>
    </row>
    <row r="38" spans="1:57">
      <c r="A38" s="389" t="s">
        <v>722</v>
      </c>
      <c r="B38" s="386"/>
      <c r="C38" s="386"/>
      <c r="D38" s="386"/>
      <c r="E38" s="386"/>
      <c r="F38" s="386"/>
      <c r="G38" s="391"/>
      <c r="H38" s="391"/>
      <c r="I38" s="391"/>
      <c r="J38" s="391"/>
      <c r="K38" s="391"/>
      <c r="L38" s="391"/>
      <c r="M38" s="391"/>
      <c r="N38" s="391"/>
      <c r="O38" s="391"/>
      <c r="P38" s="391"/>
      <c r="Q38" s="391"/>
      <c r="R38" s="391"/>
      <c r="S38" s="391"/>
      <c r="T38" s="391"/>
      <c r="U38" s="391"/>
      <c r="V38" s="385">
        <f>Interims!O48</f>
        <v>5027.7769357462594</v>
      </c>
      <c r="W38" s="385">
        <f>Interims!P48</f>
        <v>4893.1889640391046</v>
      </c>
      <c r="X38" s="385">
        <f>Interims!Q48</f>
        <v>5538.710329492621</v>
      </c>
      <c r="Y38" s="385">
        <f>Interims!R48</f>
        <v>5513.3389837349141</v>
      </c>
      <c r="Z38" s="383"/>
      <c r="AA38" s="385">
        <f>Interims!S48</f>
        <v>5254.1152573732743</v>
      </c>
      <c r="AB38" s="385">
        <f>Interims!T48</f>
        <v>5975.7348946701277</v>
      </c>
      <c r="AC38" s="385">
        <f>Interims!U48</f>
        <v>5813.7195735264531</v>
      </c>
      <c r="AD38" s="385">
        <f>Interims!V48</f>
        <v>5970.1043658381141</v>
      </c>
      <c r="AE38" s="385"/>
      <c r="AF38" s="385">
        <f>Interims!W48</f>
        <v>6348.2646099080384</v>
      </c>
      <c r="AG38" s="385">
        <f>Interims!X48</f>
        <v>6370.1851521104954</v>
      </c>
      <c r="AH38" s="385">
        <f>Interims!Y48</f>
        <v>7034.4390282566483</v>
      </c>
      <c r="AI38" s="385">
        <f>Interims!Z48</f>
        <v>6981.1116682890379</v>
      </c>
      <c r="AJ38" s="391"/>
      <c r="AK38" s="385">
        <f>Interims!AA48</f>
        <v>8491.4236621012769</v>
      </c>
      <c r="AL38" s="385">
        <f>Interims!AB48</f>
        <v>7425.4907944257966</v>
      </c>
      <c r="AM38" s="385">
        <f>Interims!AC48</f>
        <v>5516.4745817834419</v>
      </c>
      <c r="AN38" s="385">
        <f>Interims!AD48</f>
        <v>6525.3849672206125</v>
      </c>
      <c r="AO38" s="391"/>
      <c r="AP38" s="385">
        <f>Interims!AE48</f>
        <v>4633.5812705767594</v>
      </c>
      <c r="AQ38" s="385">
        <f>Interims!AF48</f>
        <v>5487.3704992774428</v>
      </c>
      <c r="AR38" s="385">
        <f>Interims!AG48</f>
        <v>4919.6438542523274</v>
      </c>
      <c r="AS38" s="385">
        <f>Interims!AH48</f>
        <v>5235.0200608394225</v>
      </c>
      <c r="AT38" s="391"/>
      <c r="AU38" s="385">
        <f>Interims!AI48</f>
        <v>5498.6369946999866</v>
      </c>
      <c r="AV38" s="385">
        <f>Interims!AJ48</f>
        <v>5321.5621359818524</v>
      </c>
      <c r="AW38" s="391"/>
      <c r="AX38" s="391"/>
      <c r="AY38" s="391"/>
      <c r="AZ38" s="391"/>
      <c r="BA38" s="391"/>
      <c r="BB38" s="391"/>
      <c r="BC38" s="153"/>
      <c r="BD38" s="153"/>
      <c r="BE38" s="153"/>
    </row>
    <row r="39" spans="1:57">
      <c r="A39" s="392"/>
      <c r="B39" s="386"/>
      <c r="C39" s="386"/>
      <c r="D39" s="386"/>
      <c r="E39" s="386"/>
      <c r="F39" s="386"/>
      <c r="G39" s="391"/>
      <c r="H39" s="391"/>
      <c r="I39" s="391"/>
      <c r="J39" s="391"/>
      <c r="K39" s="391"/>
      <c r="L39" s="391"/>
      <c r="M39" s="391"/>
      <c r="N39" s="391"/>
      <c r="O39" s="391"/>
      <c r="P39" s="391"/>
      <c r="Q39" s="391"/>
      <c r="R39" s="391"/>
      <c r="S39" s="391"/>
      <c r="T39" s="391"/>
      <c r="U39" s="391"/>
      <c r="V39" s="383"/>
      <c r="W39" s="391"/>
      <c r="X39" s="391"/>
      <c r="Y39" s="391"/>
      <c r="Z39" s="383"/>
      <c r="AA39" s="391"/>
      <c r="AB39" s="391"/>
      <c r="AC39" s="391"/>
      <c r="AD39" s="391"/>
      <c r="AE39" s="391"/>
      <c r="AF39" s="391"/>
      <c r="AG39" s="391"/>
      <c r="AH39" s="391"/>
      <c r="AI39" s="391"/>
      <c r="AJ39" s="391"/>
      <c r="AK39" s="391"/>
      <c r="AL39" s="391"/>
      <c r="AM39" s="391"/>
      <c r="AN39" s="391"/>
      <c r="AO39" s="391"/>
      <c r="AP39" s="391"/>
      <c r="AQ39" s="391"/>
      <c r="AR39" s="391"/>
      <c r="AS39" s="391"/>
      <c r="AT39" s="391"/>
      <c r="AU39" s="391"/>
      <c r="AV39" s="391"/>
      <c r="AW39" s="391"/>
      <c r="AX39" s="391"/>
      <c r="AY39" s="391"/>
      <c r="AZ39" s="391"/>
      <c r="BA39" s="391"/>
      <c r="BB39" s="391"/>
      <c r="BC39" s="153"/>
      <c r="BD39" s="153"/>
      <c r="BE39" s="153"/>
    </row>
    <row r="40" spans="1:57">
      <c r="A40" s="392" t="s">
        <v>94</v>
      </c>
      <c r="B40" s="393"/>
      <c r="C40" s="393"/>
      <c r="D40" s="393"/>
      <c r="E40" s="393"/>
      <c r="F40" s="393"/>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c r="AK40" s="383"/>
      <c r="AL40" s="383"/>
      <c r="AM40" s="383"/>
      <c r="AN40" s="383"/>
      <c r="AO40" s="383"/>
      <c r="AP40" s="383"/>
      <c r="AQ40" s="383"/>
      <c r="AR40" s="383"/>
      <c r="AS40" s="383"/>
      <c r="AT40" s="383"/>
      <c r="AU40" s="383"/>
      <c r="AV40" s="383"/>
      <c r="AW40" s="383"/>
      <c r="AX40" s="383"/>
      <c r="AY40" s="383"/>
      <c r="AZ40" s="383"/>
      <c r="BA40" s="383"/>
      <c r="BB40" s="383"/>
      <c r="BC40" s="153"/>
      <c r="BD40" s="153"/>
      <c r="BE40" s="153"/>
    </row>
    <row r="41" spans="1:57">
      <c r="A41" s="392" t="s">
        <v>723</v>
      </c>
      <c r="B41" s="386"/>
      <c r="C41" s="386"/>
      <c r="D41" s="386"/>
      <c r="E41" s="386"/>
      <c r="F41" s="386"/>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153"/>
      <c r="BD41" s="153"/>
      <c r="BE41" s="153"/>
    </row>
    <row r="42" spans="1:57">
      <c r="A42" s="392" t="s">
        <v>299</v>
      </c>
      <c r="B42" s="394"/>
      <c r="C42" s="394"/>
      <c r="D42" s="394"/>
      <c r="E42" s="394"/>
      <c r="F42" s="394"/>
      <c r="G42" s="394"/>
      <c r="H42" s="394"/>
      <c r="I42" s="394"/>
      <c r="J42" s="394"/>
      <c r="K42" s="394"/>
      <c r="L42" s="394"/>
      <c r="M42" s="394"/>
      <c r="N42" s="394"/>
      <c r="O42" s="394"/>
      <c r="P42" s="394"/>
      <c r="Q42" s="394"/>
      <c r="R42" s="394"/>
      <c r="S42" s="394"/>
      <c r="T42" s="394"/>
      <c r="U42" s="394"/>
      <c r="V42" s="394"/>
      <c r="W42" s="394"/>
      <c r="X42" s="394"/>
      <c r="Y42" s="394"/>
      <c r="Z42" s="391"/>
      <c r="AA42" s="391"/>
      <c r="AB42" s="391"/>
      <c r="AC42" s="391"/>
      <c r="AD42" s="391"/>
      <c r="AE42" s="391"/>
      <c r="AF42" s="391"/>
      <c r="AG42" s="391"/>
      <c r="AH42" s="391"/>
      <c r="AI42" s="391"/>
      <c r="AJ42" s="391"/>
      <c r="AK42" s="391"/>
      <c r="AL42" s="391"/>
      <c r="AM42" s="391"/>
      <c r="AN42" s="391"/>
      <c r="AO42" s="391"/>
      <c r="AP42" s="391"/>
      <c r="AQ42" s="391"/>
      <c r="AR42" s="391"/>
      <c r="AS42" s="391"/>
      <c r="AT42" s="391"/>
      <c r="AU42" s="391"/>
      <c r="AV42" s="391"/>
      <c r="AW42" s="391"/>
      <c r="AX42" s="391"/>
      <c r="AY42" s="391"/>
      <c r="AZ42" s="391"/>
      <c r="BA42" s="391"/>
      <c r="BB42" s="391"/>
      <c r="BC42" s="153"/>
      <c r="BD42" s="153"/>
      <c r="BE42" s="153"/>
    </row>
    <row r="43" spans="1:57">
      <c r="A43" s="382" t="s">
        <v>248</v>
      </c>
      <c r="B43" s="394"/>
      <c r="C43" s="394"/>
      <c r="D43" s="394"/>
      <c r="E43" s="394"/>
      <c r="F43" s="394"/>
      <c r="G43" s="394"/>
      <c r="H43" s="394"/>
      <c r="I43" s="394"/>
      <c r="J43" s="394"/>
      <c r="K43" s="394"/>
      <c r="L43" s="394"/>
      <c r="M43" s="394"/>
      <c r="N43" s="394"/>
      <c r="O43" s="394"/>
      <c r="P43" s="394"/>
      <c r="Q43" s="394"/>
      <c r="R43" s="394"/>
      <c r="S43" s="394"/>
      <c r="T43" s="394"/>
      <c r="U43" s="394"/>
      <c r="V43" s="394"/>
      <c r="W43" s="394"/>
      <c r="X43" s="394"/>
      <c r="Y43" s="394"/>
      <c r="Z43" s="395"/>
      <c r="AA43" s="395"/>
      <c r="AB43" s="395"/>
      <c r="AC43" s="395"/>
      <c r="AD43" s="395"/>
      <c r="AE43" s="395"/>
      <c r="AF43" s="395"/>
      <c r="AG43" s="395"/>
      <c r="AH43" s="395"/>
      <c r="AI43" s="395"/>
      <c r="AJ43" s="391"/>
      <c r="AK43" s="395"/>
      <c r="AL43" s="395"/>
      <c r="AM43" s="395"/>
      <c r="AN43" s="395"/>
      <c r="AO43" s="391"/>
      <c r="AP43" s="395"/>
      <c r="AQ43" s="395"/>
      <c r="AR43" s="395"/>
      <c r="AS43" s="395"/>
      <c r="AT43" s="391"/>
      <c r="AU43" s="395"/>
      <c r="AV43" s="395"/>
      <c r="AW43" s="391"/>
      <c r="AX43" s="391"/>
      <c r="AY43" s="391"/>
      <c r="AZ43" s="391"/>
      <c r="BA43" s="391"/>
      <c r="BB43" s="391"/>
      <c r="BC43" s="153"/>
      <c r="BD43" s="153"/>
      <c r="BE43" s="153"/>
    </row>
    <row r="44" spans="1:57">
      <c r="A44" s="153"/>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3"/>
      <c r="AN44" s="153"/>
      <c r="AO44" s="153"/>
      <c r="AP44" s="153"/>
      <c r="AQ44" s="153"/>
      <c r="AR44" s="153"/>
      <c r="AS44" s="153"/>
      <c r="AT44" s="153"/>
      <c r="AU44" s="153"/>
      <c r="AV44" s="153"/>
      <c r="AW44" s="153"/>
      <c r="AX44" s="153"/>
      <c r="AY44" s="153"/>
      <c r="AZ44" s="153"/>
      <c r="BA44" s="153"/>
      <c r="BB44" s="153"/>
      <c r="BC44" s="153"/>
      <c r="BD44" s="153"/>
      <c r="BE44" s="153"/>
    </row>
    <row r="45" spans="1:57">
      <c r="A45" s="153"/>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3"/>
      <c r="AR45" s="153"/>
      <c r="AS45" s="153"/>
      <c r="AT45" s="153"/>
      <c r="AU45" s="153"/>
      <c r="AV45" s="153"/>
      <c r="AW45" s="153"/>
      <c r="AX45" s="153"/>
      <c r="AY45" s="153"/>
      <c r="AZ45" s="153"/>
      <c r="BA45" s="153"/>
      <c r="BB45" s="153"/>
      <c r="BC45" s="153"/>
      <c r="BD45" s="153"/>
      <c r="BE45" s="153"/>
    </row>
    <row r="46" spans="1:57">
      <c r="A46" s="153"/>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153"/>
      <c r="AE46" s="153"/>
      <c r="AF46" s="153"/>
      <c r="AG46" s="153"/>
      <c r="AH46" s="153"/>
      <c r="AI46" s="153"/>
      <c r="AJ46" s="153"/>
      <c r="AK46" s="153"/>
      <c r="AL46" s="153"/>
      <c r="AM46" s="153"/>
      <c r="AN46" s="153"/>
      <c r="AO46" s="153"/>
      <c r="AP46" s="153"/>
      <c r="AQ46" s="153"/>
      <c r="AR46" s="153"/>
      <c r="AS46" s="153"/>
      <c r="AT46" s="153"/>
      <c r="AU46" s="153"/>
      <c r="AV46" s="153"/>
      <c r="AW46" s="153"/>
      <c r="AX46" s="153"/>
      <c r="AY46" s="153"/>
      <c r="AZ46" s="153"/>
      <c r="BA46" s="153"/>
      <c r="BB46" s="153"/>
      <c r="BC46" s="153"/>
      <c r="BD46" s="153"/>
      <c r="BE46" s="153"/>
    </row>
    <row r="47" spans="1:57">
      <c r="A47" s="153"/>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c r="AP47" s="153"/>
      <c r="AQ47" s="153"/>
      <c r="AR47" s="153"/>
      <c r="AS47" s="153"/>
      <c r="AT47" s="153"/>
      <c r="AU47" s="153"/>
      <c r="AV47" s="153"/>
      <c r="AW47" s="153"/>
      <c r="AX47" s="153"/>
      <c r="AY47" s="153"/>
      <c r="AZ47" s="153"/>
      <c r="BA47" s="153"/>
      <c r="BB47" s="153"/>
      <c r="BC47" s="153"/>
      <c r="BD47" s="153"/>
      <c r="BE47" s="153"/>
    </row>
    <row r="48" spans="1:57">
      <c r="A48" s="379" t="s">
        <v>739</v>
      </c>
      <c r="B48" s="380"/>
      <c r="C48" s="380"/>
      <c r="D48" s="380"/>
      <c r="E48" s="380"/>
      <c r="F48" s="380"/>
      <c r="G48" s="380"/>
      <c r="H48" s="380"/>
      <c r="I48" s="380"/>
      <c r="J48" s="380"/>
      <c r="K48" s="380"/>
      <c r="L48" s="380"/>
      <c r="M48" s="380"/>
      <c r="N48" s="380"/>
      <c r="O48" s="380"/>
      <c r="P48" s="380"/>
      <c r="Q48" s="380"/>
      <c r="R48" s="380"/>
      <c r="S48" s="380"/>
      <c r="T48" s="380"/>
      <c r="U48" s="380"/>
      <c r="V48" s="380"/>
      <c r="W48" s="380"/>
      <c r="X48" s="380"/>
      <c r="Y48" s="380"/>
      <c r="Z48" s="380"/>
      <c r="AA48" s="380"/>
      <c r="AB48" s="380"/>
      <c r="AC48" s="380"/>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80"/>
      <c r="AZ48" s="380"/>
      <c r="BA48" s="380"/>
      <c r="BB48" s="380"/>
      <c r="BC48" s="153"/>
      <c r="BD48" s="153"/>
      <c r="BE48" s="153"/>
    </row>
    <row r="49" spans="1:57">
      <c r="A49" s="381"/>
      <c r="B49" s="381"/>
      <c r="C49" s="381"/>
      <c r="D49" s="381"/>
      <c r="E49" s="381"/>
      <c r="F49" s="381"/>
      <c r="G49" s="381"/>
      <c r="H49" s="381"/>
      <c r="I49" s="381"/>
      <c r="J49" s="381"/>
      <c r="K49" s="381"/>
      <c r="L49" s="381"/>
      <c r="M49" s="381"/>
      <c r="N49" s="381"/>
      <c r="O49" s="381"/>
      <c r="P49" s="381"/>
      <c r="Q49" s="381"/>
      <c r="R49" s="381"/>
      <c r="S49" s="381"/>
      <c r="T49" s="381"/>
      <c r="U49" s="381"/>
      <c r="V49" s="381"/>
      <c r="W49" s="381"/>
      <c r="X49" s="381"/>
      <c r="Y49" s="381"/>
      <c r="Z49" s="381"/>
      <c r="AA49" s="381"/>
      <c r="AB49" s="381"/>
      <c r="AC49" s="381"/>
      <c r="AD49" s="381"/>
      <c r="AE49" s="381"/>
      <c r="AF49" s="381"/>
      <c r="AG49" s="381"/>
      <c r="AH49" s="381"/>
      <c r="AI49" s="381"/>
      <c r="AJ49" s="381"/>
      <c r="AK49" s="381"/>
      <c r="AL49" s="381"/>
      <c r="AM49" s="381"/>
      <c r="AN49" s="381"/>
      <c r="AO49" s="381"/>
      <c r="AP49" s="381"/>
      <c r="AQ49" s="381"/>
      <c r="AR49" s="381"/>
      <c r="AS49" s="381"/>
      <c r="AT49" s="381"/>
      <c r="AU49" s="381"/>
      <c r="AV49" s="381"/>
      <c r="AW49" s="381"/>
      <c r="AX49" s="381"/>
      <c r="AY49" s="381"/>
      <c r="AZ49" s="381"/>
      <c r="BA49" s="381"/>
      <c r="BB49" s="381"/>
      <c r="BC49" s="153"/>
      <c r="BD49" s="153"/>
      <c r="BE49" s="153"/>
    </row>
    <row r="50" spans="1:57">
      <c r="A50" s="382" t="s">
        <v>716</v>
      </c>
      <c r="B50" s="383"/>
      <c r="C50" s="383"/>
      <c r="D50" s="383"/>
      <c r="E50" s="383"/>
      <c r="F50" s="383"/>
      <c r="G50" s="383"/>
      <c r="H50" s="383"/>
      <c r="I50" s="383"/>
      <c r="J50" s="383"/>
      <c r="K50" s="383"/>
      <c r="L50" s="383"/>
      <c r="M50" s="383"/>
      <c r="N50" s="383"/>
      <c r="O50" s="383"/>
      <c r="P50" s="383"/>
      <c r="Q50" s="383"/>
      <c r="R50" s="383"/>
      <c r="S50" s="383"/>
      <c r="T50" s="383"/>
      <c r="U50" s="383"/>
      <c r="V50" s="383">
        <f>Interims!O114</f>
        <v>76.316999999999993</v>
      </c>
      <c r="W50" s="383">
        <f>Interims!P114</f>
        <v>76</v>
      </c>
      <c r="X50" s="383">
        <f>Interims!Q114</f>
        <v>79</v>
      </c>
      <c r="Y50" s="383">
        <f>Interims!R114</f>
        <v>81.682999999999993</v>
      </c>
      <c r="Z50" s="383"/>
      <c r="AA50" s="383">
        <f>Interims!S114</f>
        <v>83.17</v>
      </c>
      <c r="AB50" s="383">
        <f>Interims!T114</f>
        <v>84</v>
      </c>
      <c r="AC50" s="383">
        <f>Interims!U114</f>
        <v>89</v>
      </c>
      <c r="AD50" s="383">
        <f>Interims!V114</f>
        <v>87.829999999999984</v>
      </c>
      <c r="AE50" s="383"/>
      <c r="AF50" s="383">
        <f>Interims!W114</f>
        <v>86</v>
      </c>
      <c r="AG50" s="383">
        <f>Interims!X114</f>
        <v>95</v>
      </c>
      <c r="AH50" s="383">
        <f>Interims!Y114</f>
        <v>115</v>
      </c>
      <c r="AI50" s="383">
        <f>Interims!Z114</f>
        <v>117</v>
      </c>
      <c r="AJ50" s="383"/>
      <c r="AK50" s="383">
        <f>Interims!AA114</f>
        <v>122</v>
      </c>
      <c r="AL50" s="383">
        <f>Interims!AB114</f>
        <v>123</v>
      </c>
      <c r="AM50" s="383">
        <f>Interims!AC114</f>
        <v>133.48099999999999</v>
      </c>
      <c r="AN50" s="383">
        <f>Interims!AD114</f>
        <v>124</v>
      </c>
      <c r="AO50" s="383"/>
      <c r="AP50" s="383">
        <f>Interims!AE114</f>
        <v>131</v>
      </c>
      <c r="AQ50" s="383">
        <f>Interims!AF114</f>
        <v>108</v>
      </c>
      <c r="AR50" s="383">
        <f>Interims!AG114</f>
        <v>120.139</v>
      </c>
      <c r="AS50" s="383">
        <f>Interims!AH114</f>
        <v>124</v>
      </c>
      <c r="AT50" s="383"/>
      <c r="AU50" s="383">
        <f>Interims!AI114</f>
        <v>120.7</v>
      </c>
      <c r="AV50" s="383">
        <f>Interims!AJ114</f>
        <v>128</v>
      </c>
      <c r="AW50" s="383"/>
      <c r="AX50" s="383"/>
      <c r="AY50" s="383"/>
      <c r="AZ50" s="383"/>
      <c r="BA50" s="383"/>
      <c r="BB50" s="383"/>
      <c r="BC50" s="153"/>
      <c r="BD50" s="153"/>
      <c r="BE50" s="153"/>
    </row>
    <row r="51" spans="1:57">
      <c r="A51" s="382" t="s">
        <v>717</v>
      </c>
      <c r="B51" s="383"/>
      <c r="C51" s="383"/>
      <c r="D51" s="383"/>
      <c r="E51" s="383"/>
      <c r="F51" s="383"/>
      <c r="G51" s="383"/>
      <c r="H51" s="383"/>
      <c r="I51" s="383"/>
      <c r="J51" s="383"/>
      <c r="K51" s="383"/>
      <c r="L51" s="383"/>
      <c r="M51" s="383"/>
      <c r="N51" s="383"/>
      <c r="O51" s="383"/>
      <c r="P51" s="383"/>
      <c r="Q51" s="383"/>
      <c r="R51" s="383"/>
      <c r="S51" s="383"/>
      <c r="T51" s="383"/>
      <c r="U51" s="383"/>
      <c r="V51" s="383">
        <f>V50</f>
        <v>76.316999999999993</v>
      </c>
      <c r="W51" s="383">
        <f>W50</f>
        <v>76</v>
      </c>
      <c r="X51" s="383">
        <f>X50</f>
        <v>79</v>
      </c>
      <c r="Y51" s="383">
        <f>Y50</f>
        <v>81.682999999999993</v>
      </c>
      <c r="Z51" s="383"/>
      <c r="AA51" s="383">
        <f>AA50</f>
        <v>83.17</v>
      </c>
      <c r="AB51" s="383">
        <f>AB50</f>
        <v>84</v>
      </c>
      <c r="AC51" s="383">
        <f>AC50</f>
        <v>89</v>
      </c>
      <c r="AD51" s="383">
        <f>AD50</f>
        <v>87.829999999999984</v>
      </c>
      <c r="AE51" s="383"/>
      <c r="AF51" s="383">
        <f>AF50</f>
        <v>86</v>
      </c>
      <c r="AG51" s="383">
        <f>AG50</f>
        <v>95</v>
      </c>
      <c r="AH51" s="383">
        <f>AH50</f>
        <v>115</v>
      </c>
      <c r="AI51" s="383">
        <f>AI50</f>
        <v>117</v>
      </c>
      <c r="AJ51" s="383"/>
      <c r="AK51" s="383">
        <f>AK50</f>
        <v>122</v>
      </c>
      <c r="AL51" s="383">
        <f>AL50</f>
        <v>123</v>
      </c>
      <c r="AM51" s="383">
        <f>AM50</f>
        <v>133.48099999999999</v>
      </c>
      <c r="AN51" s="383">
        <f>AN50</f>
        <v>124</v>
      </c>
      <c r="AO51" s="383"/>
      <c r="AP51" s="383">
        <f>AP50</f>
        <v>131</v>
      </c>
      <c r="AQ51" s="383">
        <f>AQ50</f>
        <v>108</v>
      </c>
      <c r="AR51" s="383">
        <f>AR50</f>
        <v>120.139</v>
      </c>
      <c r="AS51" s="383">
        <f>AS50</f>
        <v>124</v>
      </c>
      <c r="AT51" s="383"/>
      <c r="AU51" s="383">
        <f>AU50</f>
        <v>120.7</v>
      </c>
      <c r="AV51" s="383">
        <f>AV50</f>
        <v>128</v>
      </c>
      <c r="AW51" s="383"/>
      <c r="AX51" s="383"/>
      <c r="AY51" s="383"/>
      <c r="AZ51" s="383"/>
      <c r="BA51" s="383"/>
      <c r="BB51" s="383"/>
      <c r="BC51" s="153"/>
      <c r="BD51" s="153"/>
      <c r="BE51" s="153"/>
    </row>
    <row r="52" spans="1:57">
      <c r="A52" s="384" t="s">
        <v>162</v>
      </c>
      <c r="B52" s="383"/>
      <c r="C52" s="385"/>
      <c r="D52" s="385"/>
      <c r="E52" s="385"/>
      <c r="F52" s="385"/>
      <c r="G52" s="385"/>
      <c r="H52" s="385"/>
      <c r="I52" s="385"/>
      <c r="J52" s="385"/>
      <c r="K52" s="385"/>
      <c r="L52" s="385"/>
      <c r="M52" s="385"/>
      <c r="N52" s="385"/>
      <c r="O52" s="385"/>
      <c r="P52" s="385"/>
      <c r="Q52" s="385"/>
      <c r="R52" s="385"/>
      <c r="S52" s="385"/>
      <c r="T52" s="385"/>
      <c r="U52" s="385"/>
      <c r="V52" s="385">
        <f>Interims!O53</f>
        <v>0</v>
      </c>
      <c r="W52" s="385">
        <f>Interims!P53</f>
        <v>7627</v>
      </c>
      <c r="X52" s="385">
        <f>Interims!Q53</f>
        <v>7631</v>
      </c>
      <c r="Y52" s="385">
        <f>Interims!R53</f>
        <v>7627</v>
      </c>
      <c r="Z52" s="383"/>
      <c r="AA52" s="385">
        <f>Interims!S53</f>
        <v>7631</v>
      </c>
      <c r="AB52" s="385">
        <f>Interims!T53</f>
        <v>7827</v>
      </c>
      <c r="AC52" s="385">
        <f>Interims!U53</f>
        <v>7860</v>
      </c>
      <c r="AD52" s="385">
        <f>Interims!V53</f>
        <v>7878</v>
      </c>
      <c r="AE52" s="385"/>
      <c r="AF52" s="385">
        <f>Interims!W53</f>
        <v>7930</v>
      </c>
      <c r="AG52" s="385">
        <f>Interims!X53</f>
        <v>13729</v>
      </c>
      <c r="AH52" s="385">
        <f>Interims!Y53</f>
        <v>13788</v>
      </c>
      <c r="AI52" s="385">
        <f>Interims!Z53</f>
        <v>13850</v>
      </c>
      <c r="AJ52" s="385"/>
      <c r="AK52" s="385">
        <f>Interims!AA53</f>
        <v>13889</v>
      </c>
      <c r="AL52" s="385">
        <f>Interims!AB53</f>
        <v>13932</v>
      </c>
      <c r="AM52" s="385">
        <f>Interims!AC53</f>
        <v>14005</v>
      </c>
      <c r="AN52" s="385">
        <f>Interims!AD53</f>
        <v>14056</v>
      </c>
      <c r="AO52" s="385"/>
      <c r="AP52" s="385">
        <f>Interims!AE53</f>
        <v>14090</v>
      </c>
      <c r="AQ52" s="385">
        <f>Interims!AF53</f>
        <v>14117</v>
      </c>
      <c r="AR52" s="385">
        <f>Interims!AG53</f>
        <v>14133</v>
      </c>
      <c r="AS52" s="385">
        <f>Interims!AH53</f>
        <v>14155</v>
      </c>
      <c r="AT52" s="385"/>
      <c r="AU52" s="385">
        <f>Interims!AI53</f>
        <v>14161</v>
      </c>
      <c r="AV52" s="385">
        <f>Interims!AJ53</f>
        <v>14166</v>
      </c>
      <c r="AW52" s="385"/>
      <c r="AX52" s="385"/>
      <c r="AY52" s="385"/>
      <c r="AZ52" s="385"/>
      <c r="BA52" s="385"/>
      <c r="BB52" s="385"/>
      <c r="BC52" s="153"/>
      <c r="BD52" s="153"/>
      <c r="BE52" s="153"/>
    </row>
    <row r="53" spans="1:57">
      <c r="A53" s="384" t="s">
        <v>2</v>
      </c>
      <c r="B53" s="385"/>
      <c r="C53" s="385"/>
      <c r="D53" s="385"/>
      <c r="E53" s="385"/>
      <c r="F53" s="385"/>
      <c r="G53" s="385"/>
      <c r="H53" s="385"/>
      <c r="I53" s="385"/>
      <c r="J53" s="385"/>
      <c r="K53" s="385"/>
      <c r="L53" s="385"/>
      <c r="M53" s="385"/>
      <c r="N53" s="385"/>
      <c r="O53" s="385"/>
      <c r="P53" s="385"/>
      <c r="Q53" s="385"/>
      <c r="R53" s="385"/>
      <c r="S53" s="385"/>
      <c r="T53" s="385"/>
      <c r="U53" s="385"/>
      <c r="V53" s="385">
        <f>Interims!O54</f>
        <v>0</v>
      </c>
      <c r="W53" s="385">
        <f>Interims!P54</f>
        <v>13633</v>
      </c>
      <c r="X53" s="385">
        <f>Interims!Q54</f>
        <v>13620</v>
      </c>
      <c r="Y53" s="385">
        <f>Interims!R54</f>
        <v>13623</v>
      </c>
      <c r="Z53" s="383"/>
      <c r="AA53" s="385">
        <f>Interims!S54</f>
        <v>13703</v>
      </c>
      <c r="AB53" s="385">
        <f>Interims!T54</f>
        <v>14040</v>
      </c>
      <c r="AC53" s="385">
        <f>Interims!U54</f>
        <v>13721</v>
      </c>
      <c r="AD53" s="385">
        <f>Interims!V54</f>
        <v>13416</v>
      </c>
      <c r="AE53" s="385"/>
      <c r="AF53" s="385">
        <f>Interims!W54</f>
        <v>13493</v>
      </c>
      <c r="AG53" s="385">
        <f>Interims!X54</f>
        <v>20650</v>
      </c>
      <c r="AH53" s="385">
        <f>Interims!Y54</f>
        <v>20858</v>
      </c>
      <c r="AI53" s="385">
        <f>Interims!Z54</f>
        <v>21036</v>
      </c>
      <c r="AJ53" s="385"/>
      <c r="AK53" s="385">
        <f>Interims!AA54</f>
        <v>21106</v>
      </c>
      <c r="AL53" s="385">
        <f>Interims!AB54</f>
        <v>21193</v>
      </c>
      <c r="AM53" s="385">
        <f>Interims!AC54</f>
        <v>21429</v>
      </c>
      <c r="AN53" s="385">
        <f>Interims!AD54</f>
        <v>21593</v>
      </c>
      <c r="AO53" s="385"/>
      <c r="AP53" s="385">
        <f>Interims!AE54</f>
        <v>21711</v>
      </c>
      <c r="AQ53" s="385">
        <f>Interims!AF54</f>
        <v>21931</v>
      </c>
      <c r="AR53" s="385">
        <f>Interims!AG54</f>
        <v>22158</v>
      </c>
      <c r="AS53" s="385">
        <f>Interims!AH54</f>
        <v>22428</v>
      </c>
      <c r="AT53" s="385"/>
      <c r="AU53" s="385">
        <f>Interims!AI54</f>
        <v>22579</v>
      </c>
      <c r="AV53" s="385">
        <f>Interims!AJ54</f>
        <v>22654</v>
      </c>
      <c r="AW53" s="385"/>
      <c r="AX53" s="385"/>
      <c r="AY53" s="385"/>
      <c r="AZ53" s="385"/>
      <c r="BA53" s="385"/>
      <c r="BB53" s="385"/>
      <c r="BC53" s="153"/>
      <c r="BD53" s="153"/>
      <c r="BE53" s="153"/>
    </row>
    <row r="54" spans="1:57">
      <c r="A54" s="382" t="s">
        <v>718</v>
      </c>
      <c r="B54" s="385"/>
      <c r="C54" s="386"/>
      <c r="D54" s="386"/>
      <c r="E54" s="386"/>
      <c r="F54" s="386"/>
      <c r="G54" s="387"/>
      <c r="H54" s="387"/>
      <c r="I54" s="387"/>
      <c r="J54" s="387"/>
      <c r="K54" s="387"/>
      <c r="L54" s="387"/>
      <c r="M54" s="387"/>
      <c r="N54" s="387"/>
      <c r="O54" s="387"/>
      <c r="P54" s="387"/>
      <c r="Q54" s="387"/>
      <c r="R54" s="387"/>
      <c r="S54" s="387"/>
      <c r="T54" s="387"/>
      <c r="U54" s="387"/>
      <c r="V54" s="385">
        <f>Interims!O55</f>
        <v>0</v>
      </c>
      <c r="W54" s="385">
        <f>Interims!P55</f>
        <v>1.7874655827979546</v>
      </c>
      <c r="X54" s="385">
        <f>Interims!Q55</f>
        <v>1.7848250556938803</v>
      </c>
      <c r="Y54" s="385">
        <f>Interims!R55</f>
        <v>1.7861544512914644</v>
      </c>
      <c r="Z54" s="383"/>
      <c r="AA54" s="385">
        <f>Interims!S55</f>
        <v>1.7957017428908399</v>
      </c>
      <c r="AB54" s="385">
        <f>Interims!T55</f>
        <v>1.7937907244154849</v>
      </c>
      <c r="AC54" s="385">
        <f>Interims!U55</f>
        <v>1.745674300254453</v>
      </c>
      <c r="AD54" s="385">
        <f>Interims!V55</f>
        <v>1.7029702970297029</v>
      </c>
      <c r="AE54" s="385"/>
      <c r="AF54" s="385">
        <f>Interims!W55</f>
        <v>1.7015132408575031</v>
      </c>
      <c r="AG54" s="385">
        <f>Interims!X55</f>
        <v>1.5041153762109403</v>
      </c>
      <c r="AH54" s="385">
        <f>Interims!Y55</f>
        <v>1.5127647229474905</v>
      </c>
      <c r="AI54" s="385">
        <f>Interims!Z55</f>
        <v>1.5188447653429602</v>
      </c>
      <c r="AJ54" s="387"/>
      <c r="AK54" s="385">
        <f>Interims!AA55</f>
        <v>1.5196198430412557</v>
      </c>
      <c r="AL54" s="385">
        <f>Interims!AB55</f>
        <v>1.5211742750502439</v>
      </c>
      <c r="AM54" s="385">
        <f>Interims!AC55</f>
        <v>1.5300963941449481</v>
      </c>
      <c r="AN54" s="385">
        <f>Interims!AD55</f>
        <v>1.5362122936824132</v>
      </c>
      <c r="AO54" s="387"/>
      <c r="AP54" s="385">
        <f>Interims!AE55</f>
        <v>1.5408800567778567</v>
      </c>
      <c r="AQ54" s="385">
        <f>Interims!AF55</f>
        <v>1.5535170361974924</v>
      </c>
      <c r="AR54" s="385">
        <f>Interims!AG55</f>
        <v>1.5678199957546168</v>
      </c>
      <c r="AS54" s="385">
        <f>Interims!AH55</f>
        <v>1.58445778876722</v>
      </c>
      <c r="AT54" s="387"/>
      <c r="AU54" s="385">
        <f>Interims!AI55</f>
        <v>1.5944495445236919</v>
      </c>
      <c r="AV54" s="385">
        <f>Interims!AJ55</f>
        <v>1.5991811379359029</v>
      </c>
      <c r="AW54" s="387"/>
      <c r="AX54" s="387"/>
      <c r="AY54" s="387"/>
      <c r="AZ54" s="387"/>
      <c r="BA54" s="387"/>
      <c r="BB54" s="387"/>
      <c r="BC54" s="153"/>
      <c r="BD54" s="153"/>
      <c r="BE54" s="153"/>
    </row>
    <row r="55" spans="1:57">
      <c r="A55" s="382" t="s">
        <v>9</v>
      </c>
      <c r="B55" s="385"/>
      <c r="C55" s="383"/>
      <c r="D55" s="383"/>
      <c r="E55" s="383"/>
      <c r="F55" s="383"/>
      <c r="G55" s="383"/>
      <c r="H55" s="383"/>
      <c r="I55" s="383"/>
      <c r="J55" s="383"/>
      <c r="K55" s="383"/>
      <c r="L55" s="383"/>
      <c r="M55" s="383"/>
      <c r="N55" s="383"/>
      <c r="O55" s="383"/>
      <c r="P55" s="383"/>
      <c r="Q55" s="383"/>
      <c r="R55" s="383"/>
      <c r="S55" s="383"/>
      <c r="T55" s="383"/>
      <c r="U55" s="383"/>
      <c r="V55" s="383">
        <f>Interims!O142</f>
        <v>41.011000000000003</v>
      </c>
      <c r="W55" s="383">
        <f>Interims!P142</f>
        <v>40</v>
      </c>
      <c r="X55" s="383">
        <f>Interims!Q142</f>
        <v>44</v>
      </c>
      <c r="Y55" s="383">
        <f>Interims!R142</f>
        <v>45.989000000000004</v>
      </c>
      <c r="Z55" s="383"/>
      <c r="AA55" s="383">
        <f>Interims!S142</f>
        <v>48.619</v>
      </c>
      <c r="AB55" s="383">
        <f>Interims!T142</f>
        <v>46</v>
      </c>
      <c r="AC55" s="383">
        <f>Interims!U142</f>
        <v>50</v>
      </c>
      <c r="AD55" s="383">
        <f>Interims!V142</f>
        <v>46</v>
      </c>
      <c r="AE55" s="383"/>
      <c r="AF55" s="383">
        <f>Interims!W142</f>
        <v>47</v>
      </c>
      <c r="AG55" s="383">
        <f>Interims!X142</f>
        <v>53</v>
      </c>
      <c r="AH55" s="383">
        <f>Interims!Y142</f>
        <v>64</v>
      </c>
      <c r="AI55" s="383">
        <f>Interims!Z142</f>
        <v>67</v>
      </c>
      <c r="AJ55" s="383"/>
      <c r="AK55" s="383">
        <f>Interims!AA142</f>
        <v>65</v>
      </c>
      <c r="AL55" s="383">
        <f>Interims!AB142</f>
        <v>63</v>
      </c>
      <c r="AM55" s="383">
        <f>Interims!AC142</f>
        <v>66</v>
      </c>
      <c r="AN55" s="383">
        <f>Interims!AD142</f>
        <v>62</v>
      </c>
      <c r="AO55" s="383"/>
      <c r="AP55" s="383">
        <f>Interims!AE142</f>
        <v>70</v>
      </c>
      <c r="AQ55" s="383">
        <f>Interims!AF142</f>
        <v>76</v>
      </c>
      <c r="AR55" s="383">
        <f>Interims!AG142</f>
        <v>81.046000000000006</v>
      </c>
      <c r="AS55" s="383">
        <f>Interims!AH142</f>
        <v>81</v>
      </c>
      <c r="AT55" s="383"/>
      <c r="AU55" s="383">
        <f>Interims!AI142</f>
        <v>71.7</v>
      </c>
      <c r="AV55" s="383">
        <f>Interims!AJ142</f>
        <v>73</v>
      </c>
      <c r="AW55" s="383"/>
      <c r="AX55" s="383"/>
      <c r="AY55" s="383"/>
      <c r="AZ55" s="383"/>
      <c r="BA55" s="383"/>
      <c r="BB55" s="383"/>
      <c r="BC55" s="153"/>
      <c r="BD55" s="153"/>
      <c r="BE55" s="153"/>
    </row>
    <row r="56" spans="1:57">
      <c r="A56" s="382" t="s">
        <v>719</v>
      </c>
      <c r="B56" s="383"/>
      <c r="C56" s="383"/>
      <c r="D56" s="383"/>
      <c r="E56" s="383"/>
      <c r="F56" s="383"/>
      <c r="G56" s="383"/>
      <c r="H56" s="383"/>
      <c r="I56" s="383"/>
      <c r="J56" s="383"/>
      <c r="K56" s="383"/>
      <c r="L56" s="383"/>
      <c r="M56" s="383"/>
      <c r="N56" s="383"/>
      <c r="O56" s="383"/>
      <c r="P56" s="383"/>
      <c r="Q56" s="383"/>
      <c r="R56" s="383"/>
      <c r="S56" s="383"/>
      <c r="T56" s="383"/>
      <c r="U56" s="383"/>
      <c r="V56" s="383"/>
      <c r="W56" s="383"/>
      <c r="X56" s="383"/>
      <c r="Y56" s="383"/>
      <c r="Z56" s="383"/>
      <c r="AA56" s="383"/>
      <c r="AB56" s="383"/>
      <c r="AC56" s="383"/>
      <c r="AD56" s="383"/>
      <c r="AE56" s="383"/>
      <c r="AF56" s="383"/>
      <c r="AG56" s="383"/>
      <c r="AH56" s="383"/>
      <c r="AI56" s="383"/>
      <c r="AJ56" s="383"/>
      <c r="AK56" s="383"/>
      <c r="AL56" s="383"/>
      <c r="AM56" s="383"/>
      <c r="AN56" s="383"/>
      <c r="AO56" s="383"/>
      <c r="AP56" s="383"/>
      <c r="AQ56" s="383"/>
      <c r="AR56" s="383"/>
      <c r="AS56" s="383"/>
      <c r="AT56" s="383"/>
      <c r="AU56" s="383"/>
      <c r="AV56" s="383"/>
      <c r="AW56" s="383"/>
      <c r="AX56" s="383"/>
      <c r="AY56" s="383"/>
      <c r="AZ56" s="383"/>
      <c r="BA56" s="383"/>
      <c r="BB56" s="383"/>
      <c r="BC56" s="153"/>
      <c r="BD56" s="153"/>
      <c r="BE56" s="153"/>
    </row>
    <row r="57" spans="1:57">
      <c r="A57" s="382"/>
      <c r="B57" s="383"/>
      <c r="C57" s="385"/>
      <c r="D57" s="385"/>
      <c r="E57" s="385"/>
      <c r="F57" s="385"/>
      <c r="G57" s="385"/>
      <c r="H57" s="385"/>
      <c r="I57" s="385"/>
      <c r="J57" s="385"/>
      <c r="K57" s="385"/>
      <c r="L57" s="385"/>
      <c r="M57" s="385"/>
      <c r="N57" s="385"/>
      <c r="O57" s="385"/>
      <c r="P57" s="385"/>
      <c r="Q57" s="385"/>
      <c r="R57" s="385"/>
      <c r="S57" s="385"/>
      <c r="T57" s="385"/>
      <c r="U57" s="385"/>
      <c r="V57" s="385"/>
      <c r="W57" s="385"/>
      <c r="X57" s="385"/>
      <c r="Y57" s="385"/>
      <c r="Z57" s="383"/>
      <c r="AA57" s="385"/>
      <c r="AB57" s="385"/>
      <c r="AC57" s="385"/>
      <c r="AD57" s="385"/>
      <c r="AE57" s="385"/>
      <c r="AF57" s="385"/>
      <c r="AG57" s="385"/>
      <c r="AH57" s="385"/>
      <c r="AI57" s="385"/>
      <c r="AJ57" s="385"/>
      <c r="AK57" s="385"/>
      <c r="AL57" s="385"/>
      <c r="AM57" s="385"/>
      <c r="AN57" s="385"/>
      <c r="AO57" s="385"/>
      <c r="AP57" s="385"/>
      <c r="AQ57" s="385"/>
      <c r="AR57" s="385"/>
      <c r="AS57" s="385"/>
      <c r="AT57" s="385"/>
      <c r="AU57" s="385"/>
      <c r="AV57" s="385"/>
      <c r="AW57" s="385"/>
      <c r="AX57" s="385"/>
      <c r="AY57" s="385"/>
      <c r="AZ57" s="385"/>
      <c r="BA57" s="385"/>
      <c r="BB57" s="385"/>
      <c r="BC57" s="153"/>
      <c r="BD57" s="153"/>
      <c r="BE57" s="153"/>
    </row>
    <row r="58" spans="1:57">
      <c r="A58" s="382" t="s">
        <v>720</v>
      </c>
      <c r="B58" s="385"/>
      <c r="C58" s="383"/>
      <c r="D58" s="383"/>
      <c r="E58" s="383"/>
      <c r="F58" s="383"/>
      <c r="G58" s="383"/>
      <c r="H58" s="383"/>
      <c r="I58" s="383"/>
      <c r="J58" s="383"/>
      <c r="K58" s="383"/>
      <c r="L58" s="383"/>
      <c r="M58" s="383"/>
      <c r="N58" s="383"/>
      <c r="O58" s="383"/>
      <c r="P58" s="383"/>
      <c r="Q58" s="383"/>
      <c r="R58" s="383"/>
      <c r="S58" s="383"/>
      <c r="T58" s="383"/>
      <c r="U58" s="383"/>
      <c r="V58" s="383"/>
      <c r="W58" s="383"/>
      <c r="X58" s="383"/>
      <c r="Y58" s="383"/>
      <c r="Z58" s="383"/>
      <c r="AA58" s="383"/>
      <c r="AB58" s="383"/>
      <c r="AC58" s="383"/>
      <c r="AD58" s="383"/>
      <c r="AE58" s="383"/>
      <c r="AF58" s="383"/>
      <c r="AG58" s="383"/>
      <c r="AH58" s="383"/>
      <c r="AI58" s="383"/>
      <c r="AJ58" s="383"/>
      <c r="AK58" s="383"/>
      <c r="AL58" s="383"/>
      <c r="AM58" s="383"/>
      <c r="AN58" s="383"/>
      <c r="AO58" s="383"/>
      <c r="AP58" s="383"/>
      <c r="AQ58" s="383"/>
      <c r="AR58" s="383"/>
      <c r="AS58" s="383"/>
      <c r="AT58" s="383"/>
      <c r="AU58" s="383"/>
      <c r="AV58" s="383"/>
      <c r="AW58" s="383"/>
      <c r="AX58" s="383"/>
      <c r="AY58" s="383"/>
      <c r="AZ58" s="383"/>
      <c r="BA58" s="383"/>
      <c r="BB58" s="383"/>
      <c r="BC58" s="153"/>
      <c r="BD58" s="153"/>
      <c r="BE58" s="153"/>
    </row>
    <row r="59" spans="1:57">
      <c r="A59" s="389" t="s">
        <v>721</v>
      </c>
      <c r="B59" s="390"/>
      <c r="C59" s="386"/>
      <c r="D59" s="386"/>
      <c r="E59" s="386"/>
      <c r="F59" s="386"/>
      <c r="G59" s="391"/>
      <c r="H59" s="391"/>
      <c r="I59" s="391"/>
      <c r="J59" s="391"/>
      <c r="K59" s="391"/>
      <c r="L59" s="391"/>
      <c r="M59" s="391"/>
      <c r="N59" s="391"/>
      <c r="O59" s="391"/>
      <c r="P59" s="391"/>
      <c r="Q59" s="391"/>
      <c r="R59" s="391"/>
      <c r="S59" s="391"/>
      <c r="T59" s="391"/>
      <c r="U59" s="391"/>
      <c r="V59" s="385">
        <f>Interims!O62</f>
        <v>0</v>
      </c>
      <c r="W59" s="385">
        <f>Interims!P62</f>
        <v>1858.2361426929754</v>
      </c>
      <c r="X59" s="385">
        <f>Interims!Q62</f>
        <v>1932.5089592583081</v>
      </c>
      <c r="Y59" s="385">
        <f>Interims!R62</f>
        <v>1998.874328573701</v>
      </c>
      <c r="Z59" s="383"/>
      <c r="AA59" s="385">
        <f>Interims!S62</f>
        <v>2029.0809729439607</v>
      </c>
      <c r="AB59" s="385">
        <f>Interims!T62</f>
        <v>2018.5271960494538</v>
      </c>
      <c r="AC59" s="385">
        <f>Interims!U62</f>
        <v>2137.2909237179256</v>
      </c>
      <c r="AD59" s="385">
        <f>Interims!V62</f>
        <v>2157.6936777585338</v>
      </c>
      <c r="AE59" s="385"/>
      <c r="AF59" s="385">
        <f>Interims!W62</f>
        <v>2130.6378287314033</v>
      </c>
      <c r="AG59" s="385">
        <f>Interims!X62</f>
        <v>1854.9434242255611</v>
      </c>
      <c r="AH59" s="385">
        <f>Interims!Y62</f>
        <v>1847.0335035816388</v>
      </c>
      <c r="AI59" s="385">
        <f>Interims!Z62</f>
        <v>1861.8417911872821</v>
      </c>
      <c r="AJ59" s="391"/>
      <c r="AK59" s="385">
        <f>Interims!AA62</f>
        <v>1929.982756711436</v>
      </c>
      <c r="AL59" s="385">
        <f>Interims!AB62</f>
        <v>1938.5801082767914</v>
      </c>
      <c r="AM59" s="385">
        <f>Interims!AC62</f>
        <v>2087.8263181768411</v>
      </c>
      <c r="AN59" s="385">
        <f>Interims!AD62</f>
        <v>1921.4975283963242</v>
      </c>
      <c r="AO59" s="391"/>
      <c r="AP59" s="385">
        <f>Interims!AE62</f>
        <v>2016.7497998645238</v>
      </c>
      <c r="AQ59" s="385">
        <f>Interims!AF62</f>
        <v>1649.7869025250905</v>
      </c>
      <c r="AR59" s="385">
        <f>Interims!AG62</f>
        <v>1816.6133653897041</v>
      </c>
      <c r="AS59" s="385">
        <f>Interims!AH62</f>
        <v>1854.0947083538929</v>
      </c>
      <c r="AT59" s="391"/>
      <c r="AU59" s="385">
        <f>Interims!AI62</f>
        <v>1787.8700350315876</v>
      </c>
      <c r="AV59" s="385">
        <f>Interims!AJ62</f>
        <v>1886.5282721317033</v>
      </c>
      <c r="AW59" s="391"/>
      <c r="AX59" s="391"/>
      <c r="AY59" s="391"/>
      <c r="AZ59" s="391"/>
      <c r="BA59" s="391"/>
      <c r="BB59" s="391"/>
      <c r="BC59" s="153"/>
      <c r="BD59" s="153"/>
      <c r="BE59" s="153"/>
    </row>
    <row r="60" spans="1:57">
      <c r="A60" s="389" t="s">
        <v>722</v>
      </c>
      <c r="B60" s="386"/>
      <c r="C60" s="386"/>
      <c r="D60" s="386"/>
      <c r="E60" s="386"/>
      <c r="F60" s="386"/>
      <c r="G60" s="391"/>
      <c r="H60" s="391"/>
      <c r="I60" s="391"/>
      <c r="J60" s="391"/>
      <c r="K60" s="391"/>
      <c r="L60" s="391"/>
      <c r="M60" s="391"/>
      <c r="N60" s="391"/>
      <c r="O60" s="391"/>
      <c r="P60" s="391"/>
      <c r="Q60" s="391"/>
      <c r="R60" s="391"/>
      <c r="S60" s="391"/>
      <c r="T60" s="391"/>
      <c r="U60" s="391"/>
      <c r="V60" s="385">
        <f>Interims!O64</f>
        <v>0</v>
      </c>
      <c r="W60" s="385">
        <f>Interims!P64</f>
        <v>3321.5331497749225</v>
      </c>
      <c r="X60" s="385">
        <f>Interims!Q64</f>
        <v>3451.741163105693</v>
      </c>
      <c r="Y60" s="385">
        <f>Interims!R64</f>
        <v>3568.9692838729411</v>
      </c>
      <c r="Z60" s="383"/>
      <c r="AA60" s="385">
        <f>Interims!S64</f>
        <v>3633.9406650063356</v>
      </c>
      <c r="AB60" s="385">
        <f>Interims!T64</f>
        <v>3622.7196273774098</v>
      </c>
      <c r="AC60" s="385">
        <f>Interims!U64</f>
        <v>3782.3250674656297</v>
      </c>
      <c r="AD60" s="385">
        <f>Interims!V64</f>
        <v>3720.506629389587</v>
      </c>
      <c r="AE60" s="385"/>
      <c r="AF60" s="385">
        <f>Interims!W64</f>
        <v>3626.8556005398113</v>
      </c>
      <c r="AG60" s="385">
        <f>Interims!X64</f>
        <v>2924.1116087230862</v>
      </c>
      <c r="AH60" s="385">
        <f>Interims!Y64</f>
        <v>2786.1564366270545</v>
      </c>
      <c r="AI60" s="385">
        <f>Interims!Z64</f>
        <v>2822.2013170272817</v>
      </c>
      <c r="AJ60" s="391"/>
      <c r="AK60" s="385">
        <f>Interims!AA64</f>
        <v>2932.0932021101457</v>
      </c>
      <c r="AL60" s="385">
        <f>Interims!AB64</f>
        <v>2947.4138240897169</v>
      </c>
      <c r="AM60" s="385">
        <f>Interims!AC64</f>
        <v>3185.2859409862667</v>
      </c>
      <c r="AN60" s="385">
        <f>Interims!AD64</f>
        <v>2945.9629616430871</v>
      </c>
      <c r="AO60" s="391"/>
      <c r="AP60" s="385">
        <f>Interims!AE64</f>
        <v>3102.8683767971766</v>
      </c>
      <c r="AQ60" s="385">
        <f>Interims!AF64</f>
        <v>2552.5578757046123</v>
      </c>
      <c r="AR60" s="385">
        <f>Interims!AG64</f>
        <v>2835.1386430678467</v>
      </c>
      <c r="AS60" s="385">
        <f>Interims!AH64</f>
        <v>2922.3227752639518</v>
      </c>
      <c r="AT60" s="391"/>
      <c r="AU60" s="385">
        <f>Interims!AI64</f>
        <v>2841.7384753025381</v>
      </c>
      <c r="AV60" s="385">
        <f>Interims!AJ64</f>
        <v>3012.4380743930997</v>
      </c>
      <c r="AW60" s="391"/>
      <c r="AX60" s="391"/>
      <c r="AY60" s="391"/>
      <c r="AZ60" s="391"/>
      <c r="BA60" s="391"/>
      <c r="BB60" s="391"/>
      <c r="BC60" s="153"/>
      <c r="BD60" s="153"/>
      <c r="BE60" s="153"/>
    </row>
    <row r="61" spans="1:57">
      <c r="A61" s="392"/>
      <c r="B61" s="386"/>
      <c r="C61" s="386"/>
      <c r="D61" s="386"/>
      <c r="E61" s="386"/>
      <c r="F61" s="386"/>
      <c r="G61" s="391"/>
      <c r="H61" s="391"/>
      <c r="I61" s="391"/>
      <c r="J61" s="391"/>
      <c r="K61" s="391"/>
      <c r="L61" s="391"/>
      <c r="M61" s="391"/>
      <c r="N61" s="391"/>
      <c r="O61" s="391"/>
      <c r="P61" s="391"/>
      <c r="Q61" s="391"/>
      <c r="R61" s="391"/>
      <c r="S61" s="391"/>
      <c r="T61" s="391"/>
      <c r="U61" s="391"/>
      <c r="V61" s="383"/>
      <c r="W61" s="391"/>
      <c r="X61" s="391"/>
      <c r="Y61" s="391"/>
      <c r="Z61" s="383"/>
      <c r="AA61" s="391"/>
      <c r="AB61" s="391"/>
      <c r="AC61" s="391"/>
      <c r="AD61" s="391"/>
      <c r="AE61" s="391"/>
      <c r="AF61" s="391"/>
      <c r="AG61" s="391"/>
      <c r="AH61" s="391"/>
      <c r="AI61" s="391"/>
      <c r="AJ61" s="391"/>
      <c r="AK61" s="391"/>
      <c r="AL61" s="391"/>
      <c r="AM61" s="391"/>
      <c r="AN61" s="391"/>
      <c r="AO61" s="391"/>
      <c r="AP61" s="391"/>
      <c r="AQ61" s="391"/>
      <c r="AR61" s="391"/>
      <c r="AS61" s="391"/>
      <c r="AT61" s="391"/>
      <c r="AU61" s="391"/>
      <c r="AV61" s="391"/>
      <c r="AW61" s="391"/>
      <c r="AX61" s="391"/>
      <c r="AY61" s="391"/>
      <c r="AZ61" s="391"/>
      <c r="BA61" s="391"/>
      <c r="BB61" s="391"/>
      <c r="BC61" s="153"/>
      <c r="BD61" s="153"/>
      <c r="BE61" s="153"/>
    </row>
    <row r="62" spans="1:57">
      <c r="A62" s="392" t="s">
        <v>94</v>
      </c>
      <c r="B62" s="393"/>
      <c r="C62" s="393"/>
      <c r="D62" s="393"/>
      <c r="E62" s="393"/>
      <c r="F62" s="393"/>
      <c r="G62" s="383"/>
      <c r="H62" s="383"/>
      <c r="I62" s="383"/>
      <c r="J62" s="383"/>
      <c r="K62" s="383"/>
      <c r="L62" s="383"/>
      <c r="M62" s="383"/>
      <c r="N62" s="383"/>
      <c r="O62" s="383"/>
      <c r="P62" s="383"/>
      <c r="Q62" s="383"/>
      <c r="R62" s="383"/>
      <c r="S62" s="383"/>
      <c r="T62" s="383"/>
      <c r="U62" s="383"/>
      <c r="V62" s="383"/>
      <c r="W62" s="383"/>
      <c r="X62" s="383"/>
      <c r="Y62" s="383"/>
      <c r="Z62" s="383"/>
      <c r="AA62" s="383"/>
      <c r="AB62" s="383"/>
      <c r="AC62" s="383"/>
      <c r="AD62" s="383"/>
      <c r="AE62" s="383"/>
      <c r="AF62" s="383"/>
      <c r="AG62" s="383"/>
      <c r="AH62" s="383"/>
      <c r="AI62" s="383"/>
      <c r="AJ62" s="383"/>
      <c r="AK62" s="383"/>
      <c r="AL62" s="383"/>
      <c r="AM62" s="383"/>
      <c r="AN62" s="383"/>
      <c r="AO62" s="383"/>
      <c r="AP62" s="383"/>
      <c r="AQ62" s="383"/>
      <c r="AR62" s="383"/>
      <c r="AS62" s="383"/>
      <c r="AT62" s="383"/>
      <c r="AU62" s="383"/>
      <c r="AV62" s="383"/>
      <c r="AW62" s="383"/>
      <c r="AX62" s="383"/>
      <c r="AY62" s="383"/>
      <c r="AZ62" s="383"/>
      <c r="BA62" s="383"/>
      <c r="BB62" s="383"/>
      <c r="BC62" s="153"/>
      <c r="BD62" s="153"/>
      <c r="BE62" s="153"/>
    </row>
    <row r="63" spans="1:57">
      <c r="A63" s="392" t="s">
        <v>723</v>
      </c>
      <c r="B63" s="386"/>
      <c r="C63" s="386"/>
      <c r="D63" s="386"/>
      <c r="E63" s="386"/>
      <c r="F63" s="386"/>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1"/>
      <c r="AT63" s="391"/>
      <c r="AU63" s="391"/>
      <c r="AV63" s="391"/>
      <c r="AW63" s="391"/>
      <c r="AX63" s="391"/>
      <c r="AY63" s="391"/>
      <c r="AZ63" s="391"/>
      <c r="BA63" s="391"/>
      <c r="BB63" s="391"/>
      <c r="BC63" s="153"/>
      <c r="BD63" s="153"/>
      <c r="BE63" s="153"/>
    </row>
    <row r="64" spans="1:57">
      <c r="A64" s="392" t="s">
        <v>299</v>
      </c>
      <c r="B64" s="394"/>
      <c r="C64" s="394"/>
      <c r="D64" s="394"/>
      <c r="E64" s="394"/>
      <c r="F64" s="394"/>
      <c r="G64" s="394"/>
      <c r="H64" s="394"/>
      <c r="I64" s="394"/>
      <c r="J64" s="394"/>
      <c r="K64" s="394"/>
      <c r="L64" s="394"/>
      <c r="M64" s="394"/>
      <c r="N64" s="394"/>
      <c r="O64" s="394"/>
      <c r="P64" s="394"/>
      <c r="Q64" s="394"/>
      <c r="R64" s="394"/>
      <c r="S64" s="394"/>
      <c r="T64" s="394"/>
      <c r="U64" s="394"/>
      <c r="V64" s="394"/>
      <c r="W64" s="394"/>
      <c r="X64" s="394"/>
      <c r="Y64" s="394"/>
      <c r="Z64" s="391"/>
      <c r="AA64" s="391"/>
      <c r="AB64" s="391"/>
      <c r="AC64" s="391"/>
      <c r="AD64" s="391"/>
      <c r="AE64" s="391"/>
      <c r="AF64" s="391"/>
      <c r="AG64" s="391"/>
      <c r="AH64" s="391"/>
      <c r="AI64" s="391"/>
      <c r="AJ64" s="391"/>
      <c r="AK64" s="391"/>
      <c r="AL64" s="391"/>
      <c r="AM64" s="391"/>
      <c r="AN64" s="391"/>
      <c r="AO64" s="391"/>
      <c r="AP64" s="391"/>
      <c r="AQ64" s="391"/>
      <c r="AR64" s="391"/>
      <c r="AS64" s="391"/>
      <c r="AT64" s="391"/>
      <c r="AU64" s="391"/>
      <c r="AV64" s="391"/>
      <c r="AW64" s="391"/>
      <c r="AX64" s="391"/>
      <c r="AY64" s="391"/>
      <c r="AZ64" s="391"/>
      <c r="BA64" s="391"/>
      <c r="BB64" s="391"/>
      <c r="BC64" s="153"/>
      <c r="BD64" s="153"/>
      <c r="BE64" s="153"/>
    </row>
    <row r="65" spans="1:57">
      <c r="A65" s="382" t="s">
        <v>248</v>
      </c>
      <c r="B65" s="394"/>
      <c r="C65" s="394"/>
      <c r="D65" s="394"/>
      <c r="E65" s="394"/>
      <c r="F65" s="394"/>
      <c r="G65" s="394"/>
      <c r="H65" s="394"/>
      <c r="I65" s="394"/>
      <c r="J65" s="394"/>
      <c r="K65" s="394"/>
      <c r="L65" s="394"/>
      <c r="M65" s="394"/>
      <c r="N65" s="394"/>
      <c r="O65" s="394"/>
      <c r="P65" s="394"/>
      <c r="Q65" s="394"/>
      <c r="R65" s="394"/>
      <c r="S65" s="394"/>
      <c r="T65" s="394"/>
      <c r="U65" s="394"/>
      <c r="V65" s="394"/>
      <c r="W65" s="394"/>
      <c r="X65" s="394"/>
      <c r="Y65" s="394"/>
      <c r="Z65" s="395"/>
      <c r="AA65" s="395"/>
      <c r="AB65" s="395"/>
      <c r="AC65" s="395"/>
      <c r="AD65" s="395"/>
      <c r="AE65" s="395"/>
      <c r="AF65" s="395"/>
      <c r="AG65" s="395"/>
      <c r="AH65" s="395"/>
      <c r="AI65" s="395"/>
      <c r="AJ65" s="391"/>
      <c r="AK65" s="395"/>
      <c r="AL65" s="395"/>
      <c r="AM65" s="395"/>
      <c r="AN65" s="395"/>
      <c r="AO65" s="391"/>
      <c r="AP65" s="395"/>
      <c r="AQ65" s="395"/>
      <c r="AR65" s="395"/>
      <c r="AS65" s="395"/>
      <c r="AT65" s="391"/>
      <c r="AU65" s="395"/>
      <c r="AV65" s="395"/>
      <c r="AW65" s="391"/>
      <c r="AX65" s="391"/>
      <c r="AY65" s="391"/>
      <c r="AZ65" s="391"/>
      <c r="BA65" s="391"/>
      <c r="BB65" s="391"/>
      <c r="BC65" s="153"/>
      <c r="BD65" s="153"/>
      <c r="BE65" s="153"/>
    </row>
    <row r="66" spans="1:57">
      <c r="A66" s="153"/>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c r="AE66" s="153"/>
      <c r="AF66" s="153"/>
      <c r="AG66" s="153"/>
      <c r="AH66" s="153"/>
      <c r="AI66" s="153"/>
      <c r="AJ66" s="153"/>
      <c r="AK66" s="153"/>
      <c r="AL66" s="153"/>
      <c r="AM66" s="153"/>
      <c r="AN66" s="153"/>
      <c r="AO66" s="153"/>
      <c r="AP66" s="153"/>
      <c r="AQ66" s="153"/>
      <c r="AR66" s="153"/>
      <c r="AS66" s="153"/>
      <c r="AT66" s="153"/>
      <c r="AU66" s="153"/>
      <c r="AV66" s="153"/>
      <c r="AW66" s="153"/>
      <c r="AX66" s="153"/>
      <c r="AY66" s="153"/>
      <c r="AZ66" s="153"/>
      <c r="BA66" s="153"/>
      <c r="BB66" s="153"/>
      <c r="BC66" s="153"/>
      <c r="BD66" s="153"/>
      <c r="BE66" s="153"/>
    </row>
    <row r="67" spans="1:57">
      <c r="A67" s="153"/>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3"/>
      <c r="AE67" s="153"/>
      <c r="AF67" s="153"/>
      <c r="AG67" s="153"/>
      <c r="AH67" s="153"/>
      <c r="AI67" s="153"/>
      <c r="AJ67" s="153"/>
      <c r="AK67" s="153"/>
      <c r="AL67" s="153"/>
      <c r="AM67" s="153"/>
      <c r="AN67" s="153"/>
      <c r="AO67" s="153"/>
      <c r="AP67" s="153"/>
      <c r="AQ67" s="153"/>
      <c r="AR67" s="153"/>
      <c r="AS67" s="153"/>
      <c r="AT67" s="153"/>
      <c r="AU67" s="153"/>
      <c r="AV67" s="153"/>
      <c r="AW67" s="153"/>
      <c r="AX67" s="153"/>
      <c r="AY67" s="153"/>
      <c r="AZ67" s="153"/>
      <c r="BA67" s="153"/>
      <c r="BB67" s="153"/>
      <c r="BC67" s="153"/>
      <c r="BD67" s="153"/>
      <c r="BE67" s="153"/>
    </row>
    <row r="68" spans="1:57">
      <c r="A68" s="153"/>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c r="AJ68" s="153"/>
      <c r="AK68" s="153"/>
      <c r="AL68" s="153"/>
      <c r="AM68" s="153"/>
      <c r="AN68" s="153"/>
      <c r="AO68" s="153"/>
      <c r="AP68" s="153"/>
      <c r="AQ68" s="153"/>
      <c r="AR68" s="153"/>
      <c r="AS68" s="153"/>
      <c r="AT68" s="153"/>
      <c r="AU68" s="153"/>
      <c r="AV68" s="153"/>
      <c r="AW68" s="153"/>
      <c r="AX68" s="153"/>
      <c r="AY68" s="153"/>
      <c r="AZ68" s="153"/>
      <c r="BA68" s="153"/>
      <c r="BB68" s="153"/>
      <c r="BC68" s="153"/>
      <c r="BD68" s="153"/>
      <c r="BE68" s="153"/>
    </row>
    <row r="69" spans="1:57">
      <c r="A69" s="379" t="s">
        <v>740</v>
      </c>
      <c r="B69" s="380"/>
      <c r="C69" s="380"/>
      <c r="D69" s="380"/>
      <c r="E69" s="380"/>
      <c r="F69" s="380"/>
      <c r="G69" s="380"/>
      <c r="H69" s="380"/>
      <c r="I69" s="380"/>
      <c r="J69" s="380"/>
      <c r="K69" s="380"/>
      <c r="L69" s="380"/>
      <c r="M69" s="380"/>
      <c r="N69" s="380"/>
      <c r="O69" s="380"/>
      <c r="P69" s="380"/>
      <c r="Q69" s="380"/>
      <c r="R69" s="380"/>
      <c r="S69" s="380"/>
      <c r="T69" s="380"/>
      <c r="U69" s="380"/>
      <c r="V69" s="380"/>
      <c r="W69" s="380"/>
      <c r="X69" s="380"/>
      <c r="Y69" s="380"/>
      <c r="Z69" s="380"/>
      <c r="AA69" s="380"/>
      <c r="AB69" s="380"/>
      <c r="AC69" s="380"/>
      <c r="AD69" s="380"/>
      <c r="AE69" s="380"/>
      <c r="AF69" s="380"/>
      <c r="AG69" s="380"/>
      <c r="AH69" s="380"/>
      <c r="AI69" s="380"/>
      <c r="AJ69" s="380"/>
      <c r="AK69" s="380"/>
      <c r="AL69" s="380"/>
      <c r="AM69" s="380"/>
      <c r="AN69" s="380"/>
      <c r="AO69" s="380"/>
      <c r="AP69" s="380"/>
      <c r="AQ69" s="380"/>
      <c r="AR69" s="380"/>
      <c r="AS69" s="380"/>
      <c r="AT69" s="380"/>
      <c r="AU69" s="380"/>
      <c r="AV69" s="380"/>
      <c r="AW69" s="380"/>
      <c r="AX69" s="380"/>
      <c r="AY69" s="380"/>
      <c r="AZ69" s="380"/>
      <c r="BA69" s="380"/>
      <c r="BB69" s="380"/>
      <c r="BC69" s="153"/>
      <c r="BD69" s="153"/>
      <c r="BE69" s="153"/>
    </row>
    <row r="70" spans="1:57">
      <c r="A70" s="381"/>
      <c r="B70" s="381"/>
      <c r="C70" s="381"/>
      <c r="D70" s="381"/>
      <c r="E70" s="381"/>
      <c r="F70" s="381"/>
      <c r="G70" s="381"/>
      <c r="H70" s="381"/>
      <c r="I70" s="381"/>
      <c r="J70" s="381"/>
      <c r="K70" s="381"/>
      <c r="L70" s="381"/>
      <c r="M70" s="381"/>
      <c r="N70" s="381"/>
      <c r="O70" s="381"/>
      <c r="P70" s="381"/>
      <c r="Q70" s="381"/>
      <c r="R70" s="381"/>
      <c r="S70" s="381"/>
      <c r="T70" s="381"/>
      <c r="U70" s="381"/>
      <c r="V70" s="381"/>
      <c r="W70" s="381"/>
      <c r="X70" s="381"/>
      <c r="Y70" s="381"/>
      <c r="Z70" s="381"/>
      <c r="AA70" s="381"/>
      <c r="AB70" s="381"/>
      <c r="AC70" s="381"/>
      <c r="AD70" s="381"/>
      <c r="AE70" s="381"/>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153"/>
      <c r="BD70" s="153"/>
      <c r="BE70" s="153"/>
    </row>
    <row r="71" spans="1:57">
      <c r="A71" s="382" t="s">
        <v>716</v>
      </c>
      <c r="B71" s="383"/>
      <c r="C71" s="383"/>
      <c r="D71" s="383"/>
      <c r="E71" s="383"/>
      <c r="F71" s="383"/>
      <c r="G71" s="383"/>
      <c r="H71" s="383"/>
      <c r="I71" s="383"/>
      <c r="J71" s="383"/>
      <c r="K71" s="383"/>
      <c r="L71" s="383"/>
      <c r="M71" s="383"/>
      <c r="N71" s="383"/>
      <c r="O71" s="383"/>
      <c r="P71" s="383"/>
      <c r="Q71" s="383"/>
      <c r="R71" s="383"/>
      <c r="S71" s="383"/>
      <c r="T71" s="383"/>
      <c r="U71" s="383"/>
      <c r="V71" s="383">
        <f>Interims!O118</f>
        <v>4.2489999999999997</v>
      </c>
      <c r="W71" s="383">
        <f>Interims!P118</f>
        <v>8</v>
      </c>
      <c r="X71" s="383">
        <f>Interims!Q118</f>
        <v>9</v>
      </c>
      <c r="Y71" s="383">
        <f>Interims!R118</f>
        <v>8.7510000000000012</v>
      </c>
      <c r="Z71" s="383"/>
      <c r="AA71" s="383">
        <f>Interims!S118</f>
        <v>10.503</v>
      </c>
      <c r="AB71" s="383">
        <f>Interims!T118</f>
        <v>14</v>
      </c>
      <c r="AC71" s="383">
        <f>Interims!U118</f>
        <v>15</v>
      </c>
      <c r="AD71" s="383">
        <f>Interims!V118</f>
        <v>20.497</v>
      </c>
      <c r="AE71" s="383"/>
      <c r="AF71" s="383">
        <f>Interims!W118</f>
        <v>31</v>
      </c>
      <c r="AG71" s="383">
        <f>Interims!X118</f>
        <v>43</v>
      </c>
      <c r="AH71" s="383">
        <f>Interims!Y118</f>
        <v>42</v>
      </c>
      <c r="AI71" s="383">
        <f>Interims!Z118</f>
        <v>44</v>
      </c>
      <c r="AJ71" s="383"/>
      <c r="AK71" s="383">
        <f>Interims!AA118</f>
        <v>46</v>
      </c>
      <c r="AL71" s="383">
        <f>Interims!AB118</f>
        <v>48</v>
      </c>
      <c r="AM71" s="383">
        <f>Interims!AC118</f>
        <v>51.883000000000003</v>
      </c>
      <c r="AN71" s="383">
        <f>Interims!AD118</f>
        <v>54</v>
      </c>
      <c r="AO71" s="383"/>
      <c r="AP71" s="383">
        <f>Interims!AE118</f>
        <v>48</v>
      </c>
      <c r="AQ71" s="383">
        <f>Interims!AF118</f>
        <v>46</v>
      </c>
      <c r="AR71" s="383">
        <f>Interims!AG118</f>
        <v>45.148000000000003</v>
      </c>
      <c r="AS71" s="383">
        <f>Interims!AH118</f>
        <v>45</v>
      </c>
      <c r="AT71" s="383"/>
      <c r="AU71" s="383">
        <f>Interims!AI118</f>
        <v>47.5</v>
      </c>
      <c r="AV71" s="383">
        <f>Interims!AJ118</f>
        <v>45</v>
      </c>
      <c r="AW71" s="383"/>
      <c r="AX71" s="383"/>
      <c r="AY71" s="383"/>
      <c r="AZ71" s="383"/>
      <c r="BA71" s="383"/>
      <c r="BB71" s="383"/>
      <c r="BC71" s="153"/>
      <c r="BD71" s="153"/>
      <c r="BE71" s="153"/>
    </row>
    <row r="72" spans="1:57">
      <c r="A72" s="382" t="s">
        <v>717</v>
      </c>
      <c r="B72" s="383"/>
      <c r="C72" s="383"/>
      <c r="D72" s="383"/>
      <c r="E72" s="383"/>
      <c r="F72" s="383"/>
      <c r="G72" s="383"/>
      <c r="H72" s="383"/>
      <c r="I72" s="383"/>
      <c r="J72" s="383"/>
      <c r="K72" s="383"/>
      <c r="L72" s="383"/>
      <c r="M72" s="383"/>
      <c r="N72" s="383"/>
      <c r="O72" s="383"/>
      <c r="P72" s="383"/>
      <c r="Q72" s="383"/>
      <c r="R72" s="383"/>
      <c r="S72" s="383"/>
      <c r="T72" s="383"/>
      <c r="U72" s="383"/>
      <c r="V72" s="383">
        <f>V71</f>
        <v>4.2489999999999997</v>
      </c>
      <c r="W72" s="383">
        <f>W71</f>
        <v>8</v>
      </c>
      <c r="X72" s="383">
        <f>X71</f>
        <v>9</v>
      </c>
      <c r="Y72" s="383">
        <f>Y71</f>
        <v>8.7510000000000012</v>
      </c>
      <c r="Z72" s="383"/>
      <c r="AA72" s="383">
        <f>AA71</f>
        <v>10.503</v>
      </c>
      <c r="AB72" s="383">
        <f>AB71</f>
        <v>14</v>
      </c>
      <c r="AC72" s="383">
        <f>AC71</f>
        <v>15</v>
      </c>
      <c r="AD72" s="383">
        <f>AD71</f>
        <v>20.497</v>
      </c>
      <c r="AE72" s="383"/>
      <c r="AF72" s="383">
        <f>AF71</f>
        <v>31</v>
      </c>
      <c r="AG72" s="383">
        <f>AG71</f>
        <v>43</v>
      </c>
      <c r="AH72" s="383">
        <f>AH71</f>
        <v>42</v>
      </c>
      <c r="AI72" s="383">
        <f>AI71</f>
        <v>44</v>
      </c>
      <c r="AJ72" s="383"/>
      <c r="AK72" s="383">
        <f>AK71</f>
        <v>46</v>
      </c>
      <c r="AL72" s="383">
        <f>AL71</f>
        <v>48</v>
      </c>
      <c r="AM72" s="383">
        <f>AM71</f>
        <v>51.883000000000003</v>
      </c>
      <c r="AN72" s="383">
        <f>AN71</f>
        <v>54</v>
      </c>
      <c r="AO72" s="383"/>
      <c r="AP72" s="383">
        <f>AP71</f>
        <v>48</v>
      </c>
      <c r="AQ72" s="383">
        <f>AQ71</f>
        <v>46</v>
      </c>
      <c r="AR72" s="383">
        <f>AR71</f>
        <v>45.148000000000003</v>
      </c>
      <c r="AS72" s="383">
        <f>AS71</f>
        <v>45</v>
      </c>
      <c r="AT72" s="383"/>
      <c r="AU72" s="383">
        <f>AU71</f>
        <v>47.5</v>
      </c>
      <c r="AV72" s="383">
        <f>AV71</f>
        <v>45</v>
      </c>
      <c r="AW72" s="383"/>
      <c r="AX72" s="383"/>
      <c r="AY72" s="383"/>
      <c r="AZ72" s="383"/>
      <c r="BA72" s="383"/>
      <c r="BB72" s="383"/>
      <c r="BC72" s="153"/>
      <c r="BD72" s="153"/>
      <c r="BE72" s="153"/>
    </row>
    <row r="73" spans="1:57">
      <c r="A73" s="384" t="s">
        <v>162</v>
      </c>
      <c r="B73" s="383"/>
      <c r="C73" s="385"/>
      <c r="D73" s="385"/>
      <c r="E73" s="385"/>
      <c r="F73" s="385"/>
      <c r="G73" s="385"/>
      <c r="H73" s="385"/>
      <c r="I73" s="385"/>
      <c r="J73" s="385"/>
      <c r="K73" s="385"/>
      <c r="L73" s="385"/>
      <c r="M73" s="385"/>
      <c r="N73" s="385"/>
      <c r="O73" s="385"/>
      <c r="P73" s="385"/>
      <c r="Q73" s="385"/>
      <c r="R73" s="385"/>
      <c r="S73" s="385"/>
      <c r="T73" s="385"/>
      <c r="U73" s="385"/>
      <c r="V73" s="385">
        <f>Interims!O69</f>
        <v>0</v>
      </c>
      <c r="W73" s="385">
        <f>Interims!P69</f>
        <v>2343</v>
      </c>
      <c r="X73" s="385">
        <f>Interims!Q69</f>
        <v>2410</v>
      </c>
      <c r="Y73" s="385">
        <f>Interims!R69</f>
        <v>2481</v>
      </c>
      <c r="Z73" s="383"/>
      <c r="AA73" s="385">
        <f>Interims!S69</f>
        <v>3866</v>
      </c>
      <c r="AB73" s="385">
        <f>Interims!T69</f>
        <v>4629</v>
      </c>
      <c r="AC73" s="385">
        <f>Interims!U69</f>
        <v>4804</v>
      </c>
      <c r="AD73" s="385">
        <f>Interims!V69</f>
        <v>4909</v>
      </c>
      <c r="AE73" s="385"/>
      <c r="AF73" s="385">
        <f>Interims!W69</f>
        <v>7065</v>
      </c>
      <c r="AG73" s="385">
        <f>Interims!X69</f>
        <v>7139</v>
      </c>
      <c r="AH73" s="385">
        <f>Interims!Y69</f>
        <v>7195</v>
      </c>
      <c r="AI73" s="385">
        <f>Interims!Z69</f>
        <v>7276</v>
      </c>
      <c r="AJ73" s="385"/>
      <c r="AK73" s="385">
        <f>Interims!AA69</f>
        <v>7305</v>
      </c>
      <c r="AL73" s="385">
        <f>Interims!AB69</f>
        <v>7424</v>
      </c>
      <c r="AM73" s="385">
        <f>Interims!AC69</f>
        <v>7673</v>
      </c>
      <c r="AN73" s="385">
        <f>Interims!AD69</f>
        <v>7952</v>
      </c>
      <c r="AO73" s="385"/>
      <c r="AP73" s="385">
        <f>Interims!AE69</f>
        <v>8107</v>
      </c>
      <c r="AQ73" s="385">
        <f>Interims!AF69</f>
        <v>8194</v>
      </c>
      <c r="AR73" s="385">
        <f>Interims!AG69</f>
        <v>8354</v>
      </c>
      <c r="AS73" s="385">
        <f>Interims!AH69</f>
        <v>8579</v>
      </c>
      <c r="AT73" s="385"/>
      <c r="AU73" s="385">
        <f>Interims!AI69</f>
        <v>8653</v>
      </c>
      <c r="AV73" s="385">
        <f>Interims!AJ69</f>
        <v>8794</v>
      </c>
      <c r="AW73" s="385"/>
      <c r="AX73" s="385"/>
      <c r="AY73" s="385"/>
      <c r="AZ73" s="385"/>
      <c r="BA73" s="385"/>
      <c r="BB73" s="385"/>
      <c r="BC73" s="153"/>
      <c r="BD73" s="153"/>
      <c r="BE73" s="153"/>
    </row>
    <row r="74" spans="1:57">
      <c r="A74" s="384" t="s">
        <v>2</v>
      </c>
      <c r="B74" s="385"/>
      <c r="C74" s="385"/>
      <c r="D74" s="385"/>
      <c r="E74" s="385"/>
      <c r="F74" s="385"/>
      <c r="G74" s="385"/>
      <c r="H74" s="385"/>
      <c r="I74" s="385"/>
      <c r="J74" s="385"/>
      <c r="K74" s="385"/>
      <c r="L74" s="385"/>
      <c r="M74" s="385"/>
      <c r="N74" s="385"/>
      <c r="O74" s="385"/>
      <c r="P74" s="385"/>
      <c r="Q74" s="385"/>
      <c r="R74" s="385"/>
      <c r="S74" s="385"/>
      <c r="T74" s="385"/>
      <c r="U74" s="385"/>
      <c r="V74" s="385">
        <f>Interims!O70</f>
        <v>0</v>
      </c>
      <c r="W74" s="385">
        <f>Interims!P70</f>
        <v>3066</v>
      </c>
      <c r="X74" s="385">
        <f>Interims!Q70</f>
        <v>3158</v>
      </c>
      <c r="Y74" s="385">
        <f>Interims!R70</f>
        <v>3245</v>
      </c>
      <c r="Z74" s="383"/>
      <c r="AA74" s="385">
        <f>Interims!S70</f>
        <v>4740</v>
      </c>
      <c r="AB74" s="385">
        <f>Interims!T70</f>
        <v>5616</v>
      </c>
      <c r="AC74" s="385">
        <f>Interims!U70</f>
        <v>5826</v>
      </c>
      <c r="AD74" s="385">
        <f>Interims!V70</f>
        <v>5961</v>
      </c>
      <c r="AE74" s="385"/>
      <c r="AF74" s="385">
        <f>Interims!W70</f>
        <v>9022</v>
      </c>
      <c r="AG74" s="385">
        <f>Interims!X70</f>
        <v>9585</v>
      </c>
      <c r="AH74" s="385">
        <f>Interims!Y70</f>
        <v>9651</v>
      </c>
      <c r="AI74" s="385">
        <f>Interims!Z70</f>
        <v>9781</v>
      </c>
      <c r="AJ74" s="385"/>
      <c r="AK74" s="385">
        <f>Interims!AA70</f>
        <v>9837</v>
      </c>
      <c r="AL74" s="385">
        <f>Interims!AB70</f>
        <v>9896</v>
      </c>
      <c r="AM74" s="385">
        <f>Interims!AC70</f>
        <v>10155</v>
      </c>
      <c r="AN74" s="385">
        <f>Interims!AD70</f>
        <v>10429</v>
      </c>
      <c r="AO74" s="385"/>
      <c r="AP74" s="385">
        <f>Interims!AE70</f>
        <v>10463</v>
      </c>
      <c r="AQ74" s="385">
        <f>Interims!AF70</f>
        <v>10557</v>
      </c>
      <c r="AR74" s="385">
        <f>Interims!AG70</f>
        <v>10812</v>
      </c>
      <c r="AS74" s="385">
        <f>Interims!AH70</f>
        <v>11175</v>
      </c>
      <c r="AT74" s="385"/>
      <c r="AU74" s="385">
        <f>Interims!AI70</f>
        <v>11318</v>
      </c>
      <c r="AV74" s="385">
        <f>Interims!AJ70</f>
        <v>11581</v>
      </c>
      <c r="AW74" s="385"/>
      <c r="AX74" s="385"/>
      <c r="AY74" s="385"/>
      <c r="AZ74" s="385"/>
      <c r="BA74" s="385"/>
      <c r="BB74" s="385"/>
      <c r="BC74" s="153"/>
      <c r="BD74" s="153"/>
      <c r="BE74" s="153"/>
    </row>
    <row r="75" spans="1:57">
      <c r="A75" s="382" t="s">
        <v>718</v>
      </c>
      <c r="B75" s="385"/>
      <c r="C75" s="386"/>
      <c r="D75" s="386"/>
      <c r="E75" s="386"/>
      <c r="F75" s="386"/>
      <c r="G75" s="387"/>
      <c r="H75" s="387"/>
      <c r="I75" s="387"/>
      <c r="J75" s="387"/>
      <c r="K75" s="387"/>
      <c r="L75" s="387"/>
      <c r="M75" s="387"/>
      <c r="N75" s="387"/>
      <c r="O75" s="387"/>
      <c r="P75" s="387"/>
      <c r="Q75" s="387"/>
      <c r="R75" s="387"/>
      <c r="S75" s="387"/>
      <c r="T75" s="387"/>
      <c r="U75" s="387"/>
      <c r="V75" s="388">
        <f>Interims!O71</f>
        <v>0</v>
      </c>
      <c r="W75" s="388">
        <f>Interims!P71</f>
        <v>1.3085787451984634</v>
      </c>
      <c r="X75" s="388">
        <f>Interims!Q71</f>
        <v>1.3103734439834025</v>
      </c>
      <c r="Y75" s="388">
        <f>Interims!R71</f>
        <v>1.3079403466344217</v>
      </c>
      <c r="Z75" s="396"/>
      <c r="AA75" s="388">
        <f>Interims!S71</f>
        <v>1.2260734609415416</v>
      </c>
      <c r="AB75" s="388">
        <f>Interims!T71</f>
        <v>1.2132209980557356</v>
      </c>
      <c r="AC75" s="388">
        <f>Interims!U71</f>
        <v>1.2127393838467944</v>
      </c>
      <c r="AD75" s="388">
        <f>Interims!V71</f>
        <v>1.214300264819719</v>
      </c>
      <c r="AE75" s="388"/>
      <c r="AF75" s="388">
        <f>Interims!W71</f>
        <v>1.2769992922859166</v>
      </c>
      <c r="AG75" s="388">
        <f>Interims!X71</f>
        <v>1.3426250175094552</v>
      </c>
      <c r="AH75" s="388">
        <f>Interims!Y71</f>
        <v>1.3413481584433635</v>
      </c>
      <c r="AI75" s="388">
        <f>Interims!Z71</f>
        <v>1.344282572842221</v>
      </c>
      <c r="AJ75" s="387"/>
      <c r="AK75" s="388">
        <f>Interims!AA71</f>
        <v>1.3466119096509239</v>
      </c>
      <c r="AL75" s="388">
        <f>Interims!AB71</f>
        <v>1.3329741379310345</v>
      </c>
      <c r="AM75" s="388">
        <f>Interims!AC71</f>
        <v>1.3234719145054086</v>
      </c>
      <c r="AN75" s="388">
        <f>Interims!AD71</f>
        <v>1.3114939637826961</v>
      </c>
      <c r="AO75" s="387"/>
      <c r="AP75" s="388">
        <f>Interims!AE71</f>
        <v>1.2906130504502282</v>
      </c>
      <c r="AQ75" s="388">
        <f>Interims!AF71</f>
        <v>1.2883817427385893</v>
      </c>
      <c r="AR75" s="388">
        <f>Interims!AG71</f>
        <v>1.2942303088340914</v>
      </c>
      <c r="AS75" s="388">
        <f>Interims!AH71</f>
        <v>1.3025993705560088</v>
      </c>
      <c r="AT75" s="387"/>
      <c r="AU75" s="388">
        <f>Interims!AI71</f>
        <v>1.3079856697099272</v>
      </c>
      <c r="AV75" s="388">
        <f>Interims!AJ71</f>
        <v>1.3169206277007051</v>
      </c>
      <c r="AW75" s="387"/>
      <c r="AX75" s="387"/>
      <c r="AY75" s="387"/>
      <c r="AZ75" s="387"/>
      <c r="BA75" s="387"/>
      <c r="BB75" s="387"/>
      <c r="BC75" s="153"/>
      <c r="BD75" s="153"/>
      <c r="BE75" s="153"/>
    </row>
    <row r="76" spans="1:57">
      <c r="A76" s="382" t="s">
        <v>9</v>
      </c>
      <c r="B76" s="385"/>
      <c r="C76" s="383"/>
      <c r="D76" s="383"/>
      <c r="E76" s="383"/>
      <c r="F76" s="383"/>
      <c r="G76" s="383"/>
      <c r="H76" s="383"/>
      <c r="I76" s="383"/>
      <c r="J76" s="383"/>
      <c r="K76" s="383"/>
      <c r="L76" s="383"/>
      <c r="M76" s="383"/>
      <c r="N76" s="383"/>
      <c r="O76" s="383"/>
      <c r="P76" s="383"/>
      <c r="Q76" s="383"/>
      <c r="R76" s="383"/>
      <c r="S76" s="383"/>
      <c r="T76" s="383"/>
      <c r="U76" s="383"/>
      <c r="V76" s="383">
        <f>Interims!O146</f>
        <v>2.7530000000000001</v>
      </c>
      <c r="W76" s="383">
        <f>Interims!P146</f>
        <v>7</v>
      </c>
      <c r="X76" s="383">
        <f>Interims!Q146</f>
        <v>7</v>
      </c>
      <c r="Y76" s="383">
        <f>Interims!R146</f>
        <v>6.2469999999999999</v>
      </c>
      <c r="Z76" s="383"/>
      <c r="AA76" s="383">
        <f>Interims!S146</f>
        <v>7.47</v>
      </c>
      <c r="AB76" s="383">
        <f>Interims!T146</f>
        <v>10</v>
      </c>
      <c r="AC76" s="383">
        <f>Interims!U146</f>
        <v>11</v>
      </c>
      <c r="AD76" s="383">
        <f>Interims!V146</f>
        <v>14</v>
      </c>
      <c r="AE76" s="383"/>
      <c r="AF76" s="383">
        <f>Interims!W146</f>
        <v>22</v>
      </c>
      <c r="AG76" s="383">
        <f>Interims!X146</f>
        <v>31</v>
      </c>
      <c r="AH76" s="383">
        <f>Interims!Y146</f>
        <v>30</v>
      </c>
      <c r="AI76" s="383">
        <f>Interims!Z146</f>
        <v>31</v>
      </c>
      <c r="AJ76" s="383"/>
      <c r="AK76" s="383">
        <f>Interims!AA146</f>
        <v>31</v>
      </c>
      <c r="AL76" s="383">
        <f>Interims!AB146</f>
        <v>35</v>
      </c>
      <c r="AM76" s="383">
        <f>Interims!AC146</f>
        <v>38</v>
      </c>
      <c r="AN76" s="383">
        <f>Interims!AD146</f>
        <v>41</v>
      </c>
      <c r="AO76" s="383"/>
      <c r="AP76" s="383">
        <f>Interims!AE146</f>
        <v>34</v>
      </c>
      <c r="AQ76" s="383">
        <f>Interims!AF146</f>
        <v>33</v>
      </c>
      <c r="AR76" s="383">
        <f>Interims!AG146</f>
        <v>33.798000000000002</v>
      </c>
      <c r="AS76" s="383">
        <f>Interims!AH146</f>
        <v>37</v>
      </c>
      <c r="AT76" s="383"/>
      <c r="AU76" s="383">
        <f>Interims!AI146</f>
        <v>35.6</v>
      </c>
      <c r="AV76" s="383">
        <f>Interims!AJ146</f>
        <v>33</v>
      </c>
      <c r="AW76" s="383"/>
      <c r="AX76" s="383"/>
      <c r="AY76" s="383"/>
      <c r="AZ76" s="383"/>
      <c r="BA76" s="383"/>
      <c r="BB76" s="383"/>
      <c r="BC76" s="153"/>
      <c r="BD76" s="153"/>
      <c r="BE76" s="153"/>
    </row>
    <row r="77" spans="1:57">
      <c r="A77" s="382" t="s">
        <v>719</v>
      </c>
      <c r="B77" s="383"/>
      <c r="C77" s="383"/>
      <c r="D77" s="383"/>
      <c r="E77" s="383"/>
      <c r="F77" s="383"/>
      <c r="G77" s="383"/>
      <c r="H77" s="383"/>
      <c r="I77" s="383"/>
      <c r="J77" s="383"/>
      <c r="K77" s="383"/>
      <c r="L77" s="383"/>
      <c r="M77" s="383"/>
      <c r="N77" s="383"/>
      <c r="O77" s="383"/>
      <c r="P77" s="383"/>
      <c r="Q77" s="383"/>
      <c r="R77" s="383"/>
      <c r="S77" s="383"/>
      <c r="T77" s="383"/>
      <c r="U77" s="383"/>
      <c r="V77" s="383"/>
      <c r="W77" s="383"/>
      <c r="X77" s="383"/>
      <c r="Y77" s="383"/>
      <c r="Z77" s="383"/>
      <c r="AA77" s="383"/>
      <c r="AB77" s="383"/>
      <c r="AC77" s="383"/>
      <c r="AD77" s="383"/>
      <c r="AE77" s="383"/>
      <c r="AF77" s="383"/>
      <c r="AG77" s="383"/>
      <c r="AH77" s="383"/>
      <c r="AI77" s="383"/>
      <c r="AJ77" s="383"/>
      <c r="AK77" s="383"/>
      <c r="AL77" s="383"/>
      <c r="AM77" s="383"/>
      <c r="AN77" s="383"/>
      <c r="AO77" s="383"/>
      <c r="AP77" s="383"/>
      <c r="AQ77" s="383"/>
      <c r="AR77" s="383"/>
      <c r="AS77" s="383"/>
      <c r="AT77" s="383"/>
      <c r="AU77" s="383"/>
      <c r="AV77" s="383"/>
      <c r="AW77" s="383"/>
      <c r="AX77" s="383"/>
      <c r="AY77" s="383"/>
      <c r="AZ77" s="383"/>
      <c r="BA77" s="383"/>
      <c r="BB77" s="383"/>
      <c r="BC77" s="153"/>
      <c r="BD77" s="153"/>
      <c r="BE77" s="153"/>
    </row>
    <row r="78" spans="1:57">
      <c r="A78" s="382"/>
      <c r="B78" s="383"/>
      <c r="C78" s="385"/>
      <c r="D78" s="385"/>
      <c r="E78" s="385"/>
      <c r="F78" s="385"/>
      <c r="G78" s="385"/>
      <c r="H78" s="385"/>
      <c r="I78" s="385"/>
      <c r="J78" s="385"/>
      <c r="K78" s="385"/>
      <c r="L78" s="385"/>
      <c r="M78" s="385"/>
      <c r="N78" s="385"/>
      <c r="O78" s="385"/>
      <c r="P78" s="385"/>
      <c r="Q78" s="385"/>
      <c r="R78" s="385"/>
      <c r="S78" s="385"/>
      <c r="T78" s="385"/>
      <c r="U78" s="385"/>
      <c r="V78" s="385"/>
      <c r="W78" s="385"/>
      <c r="X78" s="385"/>
      <c r="Y78" s="385"/>
      <c r="Z78" s="383"/>
      <c r="AA78" s="385"/>
      <c r="AB78" s="385"/>
      <c r="AC78" s="385"/>
      <c r="AD78" s="385"/>
      <c r="AE78" s="385"/>
      <c r="AF78" s="385"/>
      <c r="AG78" s="385"/>
      <c r="AH78" s="385"/>
      <c r="AI78" s="385"/>
      <c r="AJ78" s="385"/>
      <c r="AK78" s="385"/>
      <c r="AL78" s="385"/>
      <c r="AM78" s="385"/>
      <c r="AN78" s="385"/>
      <c r="AO78" s="385"/>
      <c r="AP78" s="385"/>
      <c r="AQ78" s="385"/>
      <c r="AR78" s="385"/>
      <c r="AS78" s="385"/>
      <c r="AT78" s="385"/>
      <c r="AU78" s="385"/>
      <c r="AV78" s="385"/>
      <c r="AW78" s="385"/>
      <c r="AX78" s="385"/>
      <c r="AY78" s="385"/>
      <c r="AZ78" s="385"/>
      <c r="BA78" s="385"/>
      <c r="BB78" s="385"/>
      <c r="BC78" s="153"/>
      <c r="BD78" s="153"/>
      <c r="BE78" s="153"/>
    </row>
    <row r="79" spans="1:57">
      <c r="A79" s="382" t="s">
        <v>720</v>
      </c>
      <c r="B79" s="385"/>
      <c r="C79" s="383"/>
      <c r="D79" s="383"/>
      <c r="E79" s="383"/>
      <c r="F79" s="383"/>
      <c r="G79" s="383"/>
      <c r="H79" s="383"/>
      <c r="I79" s="383"/>
      <c r="J79" s="383"/>
      <c r="K79" s="383"/>
      <c r="L79" s="383"/>
      <c r="M79" s="383"/>
      <c r="N79" s="383"/>
      <c r="O79" s="383"/>
      <c r="P79" s="383"/>
      <c r="Q79" s="383"/>
      <c r="R79" s="383"/>
      <c r="S79" s="383"/>
      <c r="T79" s="383"/>
      <c r="U79" s="383"/>
      <c r="V79" s="383"/>
      <c r="W79" s="383"/>
      <c r="X79" s="383"/>
      <c r="Y79" s="383"/>
      <c r="Z79" s="383"/>
      <c r="AA79" s="383"/>
      <c r="AB79" s="383"/>
      <c r="AC79" s="383"/>
      <c r="AD79" s="383"/>
      <c r="AE79" s="383"/>
      <c r="AF79" s="383"/>
      <c r="AG79" s="383"/>
      <c r="AH79" s="383"/>
      <c r="AI79" s="383"/>
      <c r="AJ79" s="383"/>
      <c r="AK79" s="383"/>
      <c r="AL79" s="383"/>
      <c r="AM79" s="383"/>
      <c r="AN79" s="383"/>
      <c r="AO79" s="383"/>
      <c r="AP79" s="383"/>
      <c r="AQ79" s="383"/>
      <c r="AR79" s="383"/>
      <c r="AS79" s="383"/>
      <c r="AT79" s="383"/>
      <c r="AU79" s="383"/>
      <c r="AV79" s="383"/>
      <c r="AW79" s="383"/>
      <c r="AX79" s="383"/>
      <c r="AY79" s="383"/>
      <c r="AZ79" s="383"/>
      <c r="BA79" s="383"/>
      <c r="BB79" s="383"/>
      <c r="BC79" s="153"/>
      <c r="BD79" s="153"/>
      <c r="BE79" s="153"/>
    </row>
    <row r="80" spans="1:57">
      <c r="A80" s="389" t="s">
        <v>721</v>
      </c>
      <c r="B80" s="390"/>
      <c r="C80" s="386"/>
      <c r="D80" s="386"/>
      <c r="E80" s="386"/>
      <c r="F80" s="386"/>
      <c r="G80" s="391"/>
      <c r="H80" s="391"/>
      <c r="I80" s="391"/>
      <c r="J80" s="391"/>
      <c r="K80" s="391"/>
      <c r="L80" s="391"/>
      <c r="M80" s="391"/>
      <c r="N80" s="391"/>
      <c r="O80" s="391"/>
      <c r="P80" s="391"/>
      <c r="Q80" s="391"/>
      <c r="R80" s="391"/>
      <c r="S80" s="391"/>
      <c r="T80" s="391"/>
      <c r="U80" s="391"/>
      <c r="V80" s="385">
        <f>Interims!O76</f>
        <v>0</v>
      </c>
      <c r="W80" s="385">
        <f>Interims!P76</f>
        <v>869.7542944118286</v>
      </c>
      <c r="X80" s="385">
        <f>Interims!Q76</f>
        <v>964.01028277634953</v>
      </c>
      <c r="Y80" s="385">
        <f>Interims!R76</f>
        <v>911.13540527877569</v>
      </c>
      <c r="Z80" s="383"/>
      <c r="AA80" s="385">
        <f>Interims!S76</f>
        <v>876.8941765810896</v>
      </c>
      <c r="AB80" s="385">
        <f>Interims!T76</f>
        <v>901.24887343890816</v>
      </c>
      <c r="AC80" s="385">
        <f>Interims!U76</f>
        <v>873.97308162908575</v>
      </c>
      <c r="AD80" s="385">
        <f>Interims!V76</f>
        <v>1159.2997935578744</v>
      </c>
      <c r="AE80" s="385"/>
      <c r="AF80" s="385">
        <f>Interims!W76</f>
        <v>1379.3410309461833</v>
      </c>
      <c r="AG80" s="385">
        <f>Interims!X76</f>
        <v>1540.6388276813386</v>
      </c>
      <c r="AH80" s="385">
        <f>Interims!Y76</f>
        <v>1455.6040756914119</v>
      </c>
      <c r="AI80" s="385">
        <f>Interims!Z76</f>
        <v>1509.5375325922876</v>
      </c>
      <c r="AJ80" s="391"/>
      <c r="AK80" s="385">
        <f>Interims!AA76</f>
        <v>1563.1902674414653</v>
      </c>
      <c r="AL80" s="385">
        <f>Interims!AB76</f>
        <v>1621.6490143414585</v>
      </c>
      <c r="AM80" s="385">
        <f>Interims!AC76</f>
        <v>1725.0344953701394</v>
      </c>
      <c r="AN80" s="385">
        <f>Interims!AD76</f>
        <v>1748.9312087057908</v>
      </c>
      <c r="AO80" s="391"/>
      <c r="AP80" s="385">
        <f>Interims!AE76</f>
        <v>1531.6867700555238</v>
      </c>
      <c r="AQ80" s="385">
        <f>Interims!AF76</f>
        <v>1458.9280050745322</v>
      </c>
      <c r="AR80" s="385">
        <f>Interims!AG76</f>
        <v>1408.5201304069758</v>
      </c>
      <c r="AS80" s="385">
        <f>Interims!AH76</f>
        <v>1364.4426251876109</v>
      </c>
      <c r="AT80" s="391"/>
      <c r="AU80" s="385">
        <f>Interims!AI76</f>
        <v>1407.8454037552422</v>
      </c>
      <c r="AV80" s="385">
        <f>Interims!AJ76</f>
        <v>1310.1008777675881</v>
      </c>
      <c r="AW80" s="391"/>
      <c r="AX80" s="391"/>
      <c r="AY80" s="391"/>
      <c r="AZ80" s="391"/>
      <c r="BA80" s="391"/>
      <c r="BB80" s="391"/>
      <c r="BC80" s="153"/>
      <c r="BD80" s="153"/>
      <c r="BE80" s="153"/>
    </row>
    <row r="81" spans="1:57">
      <c r="A81" s="389" t="s">
        <v>722</v>
      </c>
      <c r="B81" s="386"/>
      <c r="C81" s="386"/>
      <c r="D81" s="386"/>
      <c r="E81" s="386"/>
      <c r="F81" s="386"/>
      <c r="G81" s="391"/>
      <c r="H81" s="391"/>
      <c r="I81" s="391"/>
      <c r="J81" s="391"/>
      <c r="K81" s="391"/>
      <c r="L81" s="391"/>
      <c r="M81" s="391"/>
      <c r="N81" s="391"/>
      <c r="O81" s="391"/>
      <c r="P81" s="391"/>
      <c r="Q81" s="391"/>
      <c r="R81" s="391"/>
      <c r="S81" s="391"/>
      <c r="T81" s="391"/>
      <c r="U81" s="391"/>
      <c r="V81" s="385">
        <f>Interims!O78</f>
        <v>0</v>
      </c>
      <c r="W81" s="385">
        <f>Interims!P78</f>
        <v>1138.1419832124059</v>
      </c>
      <c r="X81" s="385">
        <f>Interims!Q78</f>
        <v>1262.3606143488323</v>
      </c>
      <c r="Y81" s="385">
        <f>Interims!R78</f>
        <v>1192.803107748927</v>
      </c>
      <c r="Z81" s="383"/>
      <c r="AA81" s="385">
        <f>Interims!S78</f>
        <v>1103.1983614305971</v>
      </c>
      <c r="AB81" s="385">
        <f>Interims!T78</f>
        <v>1098.6855012752601</v>
      </c>
      <c r="AC81" s="385">
        <f>Interims!U78</f>
        <v>1060.108131029365</v>
      </c>
      <c r="AD81" s="385">
        <f>Interims!V78</f>
        <v>1406.843062562202</v>
      </c>
      <c r="AE81" s="385"/>
      <c r="AF81" s="385">
        <f>Interims!W78</f>
        <v>1725.9618061355159</v>
      </c>
      <c r="AG81" s="385">
        <f>Interims!X78</f>
        <v>2018.2108326293064</v>
      </c>
      <c r="AH81" s="385">
        <f>Interims!Y78</f>
        <v>1953.3975163945863</v>
      </c>
      <c r="AI81" s="385">
        <f>Interims!Z78</f>
        <v>2027.0425909289843</v>
      </c>
      <c r="AJ81" s="391"/>
      <c r="AK81" s="385">
        <f>Interims!AA78</f>
        <v>2103.1936538417576</v>
      </c>
      <c r="AL81" s="385">
        <f>Interims!AB78</f>
        <v>2172.5846968565415</v>
      </c>
      <c r="AM81" s="385">
        <f>Interims!AC78</f>
        <v>2291.0953611092714</v>
      </c>
      <c r="AN81" s="385">
        <f>Interims!AD78</f>
        <v>2304</v>
      </c>
      <c r="AO81" s="391"/>
      <c r="AP81" s="385">
        <f>Interims!AE78</f>
        <v>1992.652095398219</v>
      </c>
      <c r="AQ81" s="385">
        <f>Interims!AF78</f>
        <v>1881.2751773919799</v>
      </c>
      <c r="AR81" s="385">
        <f>Interims!AG78</f>
        <v>1818.8703569414229</v>
      </c>
      <c r="AS81" s="385">
        <f>Interims!AH78</f>
        <v>1771.6884190633673</v>
      </c>
      <c r="AT81" s="391"/>
      <c r="AU81" s="385">
        <f>Interims!AI78</f>
        <v>1837.6663571649644</v>
      </c>
      <c r="AV81" s="385">
        <f>Interims!AJ78</f>
        <v>1719.4933226342637</v>
      </c>
      <c r="AW81" s="391"/>
      <c r="AX81" s="391"/>
      <c r="AY81" s="391"/>
      <c r="AZ81" s="391"/>
      <c r="BA81" s="391"/>
      <c r="BB81" s="391"/>
      <c r="BC81" s="153"/>
      <c r="BD81" s="153"/>
      <c r="BE81" s="153"/>
    </row>
    <row r="82" spans="1:57">
      <c r="A82" s="392"/>
      <c r="B82" s="386"/>
      <c r="C82" s="386"/>
      <c r="D82" s="386"/>
      <c r="E82" s="386"/>
      <c r="F82" s="386"/>
      <c r="G82" s="391"/>
      <c r="H82" s="391"/>
      <c r="I82" s="391"/>
      <c r="J82" s="391"/>
      <c r="K82" s="391"/>
      <c r="L82" s="391"/>
      <c r="M82" s="391"/>
      <c r="N82" s="391"/>
      <c r="O82" s="391"/>
      <c r="P82" s="391"/>
      <c r="Q82" s="391"/>
      <c r="R82" s="391"/>
      <c r="S82" s="391"/>
      <c r="T82" s="391"/>
      <c r="U82" s="391"/>
      <c r="V82" s="383"/>
      <c r="W82" s="391"/>
      <c r="X82" s="391"/>
      <c r="Y82" s="391"/>
      <c r="Z82" s="383"/>
      <c r="AA82" s="391"/>
      <c r="AB82" s="391"/>
      <c r="AC82" s="391"/>
      <c r="AD82" s="391"/>
      <c r="AE82" s="391"/>
      <c r="AF82" s="391"/>
      <c r="AG82" s="391"/>
      <c r="AH82" s="391"/>
      <c r="AI82" s="391"/>
      <c r="AJ82" s="391"/>
      <c r="AK82" s="391"/>
      <c r="AL82" s="391"/>
      <c r="AM82" s="391"/>
      <c r="AN82" s="391"/>
      <c r="AO82" s="391"/>
      <c r="AP82" s="391"/>
      <c r="AQ82" s="391"/>
      <c r="AR82" s="391"/>
      <c r="AS82" s="391"/>
      <c r="AT82" s="391"/>
      <c r="AU82" s="391"/>
      <c r="AV82" s="391"/>
      <c r="AW82" s="391"/>
      <c r="AX82" s="391"/>
      <c r="AY82" s="391"/>
      <c r="AZ82" s="391"/>
      <c r="BA82" s="391"/>
      <c r="BB82" s="391"/>
      <c r="BC82" s="153"/>
      <c r="BD82" s="153"/>
      <c r="BE82" s="153"/>
    </row>
    <row r="83" spans="1:57">
      <c r="A83" s="392" t="s">
        <v>94</v>
      </c>
      <c r="B83" s="393"/>
      <c r="C83" s="393"/>
      <c r="D83" s="393"/>
      <c r="E83" s="393"/>
      <c r="F83" s="393"/>
      <c r="G83" s="383"/>
      <c r="H83" s="383"/>
      <c r="I83" s="383"/>
      <c r="J83" s="383"/>
      <c r="K83" s="383"/>
      <c r="L83" s="383"/>
      <c r="M83" s="383"/>
      <c r="N83" s="383"/>
      <c r="O83" s="383"/>
      <c r="P83" s="383"/>
      <c r="Q83" s="383"/>
      <c r="R83" s="383"/>
      <c r="S83" s="383"/>
      <c r="T83" s="383"/>
      <c r="U83" s="383"/>
      <c r="V83" s="383"/>
      <c r="W83" s="383"/>
      <c r="X83" s="383"/>
      <c r="Y83" s="383"/>
      <c r="Z83" s="383"/>
      <c r="AA83" s="383"/>
      <c r="AB83" s="383"/>
      <c r="AC83" s="383"/>
      <c r="AD83" s="383"/>
      <c r="AE83" s="383"/>
      <c r="AF83" s="383"/>
      <c r="AG83" s="383"/>
      <c r="AH83" s="383"/>
      <c r="AI83" s="383"/>
      <c r="AJ83" s="383"/>
      <c r="AK83" s="383"/>
      <c r="AL83" s="383"/>
      <c r="AM83" s="383"/>
      <c r="AN83" s="383"/>
      <c r="AO83" s="383"/>
      <c r="AP83" s="383"/>
      <c r="AQ83" s="383"/>
      <c r="AR83" s="383"/>
      <c r="AS83" s="383"/>
      <c r="AT83" s="383"/>
      <c r="AU83" s="383"/>
      <c r="AV83" s="383"/>
      <c r="AW83" s="383"/>
      <c r="AX83" s="383"/>
      <c r="AY83" s="383"/>
      <c r="AZ83" s="383"/>
      <c r="BA83" s="383"/>
      <c r="BB83" s="383"/>
      <c r="BC83" s="153"/>
      <c r="BD83" s="153"/>
      <c r="BE83" s="153"/>
    </row>
    <row r="84" spans="1:57">
      <c r="A84" s="392" t="s">
        <v>723</v>
      </c>
      <c r="B84" s="386"/>
      <c r="C84" s="386"/>
      <c r="D84" s="386"/>
      <c r="E84" s="386"/>
      <c r="F84" s="386"/>
      <c r="G84" s="391"/>
      <c r="H84" s="391"/>
      <c r="I84" s="391"/>
      <c r="J84" s="391"/>
      <c r="K84" s="391"/>
      <c r="L84" s="391"/>
      <c r="M84" s="391"/>
      <c r="N84" s="391"/>
      <c r="O84" s="391"/>
      <c r="P84" s="391"/>
      <c r="Q84" s="391"/>
      <c r="R84" s="391"/>
      <c r="S84" s="391"/>
      <c r="T84" s="391"/>
      <c r="U84" s="391"/>
      <c r="V84" s="391"/>
      <c r="W84" s="391"/>
      <c r="X84" s="391"/>
      <c r="Y84" s="391"/>
      <c r="Z84" s="391"/>
      <c r="AA84" s="391"/>
      <c r="AB84" s="391"/>
      <c r="AC84" s="391"/>
      <c r="AD84" s="391"/>
      <c r="AE84" s="391"/>
      <c r="AF84" s="391"/>
      <c r="AG84" s="391"/>
      <c r="AH84" s="391"/>
      <c r="AI84" s="391"/>
      <c r="AJ84" s="391"/>
      <c r="AK84" s="391"/>
      <c r="AL84" s="391"/>
      <c r="AM84" s="391"/>
      <c r="AN84" s="391"/>
      <c r="AO84" s="391"/>
      <c r="AP84" s="391"/>
      <c r="AQ84" s="391"/>
      <c r="AR84" s="391"/>
      <c r="AS84" s="391"/>
      <c r="AT84" s="391"/>
      <c r="AU84" s="391"/>
      <c r="AV84" s="391"/>
      <c r="AW84" s="391"/>
      <c r="AX84" s="391"/>
      <c r="AY84" s="391"/>
      <c r="AZ84" s="391"/>
      <c r="BA84" s="391"/>
      <c r="BB84" s="391"/>
      <c r="BC84" s="153"/>
      <c r="BD84" s="153"/>
      <c r="BE84" s="153"/>
    </row>
    <row r="85" spans="1:57">
      <c r="A85" s="392" t="s">
        <v>299</v>
      </c>
      <c r="B85" s="394"/>
      <c r="C85" s="394"/>
      <c r="D85" s="394"/>
      <c r="E85" s="394"/>
      <c r="F85" s="394"/>
      <c r="G85" s="394"/>
      <c r="H85" s="394"/>
      <c r="I85" s="394"/>
      <c r="J85" s="394"/>
      <c r="K85" s="394"/>
      <c r="L85" s="394"/>
      <c r="M85" s="394"/>
      <c r="N85" s="394"/>
      <c r="O85" s="394"/>
      <c r="P85" s="394"/>
      <c r="Q85" s="394"/>
      <c r="R85" s="394"/>
      <c r="S85" s="394"/>
      <c r="T85" s="394"/>
      <c r="U85" s="394"/>
      <c r="V85" s="394"/>
      <c r="W85" s="394"/>
      <c r="X85" s="394"/>
      <c r="Y85" s="394"/>
      <c r="Z85" s="391"/>
      <c r="AA85" s="391"/>
      <c r="AB85" s="391"/>
      <c r="AC85" s="391"/>
      <c r="AD85" s="391"/>
      <c r="AE85" s="391"/>
      <c r="AF85" s="391"/>
      <c r="AG85" s="391"/>
      <c r="AH85" s="391"/>
      <c r="AI85" s="391"/>
      <c r="AJ85" s="391"/>
      <c r="AK85" s="391"/>
      <c r="AL85" s="391"/>
      <c r="AM85" s="391"/>
      <c r="AN85" s="391"/>
      <c r="AO85" s="391"/>
      <c r="AP85" s="391"/>
      <c r="AQ85" s="391"/>
      <c r="AR85" s="391"/>
      <c r="AS85" s="391"/>
      <c r="AT85" s="391"/>
      <c r="AU85" s="391"/>
      <c r="AV85" s="391"/>
      <c r="AW85" s="391"/>
      <c r="AX85" s="391"/>
      <c r="AY85" s="391"/>
      <c r="AZ85" s="391"/>
      <c r="BA85" s="391"/>
      <c r="BB85" s="391"/>
      <c r="BC85" s="153"/>
      <c r="BD85" s="153"/>
      <c r="BE85" s="153"/>
    </row>
    <row r="86" spans="1:57">
      <c r="A86" s="382" t="s">
        <v>248</v>
      </c>
      <c r="B86" s="394"/>
      <c r="C86" s="394"/>
      <c r="D86" s="394"/>
      <c r="E86" s="394"/>
      <c r="F86" s="394"/>
      <c r="G86" s="394"/>
      <c r="H86" s="394"/>
      <c r="I86" s="394"/>
      <c r="J86" s="394"/>
      <c r="K86" s="394"/>
      <c r="L86" s="394"/>
      <c r="M86" s="394"/>
      <c r="N86" s="394"/>
      <c r="O86" s="394"/>
      <c r="P86" s="394"/>
      <c r="Q86" s="394"/>
      <c r="R86" s="394"/>
      <c r="S86" s="394"/>
      <c r="T86" s="394"/>
      <c r="U86" s="394"/>
      <c r="V86" s="394"/>
      <c r="W86" s="394"/>
      <c r="X86" s="394"/>
      <c r="Y86" s="394"/>
      <c r="Z86" s="395"/>
      <c r="AA86" s="395"/>
      <c r="AB86" s="395"/>
      <c r="AC86" s="395"/>
      <c r="AD86" s="395"/>
      <c r="AE86" s="395"/>
      <c r="AF86" s="395"/>
      <c r="AG86" s="395"/>
      <c r="AH86" s="395"/>
      <c r="AI86" s="395"/>
      <c r="AJ86" s="391"/>
      <c r="AK86" s="395"/>
      <c r="AL86" s="395"/>
      <c r="AM86" s="395"/>
      <c r="AN86" s="395"/>
      <c r="AO86" s="391"/>
      <c r="AP86" s="395"/>
      <c r="AQ86" s="395"/>
      <c r="AR86" s="395"/>
      <c r="AS86" s="395"/>
      <c r="AT86" s="391"/>
      <c r="AU86" s="395"/>
      <c r="AV86" s="395"/>
      <c r="AW86" s="391"/>
      <c r="AX86" s="391"/>
      <c r="AY86" s="391"/>
      <c r="AZ86" s="391"/>
      <c r="BA86" s="391"/>
      <c r="BB86" s="391"/>
      <c r="BC86" s="153"/>
      <c r="BD86" s="153"/>
      <c r="BE86" s="153"/>
    </row>
    <row r="87" spans="1:57">
      <c r="A87" s="153"/>
      <c r="B87" s="153"/>
      <c r="C87" s="153"/>
      <c r="D87" s="153"/>
      <c r="E87" s="153"/>
      <c r="F87" s="153"/>
      <c r="G87" s="153"/>
      <c r="H87" s="153"/>
      <c r="I87" s="153"/>
      <c r="J87" s="153"/>
      <c r="K87" s="153"/>
      <c r="L87" s="153"/>
      <c r="M87" s="153"/>
      <c r="N87" s="153"/>
      <c r="O87" s="153"/>
      <c r="P87" s="153"/>
      <c r="Q87" s="153"/>
      <c r="R87" s="153"/>
      <c r="S87" s="153"/>
      <c r="T87" s="153"/>
      <c r="U87" s="153"/>
      <c r="V87" s="153"/>
      <c r="W87" s="153"/>
      <c r="X87" s="153"/>
      <c r="Y87" s="153"/>
      <c r="Z87" s="153"/>
      <c r="AA87" s="153"/>
      <c r="AB87" s="153"/>
      <c r="AC87" s="153"/>
      <c r="AD87" s="153"/>
      <c r="AE87" s="153"/>
      <c r="AF87" s="153"/>
      <c r="AG87" s="153"/>
      <c r="AH87" s="153"/>
      <c r="AI87" s="153"/>
      <c r="AJ87" s="153"/>
      <c r="AK87" s="153"/>
      <c r="AL87" s="153"/>
      <c r="AM87" s="153"/>
      <c r="AN87" s="153"/>
      <c r="AO87" s="153"/>
      <c r="AP87" s="153"/>
      <c r="AQ87" s="153"/>
      <c r="AR87" s="153"/>
      <c r="AS87" s="153"/>
      <c r="AT87" s="153"/>
      <c r="AU87" s="153"/>
      <c r="AV87" s="153"/>
      <c r="AW87" s="153"/>
      <c r="AX87" s="153"/>
      <c r="AY87" s="153"/>
      <c r="AZ87" s="153"/>
      <c r="BA87" s="153"/>
      <c r="BB87" s="153"/>
      <c r="BC87" s="153"/>
      <c r="BD87" s="153"/>
      <c r="BE87" s="153"/>
    </row>
    <row r="88" spans="1:57">
      <c r="A88" s="153"/>
      <c r="B88" s="153"/>
      <c r="C88" s="153"/>
      <c r="D88" s="153"/>
      <c r="E88" s="153"/>
      <c r="F88" s="153"/>
      <c r="G88" s="153"/>
      <c r="H88" s="153"/>
      <c r="I88" s="153"/>
      <c r="J88" s="153"/>
      <c r="K88" s="153"/>
      <c r="L88" s="153"/>
      <c r="M88" s="153"/>
      <c r="N88" s="153"/>
      <c r="O88" s="153"/>
      <c r="P88" s="153"/>
      <c r="Q88" s="153"/>
      <c r="R88" s="153"/>
      <c r="S88" s="153"/>
      <c r="T88" s="153"/>
      <c r="U88" s="153"/>
      <c r="V88" s="153"/>
      <c r="W88" s="153"/>
      <c r="X88" s="153"/>
      <c r="Y88" s="153"/>
      <c r="Z88" s="153"/>
      <c r="AA88" s="153"/>
      <c r="AB88" s="153"/>
      <c r="AC88" s="153"/>
      <c r="AD88" s="153"/>
      <c r="AE88" s="153"/>
      <c r="AF88" s="153"/>
      <c r="AG88" s="153"/>
      <c r="AH88" s="153"/>
      <c r="AI88" s="153"/>
      <c r="AJ88" s="153"/>
      <c r="AK88" s="153"/>
      <c r="AL88" s="153"/>
      <c r="AM88" s="153"/>
      <c r="AN88" s="153"/>
      <c r="AO88" s="153"/>
      <c r="AP88" s="153"/>
      <c r="AQ88" s="153"/>
      <c r="AR88" s="153"/>
      <c r="AS88" s="153"/>
      <c r="AT88" s="153"/>
      <c r="AU88" s="153"/>
      <c r="AV88" s="153"/>
      <c r="AW88" s="153"/>
      <c r="AX88" s="153"/>
      <c r="AY88" s="153"/>
      <c r="AZ88" s="153"/>
      <c r="BA88" s="153"/>
      <c r="BB88" s="153"/>
      <c r="BC88" s="153"/>
      <c r="BD88" s="153"/>
      <c r="BE88" s="153"/>
    </row>
    <row r="89" spans="1:57">
      <c r="A89" s="153"/>
      <c r="B89" s="153"/>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c r="AA89" s="153"/>
      <c r="AB89" s="153"/>
      <c r="AC89" s="153"/>
      <c r="AD89" s="153"/>
      <c r="AE89" s="153"/>
      <c r="AF89" s="153"/>
      <c r="AG89" s="153"/>
      <c r="AH89" s="153"/>
      <c r="AI89" s="153"/>
      <c r="AJ89" s="153"/>
      <c r="AK89" s="153"/>
      <c r="AL89" s="153"/>
      <c r="AM89" s="153"/>
      <c r="AN89" s="153"/>
      <c r="AO89" s="153"/>
      <c r="AP89" s="153"/>
      <c r="AQ89" s="153"/>
      <c r="AR89" s="153"/>
      <c r="AS89" s="153"/>
      <c r="AT89" s="153"/>
      <c r="AU89" s="153"/>
      <c r="AV89" s="153"/>
      <c r="AW89" s="153"/>
      <c r="AX89" s="153"/>
      <c r="AY89" s="153"/>
      <c r="AZ89" s="153"/>
      <c r="BA89" s="153"/>
      <c r="BB89" s="153"/>
      <c r="BC89" s="153"/>
      <c r="BD89" s="153"/>
      <c r="BE89" s="153"/>
    </row>
    <row r="90" spans="1:57">
      <c r="A90" s="379" t="s">
        <v>741</v>
      </c>
      <c r="B90" s="380"/>
      <c r="C90" s="380"/>
      <c r="D90" s="380"/>
      <c r="E90" s="380"/>
      <c r="F90" s="380"/>
      <c r="G90" s="380"/>
      <c r="H90" s="380"/>
      <c r="I90" s="380"/>
      <c r="J90" s="380"/>
      <c r="K90" s="380"/>
      <c r="L90" s="380"/>
      <c r="M90" s="380"/>
      <c r="N90" s="380"/>
      <c r="O90" s="380"/>
      <c r="P90" s="380"/>
      <c r="Q90" s="380"/>
      <c r="R90" s="380"/>
      <c r="S90" s="380"/>
      <c r="T90" s="380"/>
      <c r="U90" s="380"/>
      <c r="V90" s="380"/>
      <c r="W90" s="380"/>
      <c r="X90" s="380"/>
      <c r="Y90" s="380"/>
      <c r="Z90" s="380"/>
      <c r="AA90" s="380"/>
      <c r="AB90" s="380"/>
      <c r="AC90" s="380"/>
      <c r="AD90" s="380"/>
      <c r="AE90" s="380"/>
      <c r="AF90" s="380"/>
      <c r="AG90" s="380"/>
      <c r="AH90" s="380"/>
      <c r="AI90" s="380"/>
      <c r="AJ90" s="380"/>
      <c r="AK90" s="380"/>
      <c r="AL90" s="380"/>
      <c r="AM90" s="380"/>
      <c r="AN90" s="380"/>
      <c r="AO90" s="380"/>
      <c r="AP90" s="380"/>
      <c r="AQ90" s="380"/>
      <c r="AR90" s="380"/>
      <c r="AS90" s="380"/>
      <c r="AT90" s="380"/>
      <c r="AU90" s="380"/>
      <c r="AV90" s="380"/>
      <c r="AW90" s="380"/>
      <c r="AX90" s="380"/>
      <c r="AY90" s="380"/>
      <c r="AZ90" s="380"/>
      <c r="BA90" s="380"/>
      <c r="BB90" s="380"/>
      <c r="BC90" s="153"/>
      <c r="BD90" s="153"/>
      <c r="BE90" s="153"/>
    </row>
    <row r="91" spans="1:57">
      <c r="A91" s="381"/>
      <c r="B91" s="381"/>
      <c r="C91" s="381"/>
      <c r="D91" s="381"/>
      <c r="E91" s="381"/>
      <c r="F91" s="381"/>
      <c r="G91" s="381"/>
      <c r="H91" s="381"/>
      <c r="I91" s="381"/>
      <c r="J91" s="381"/>
      <c r="K91" s="381"/>
      <c r="L91" s="381"/>
      <c r="M91" s="381"/>
      <c r="N91" s="381"/>
      <c r="O91" s="381"/>
      <c r="P91" s="381"/>
      <c r="Q91" s="381"/>
      <c r="R91" s="381"/>
      <c r="S91" s="381"/>
      <c r="T91" s="381"/>
      <c r="U91" s="381"/>
      <c r="V91" s="381"/>
      <c r="W91" s="381"/>
      <c r="X91" s="381"/>
      <c r="Y91" s="381"/>
      <c r="Z91" s="381"/>
      <c r="AA91" s="381"/>
      <c r="AB91" s="381"/>
      <c r="AC91" s="381"/>
      <c r="AD91" s="381"/>
      <c r="AE91" s="381"/>
      <c r="AF91" s="381"/>
      <c r="AG91" s="381"/>
      <c r="AH91" s="381"/>
      <c r="AI91" s="381"/>
      <c r="AJ91" s="381"/>
      <c r="AK91" s="381"/>
      <c r="AL91" s="381"/>
      <c r="AM91" s="381"/>
      <c r="AN91" s="381"/>
      <c r="AO91" s="381"/>
      <c r="AP91" s="381"/>
      <c r="AQ91" s="381"/>
      <c r="AR91" s="381"/>
      <c r="AS91" s="381"/>
      <c r="AT91" s="381"/>
      <c r="AU91" s="381"/>
      <c r="AV91" s="381"/>
      <c r="AW91" s="381"/>
      <c r="AX91" s="381"/>
      <c r="AY91" s="381"/>
      <c r="AZ91" s="381"/>
      <c r="BA91" s="381"/>
      <c r="BB91" s="381"/>
      <c r="BC91" s="153"/>
      <c r="BD91" s="153"/>
      <c r="BE91" s="153"/>
    </row>
    <row r="92" spans="1:57">
      <c r="A92" s="382" t="s">
        <v>716</v>
      </c>
      <c r="B92" s="383"/>
      <c r="C92" s="383"/>
      <c r="D92" s="383"/>
      <c r="E92" s="383"/>
      <c r="F92" s="383"/>
      <c r="G92" s="383"/>
      <c r="H92" s="383"/>
      <c r="I92" s="383"/>
      <c r="J92" s="383"/>
      <c r="K92" s="383"/>
      <c r="L92" s="383"/>
      <c r="M92" s="383"/>
      <c r="N92" s="383"/>
      <c r="O92" s="383"/>
      <c r="P92" s="383"/>
      <c r="Q92" s="383"/>
      <c r="R92" s="383"/>
      <c r="S92" s="383"/>
      <c r="T92" s="383"/>
      <c r="U92" s="383"/>
      <c r="V92" s="383">
        <f>Interims!O122</f>
        <v>3.2309999999999999</v>
      </c>
      <c r="W92" s="383">
        <f>Interims!P122</f>
        <v>6</v>
      </c>
      <c r="X92" s="383">
        <f>Interims!Q122</f>
        <v>6</v>
      </c>
      <c r="Y92" s="383">
        <f>Interims!R122</f>
        <v>6.7689999999999984</v>
      </c>
      <c r="Z92" s="383"/>
      <c r="AA92" s="383">
        <f>Interims!S122</f>
        <v>6.7240000000000002</v>
      </c>
      <c r="AB92" s="383">
        <f>Interims!T122</f>
        <v>7</v>
      </c>
      <c r="AC92" s="383">
        <f>Interims!U122</f>
        <v>7</v>
      </c>
      <c r="AD92" s="383">
        <f>Interims!V122</f>
        <v>8.2759999999999998</v>
      </c>
      <c r="AE92" s="383"/>
      <c r="AF92" s="383">
        <f>Interims!W122</f>
        <v>9</v>
      </c>
      <c r="AG92" s="383">
        <f>Interims!X122</f>
        <v>9</v>
      </c>
      <c r="AH92" s="383">
        <f>Interims!Y122</f>
        <v>9</v>
      </c>
      <c r="AI92" s="383">
        <f>Interims!Z122</f>
        <v>10</v>
      </c>
      <c r="AJ92" s="383"/>
      <c r="AK92" s="383">
        <f>Interims!AA122</f>
        <v>10</v>
      </c>
      <c r="AL92" s="383">
        <f>Interims!AB122</f>
        <v>10</v>
      </c>
      <c r="AM92" s="383">
        <f>Interims!AC122</f>
        <v>10.265000000000001</v>
      </c>
      <c r="AN92" s="383">
        <f>Interims!AD122</f>
        <v>11</v>
      </c>
      <c r="AO92" s="383"/>
      <c r="AP92" s="383">
        <f>Interims!AE122</f>
        <v>11</v>
      </c>
      <c r="AQ92" s="383">
        <f>Interims!AF122</f>
        <v>11</v>
      </c>
      <c r="AR92" s="383">
        <f>Interims!AG122</f>
        <v>12.705</v>
      </c>
      <c r="AS92" s="383">
        <f>Interims!AH122</f>
        <v>0</v>
      </c>
      <c r="AT92" s="383"/>
      <c r="AU92" s="383">
        <f>Interims!AI122</f>
        <v>0</v>
      </c>
      <c r="AV92" s="383">
        <f>Interims!AJ122</f>
        <v>0</v>
      </c>
      <c r="AW92" s="383"/>
      <c r="AX92" s="383"/>
      <c r="AY92" s="383"/>
      <c r="AZ92" s="383"/>
      <c r="BA92" s="383"/>
      <c r="BB92" s="383"/>
      <c r="BC92" s="153"/>
      <c r="BD92" s="153"/>
      <c r="BE92" s="153"/>
    </row>
    <row r="93" spans="1:57">
      <c r="A93" s="382" t="s">
        <v>717</v>
      </c>
      <c r="B93" s="383"/>
      <c r="C93" s="383"/>
      <c r="D93" s="383"/>
      <c r="E93" s="383"/>
      <c r="F93" s="383"/>
      <c r="G93" s="383"/>
      <c r="H93" s="383"/>
      <c r="I93" s="383"/>
      <c r="J93" s="383"/>
      <c r="K93" s="383"/>
      <c r="L93" s="383"/>
      <c r="M93" s="383"/>
      <c r="N93" s="383"/>
      <c r="O93" s="383"/>
      <c r="P93" s="383"/>
      <c r="Q93" s="383"/>
      <c r="R93" s="383"/>
      <c r="S93" s="383"/>
      <c r="T93" s="383"/>
      <c r="U93" s="383"/>
      <c r="V93" s="383">
        <f>V92</f>
        <v>3.2309999999999999</v>
      </c>
      <c r="W93" s="383">
        <f>W92</f>
        <v>6</v>
      </c>
      <c r="X93" s="383">
        <f>X92</f>
        <v>6</v>
      </c>
      <c r="Y93" s="383">
        <f>Y92</f>
        <v>6.7689999999999984</v>
      </c>
      <c r="Z93" s="383"/>
      <c r="AA93" s="383">
        <f>AA92</f>
        <v>6.7240000000000002</v>
      </c>
      <c r="AB93" s="383">
        <f>AB92</f>
        <v>7</v>
      </c>
      <c r="AC93" s="383">
        <f>AC92</f>
        <v>7</v>
      </c>
      <c r="AD93" s="383">
        <f>AD92</f>
        <v>8.2759999999999998</v>
      </c>
      <c r="AE93" s="383"/>
      <c r="AF93" s="383">
        <f>AF92</f>
        <v>9</v>
      </c>
      <c r="AG93" s="383">
        <f>AG92</f>
        <v>9</v>
      </c>
      <c r="AH93" s="383">
        <f>AH92</f>
        <v>9</v>
      </c>
      <c r="AI93" s="383">
        <f>AI92</f>
        <v>10</v>
      </c>
      <c r="AJ93" s="383"/>
      <c r="AK93" s="383">
        <f>AK92</f>
        <v>10</v>
      </c>
      <c r="AL93" s="383">
        <f>AL92</f>
        <v>10</v>
      </c>
      <c r="AM93" s="383">
        <f>AM92</f>
        <v>10.265000000000001</v>
      </c>
      <c r="AN93" s="383">
        <f>AN92</f>
        <v>11</v>
      </c>
      <c r="AO93" s="383"/>
      <c r="AP93" s="383">
        <f>AP92</f>
        <v>11</v>
      </c>
      <c r="AQ93" s="383">
        <f>AQ92</f>
        <v>11</v>
      </c>
      <c r="AR93" s="383">
        <f>AR92</f>
        <v>12.705</v>
      </c>
      <c r="AS93" s="383">
        <f>AS92</f>
        <v>0</v>
      </c>
      <c r="AT93" s="383"/>
      <c r="AU93" s="383">
        <f>AU92</f>
        <v>0</v>
      </c>
      <c r="AV93" s="383">
        <f>AV92</f>
        <v>0</v>
      </c>
      <c r="AW93" s="383"/>
      <c r="AX93" s="383"/>
      <c r="AY93" s="383"/>
      <c r="AZ93" s="383"/>
      <c r="BA93" s="383"/>
      <c r="BB93" s="383"/>
      <c r="BC93" s="153"/>
      <c r="BD93" s="153"/>
      <c r="BE93" s="153"/>
    </row>
    <row r="94" spans="1:57">
      <c r="A94" s="384" t="s">
        <v>162</v>
      </c>
      <c r="B94" s="383"/>
      <c r="C94" s="385"/>
      <c r="D94" s="385"/>
      <c r="E94" s="385"/>
      <c r="F94" s="385"/>
      <c r="G94" s="385"/>
      <c r="H94" s="385"/>
      <c r="I94" s="385"/>
      <c r="J94" s="385"/>
      <c r="K94" s="385"/>
      <c r="L94" s="385"/>
      <c r="M94" s="385"/>
      <c r="N94" s="385"/>
      <c r="O94" s="385"/>
      <c r="P94" s="385"/>
      <c r="Q94" s="385"/>
      <c r="R94" s="385"/>
      <c r="S94" s="385"/>
      <c r="T94" s="385"/>
      <c r="U94" s="385"/>
      <c r="V94" s="385">
        <f>Interims!O83</f>
        <v>0</v>
      </c>
      <c r="W94" s="385">
        <f>Interims!P83</f>
        <v>1022</v>
      </c>
      <c r="X94" s="385">
        <f>Interims!Q83</f>
        <v>1022</v>
      </c>
      <c r="Y94" s="385">
        <f>Interims!R83</f>
        <v>1162</v>
      </c>
      <c r="Z94" s="383"/>
      <c r="AA94" s="385">
        <f>Interims!S83</f>
        <v>1162</v>
      </c>
      <c r="AB94" s="385">
        <f>Interims!T83</f>
        <v>1229</v>
      </c>
      <c r="AC94" s="385">
        <f>Interims!U83</f>
        <v>1237</v>
      </c>
      <c r="AD94" s="385">
        <f>Interims!V83</f>
        <v>1402</v>
      </c>
      <c r="AE94" s="385"/>
      <c r="AF94" s="385">
        <f>Interims!W83</f>
        <v>1424</v>
      </c>
      <c r="AG94" s="385">
        <f>Interims!X83</f>
        <v>1446</v>
      </c>
      <c r="AH94" s="385">
        <f>Interims!Y83</f>
        <v>1508</v>
      </c>
      <c r="AI94" s="385">
        <f>Interims!Z83</f>
        <v>1531</v>
      </c>
      <c r="AJ94" s="385"/>
      <c r="AK94" s="385">
        <f>Interims!AA83</f>
        <v>1538</v>
      </c>
      <c r="AL94" s="385">
        <f>Interims!AB83</f>
        <v>1544</v>
      </c>
      <c r="AM94" s="385">
        <f>Interims!AC83</f>
        <v>1661</v>
      </c>
      <c r="AN94" s="385">
        <f>Interims!AD83</f>
        <v>1672</v>
      </c>
      <c r="AO94" s="385"/>
      <c r="AP94" s="385">
        <f>Interims!AE83</f>
        <v>1672</v>
      </c>
      <c r="AQ94" s="385">
        <f>Interims!AF83</f>
        <v>1676</v>
      </c>
      <c r="AR94" s="385">
        <f>Interims!AG83</f>
        <v>1675</v>
      </c>
      <c r="AS94" s="385">
        <f>Interims!AH83</f>
        <v>0</v>
      </c>
      <c r="AT94" s="385"/>
      <c r="AU94" s="385">
        <f>Interims!AI83</f>
        <v>0</v>
      </c>
      <c r="AV94" s="385">
        <f>Interims!AJ83</f>
        <v>0</v>
      </c>
      <c r="AW94" s="385"/>
      <c r="AX94" s="385"/>
      <c r="AY94" s="385"/>
      <c r="AZ94" s="385"/>
      <c r="BA94" s="385"/>
      <c r="BB94" s="385"/>
      <c r="BC94" s="153"/>
      <c r="BD94" s="153"/>
      <c r="BE94" s="153"/>
    </row>
    <row r="95" spans="1:57">
      <c r="A95" s="384" t="s">
        <v>2</v>
      </c>
      <c r="B95" s="385"/>
      <c r="C95" s="385"/>
      <c r="D95" s="385"/>
      <c r="E95" s="385"/>
      <c r="F95" s="385"/>
      <c r="G95" s="385"/>
      <c r="H95" s="385"/>
      <c r="I95" s="385"/>
      <c r="J95" s="385"/>
      <c r="K95" s="385"/>
      <c r="L95" s="385"/>
      <c r="M95" s="385"/>
      <c r="N95" s="385"/>
      <c r="O95" s="385"/>
      <c r="P95" s="385"/>
      <c r="Q95" s="385"/>
      <c r="R95" s="385"/>
      <c r="S95" s="385"/>
      <c r="T95" s="385"/>
      <c r="U95" s="385"/>
      <c r="V95" s="385">
        <f>Interims!O84</f>
        <v>0</v>
      </c>
      <c r="W95" s="385">
        <f>Interims!P84</f>
        <v>1022</v>
      </c>
      <c r="X95" s="385">
        <f>Interims!Q84</f>
        <v>1022</v>
      </c>
      <c r="Y95" s="385">
        <f>Interims!R84</f>
        <v>1162</v>
      </c>
      <c r="Z95" s="383"/>
      <c r="AA95" s="385">
        <f>Interims!S84</f>
        <v>1162</v>
      </c>
      <c r="AB95" s="385">
        <f>Interims!T84</f>
        <v>1229</v>
      </c>
      <c r="AC95" s="385">
        <f>Interims!U84</f>
        <v>1238</v>
      </c>
      <c r="AD95" s="385">
        <f>Interims!V84</f>
        <v>1416</v>
      </c>
      <c r="AE95" s="385"/>
      <c r="AF95" s="385">
        <f>Interims!W84</f>
        <v>1438</v>
      </c>
      <c r="AG95" s="385">
        <f>Interims!X84</f>
        <v>1461</v>
      </c>
      <c r="AH95" s="385">
        <f>Interims!Y84</f>
        <v>1523</v>
      </c>
      <c r="AI95" s="385">
        <f>Interims!Z84</f>
        <v>1546</v>
      </c>
      <c r="AJ95" s="385"/>
      <c r="AK95" s="385">
        <f>Interims!AA84</f>
        <v>1553</v>
      </c>
      <c r="AL95" s="385">
        <f>Interims!AB84</f>
        <v>1560</v>
      </c>
      <c r="AM95" s="385">
        <f>Interims!AC84</f>
        <v>1685</v>
      </c>
      <c r="AN95" s="385">
        <f>Interims!AD84</f>
        <v>1696</v>
      </c>
      <c r="AO95" s="385"/>
      <c r="AP95" s="385">
        <f>Interims!AE84</f>
        <v>1694</v>
      </c>
      <c r="AQ95" s="385">
        <f>Interims!AF84</f>
        <v>1698</v>
      </c>
      <c r="AR95" s="385">
        <f>Interims!AG84</f>
        <v>1697</v>
      </c>
      <c r="AS95" s="385">
        <f>Interims!AH84</f>
        <v>0</v>
      </c>
      <c r="AT95" s="385"/>
      <c r="AU95" s="385">
        <f>Interims!AI84</f>
        <v>0</v>
      </c>
      <c r="AV95" s="385">
        <f>Interims!AJ84</f>
        <v>0</v>
      </c>
      <c r="AW95" s="385"/>
      <c r="AX95" s="385"/>
      <c r="AY95" s="385"/>
      <c r="AZ95" s="385"/>
      <c r="BA95" s="385"/>
      <c r="BB95" s="385"/>
      <c r="BC95" s="153"/>
      <c r="BD95" s="153"/>
      <c r="BE95" s="153"/>
    </row>
    <row r="96" spans="1:57">
      <c r="A96" s="382" t="s">
        <v>718</v>
      </c>
      <c r="B96" s="385"/>
      <c r="C96" s="386"/>
      <c r="D96" s="386"/>
      <c r="E96" s="386"/>
      <c r="F96" s="386"/>
      <c r="G96" s="387"/>
      <c r="H96" s="387"/>
      <c r="I96" s="387"/>
      <c r="J96" s="387"/>
      <c r="K96" s="387"/>
      <c r="L96" s="387"/>
      <c r="M96" s="387"/>
      <c r="N96" s="387"/>
      <c r="O96" s="387"/>
      <c r="P96" s="387"/>
      <c r="Q96" s="387"/>
      <c r="R96" s="387"/>
      <c r="S96" s="387"/>
      <c r="T96" s="387"/>
      <c r="U96" s="387"/>
      <c r="V96" s="385">
        <f>Interims!O85</f>
        <v>0</v>
      </c>
      <c r="W96" s="385">
        <f>Interims!P85</f>
        <v>1</v>
      </c>
      <c r="X96" s="385">
        <f>Interims!Q85</f>
        <v>1</v>
      </c>
      <c r="Y96" s="385">
        <f>Interims!R85</f>
        <v>1</v>
      </c>
      <c r="Z96" s="383"/>
      <c r="AA96" s="385">
        <f>Interims!S85</f>
        <v>1</v>
      </c>
      <c r="AB96" s="385">
        <f>Interims!T85</f>
        <v>1</v>
      </c>
      <c r="AC96" s="385">
        <f>Interims!U85</f>
        <v>1.0008084074373484</v>
      </c>
      <c r="AD96" s="385">
        <f>Interims!V85</f>
        <v>1.0099857346647647</v>
      </c>
      <c r="AE96" s="385"/>
      <c r="AF96" s="385">
        <f>Interims!W85</f>
        <v>1.0098314606741574</v>
      </c>
      <c r="AG96" s="385">
        <f>Interims!X85</f>
        <v>1.0103734439834025</v>
      </c>
      <c r="AH96" s="385">
        <f>Interims!Y85</f>
        <v>1.0099469496021221</v>
      </c>
      <c r="AI96" s="385">
        <f>Interims!Z85</f>
        <v>1.0097975179621164</v>
      </c>
      <c r="AJ96" s="387"/>
      <c r="AK96" s="385">
        <f>Interims!AA85</f>
        <v>1.0097529258777633</v>
      </c>
      <c r="AL96" s="385">
        <f>Interims!AB85</f>
        <v>1.0103626943005182</v>
      </c>
      <c r="AM96" s="385">
        <f>Interims!AC85</f>
        <v>1.0144491270319085</v>
      </c>
      <c r="AN96" s="385">
        <f>Interims!AD85</f>
        <v>1.0143540669856459</v>
      </c>
      <c r="AO96" s="387"/>
      <c r="AP96" s="385">
        <f>Interims!AE85</f>
        <v>1.013157894736842</v>
      </c>
      <c r="AQ96" s="385">
        <f>Interims!AF85</f>
        <v>1.0131264916467781</v>
      </c>
      <c r="AR96" s="385">
        <f>Interims!AG85</f>
        <v>1.013134328358209</v>
      </c>
      <c r="AS96" s="385">
        <f>Interims!AH85</f>
        <v>0</v>
      </c>
      <c r="AT96" s="387"/>
      <c r="AU96" s="385">
        <f>Interims!AI85</f>
        <v>0</v>
      </c>
      <c r="AV96" s="385">
        <f>Interims!AJ85</f>
        <v>0</v>
      </c>
      <c r="AW96" s="387"/>
      <c r="AX96" s="387"/>
      <c r="AY96" s="387"/>
      <c r="AZ96" s="387"/>
      <c r="BA96" s="387"/>
      <c r="BB96" s="387"/>
      <c r="BC96" s="153"/>
      <c r="BD96" s="153"/>
      <c r="BE96" s="153"/>
    </row>
    <row r="97" spans="1:57">
      <c r="A97" s="382" t="s">
        <v>9</v>
      </c>
      <c r="B97" s="385"/>
      <c r="C97" s="383"/>
      <c r="D97" s="383"/>
      <c r="E97" s="383"/>
      <c r="F97" s="383"/>
      <c r="G97" s="383"/>
      <c r="H97" s="383"/>
      <c r="I97" s="383"/>
      <c r="J97" s="383"/>
      <c r="K97" s="383"/>
      <c r="L97" s="383"/>
      <c r="M97" s="383"/>
      <c r="N97" s="383"/>
      <c r="O97" s="383"/>
      <c r="P97" s="383"/>
      <c r="Q97" s="383"/>
      <c r="R97" s="383"/>
      <c r="S97" s="383"/>
      <c r="T97" s="383"/>
      <c r="U97" s="383"/>
      <c r="V97" s="383">
        <f>Interims!O150</f>
        <v>1.268</v>
      </c>
      <c r="W97" s="383">
        <f>Interims!P150</f>
        <v>3</v>
      </c>
      <c r="X97" s="383">
        <f>Interims!Q150</f>
        <v>3</v>
      </c>
      <c r="Y97" s="383">
        <f>Interims!R150</f>
        <v>2.7319999999999993</v>
      </c>
      <c r="Z97" s="383"/>
      <c r="AA97" s="383">
        <f>Interims!S150</f>
        <v>3</v>
      </c>
      <c r="AB97" s="383">
        <f>Interims!T150</f>
        <v>3</v>
      </c>
      <c r="AC97" s="383">
        <f>Interims!U150</f>
        <v>3</v>
      </c>
      <c r="AD97" s="383">
        <f>Interims!V150</f>
        <v>4</v>
      </c>
      <c r="AE97" s="383"/>
      <c r="AF97" s="383">
        <f>Interims!W150</f>
        <v>4</v>
      </c>
      <c r="AG97" s="383">
        <f>Interims!X150</f>
        <v>4</v>
      </c>
      <c r="AH97" s="383">
        <f>Interims!Y150</f>
        <v>4</v>
      </c>
      <c r="AI97" s="383">
        <f>Interims!Z150</f>
        <v>4</v>
      </c>
      <c r="AJ97" s="383"/>
      <c r="AK97" s="383">
        <f>Interims!AA150</f>
        <v>4</v>
      </c>
      <c r="AL97" s="383">
        <f>Interims!AB150</f>
        <v>5</v>
      </c>
      <c r="AM97" s="383">
        <f>Interims!AC150</f>
        <v>5</v>
      </c>
      <c r="AN97" s="383">
        <f>Interims!AD150</f>
        <v>8</v>
      </c>
      <c r="AO97" s="383"/>
      <c r="AP97" s="383">
        <f>Interims!AE150</f>
        <v>6</v>
      </c>
      <c r="AQ97" s="383">
        <f>Interims!AF150</f>
        <v>6</v>
      </c>
      <c r="AR97" s="383">
        <f>Interims!AG150</f>
        <v>8.0139999999999993</v>
      </c>
      <c r="AS97" s="383">
        <f>Interims!AH150</f>
        <v>0</v>
      </c>
      <c r="AT97" s="383"/>
      <c r="AU97" s="383">
        <f>Interims!AI150</f>
        <v>0</v>
      </c>
      <c r="AV97" s="383">
        <f>Interims!AJ150</f>
        <v>0</v>
      </c>
      <c r="AW97" s="383"/>
      <c r="AX97" s="383"/>
      <c r="AY97" s="383"/>
      <c r="AZ97" s="383"/>
      <c r="BA97" s="383"/>
      <c r="BB97" s="383"/>
      <c r="BC97" s="153"/>
      <c r="BD97" s="153"/>
      <c r="BE97" s="153"/>
    </row>
    <row r="98" spans="1:57">
      <c r="A98" s="382" t="s">
        <v>719</v>
      </c>
      <c r="B98" s="383"/>
      <c r="C98" s="383"/>
      <c r="D98" s="383"/>
      <c r="E98" s="383"/>
      <c r="F98" s="383"/>
      <c r="G98" s="383"/>
      <c r="H98" s="383"/>
      <c r="I98" s="383"/>
      <c r="J98" s="383"/>
      <c r="K98" s="383"/>
      <c r="L98" s="383"/>
      <c r="M98" s="383"/>
      <c r="N98" s="383"/>
      <c r="O98" s="383"/>
      <c r="P98" s="383"/>
      <c r="Q98" s="383"/>
      <c r="R98" s="383"/>
      <c r="S98" s="383"/>
      <c r="T98" s="383"/>
      <c r="U98" s="383"/>
      <c r="V98" s="383"/>
      <c r="W98" s="383"/>
      <c r="X98" s="383"/>
      <c r="Y98" s="383"/>
      <c r="Z98" s="383"/>
      <c r="AA98" s="383"/>
      <c r="AB98" s="383"/>
      <c r="AC98" s="383"/>
      <c r="AD98" s="383"/>
      <c r="AE98" s="383"/>
      <c r="AF98" s="383"/>
      <c r="AG98" s="383"/>
      <c r="AH98" s="383"/>
      <c r="AI98" s="383"/>
      <c r="AJ98" s="383"/>
      <c r="AK98" s="383"/>
      <c r="AL98" s="383"/>
      <c r="AM98" s="383"/>
      <c r="AN98" s="383"/>
      <c r="AO98" s="383"/>
      <c r="AP98" s="383"/>
      <c r="AQ98" s="383"/>
      <c r="AR98" s="383"/>
      <c r="AS98" s="383"/>
      <c r="AT98" s="383"/>
      <c r="AU98" s="383"/>
      <c r="AV98" s="383"/>
      <c r="AW98" s="383"/>
      <c r="AX98" s="383"/>
      <c r="AY98" s="383"/>
      <c r="AZ98" s="383"/>
      <c r="BA98" s="383"/>
      <c r="BB98" s="383"/>
      <c r="BC98" s="153"/>
      <c r="BD98" s="153"/>
      <c r="BE98" s="153"/>
    </row>
    <row r="99" spans="1:57">
      <c r="A99" s="382"/>
      <c r="B99" s="383"/>
      <c r="C99" s="385"/>
      <c r="D99" s="385"/>
      <c r="E99" s="385"/>
      <c r="F99" s="385"/>
      <c r="G99" s="385"/>
      <c r="H99" s="385"/>
      <c r="I99" s="385"/>
      <c r="J99" s="385"/>
      <c r="K99" s="385"/>
      <c r="L99" s="385"/>
      <c r="M99" s="385"/>
      <c r="N99" s="385"/>
      <c r="O99" s="385"/>
      <c r="P99" s="385"/>
      <c r="Q99" s="385"/>
      <c r="R99" s="385"/>
      <c r="S99" s="385"/>
      <c r="T99" s="385"/>
      <c r="U99" s="385"/>
      <c r="V99" s="385"/>
      <c r="W99" s="385"/>
      <c r="X99" s="385"/>
      <c r="Y99" s="385"/>
      <c r="Z99" s="383"/>
      <c r="AA99" s="385"/>
      <c r="AB99" s="385"/>
      <c r="AC99" s="385"/>
      <c r="AD99" s="385"/>
      <c r="AE99" s="385"/>
      <c r="AF99" s="385"/>
      <c r="AG99" s="385"/>
      <c r="AH99" s="385"/>
      <c r="AI99" s="385"/>
      <c r="AJ99" s="385"/>
      <c r="AK99" s="385"/>
      <c r="AL99" s="385"/>
      <c r="AM99" s="385"/>
      <c r="AN99" s="385"/>
      <c r="AO99" s="385"/>
      <c r="AP99" s="385"/>
      <c r="AQ99" s="385"/>
      <c r="AR99" s="385"/>
      <c r="AS99" s="385"/>
      <c r="AT99" s="385"/>
      <c r="AU99" s="385"/>
      <c r="AV99" s="385"/>
      <c r="AW99" s="385"/>
      <c r="AX99" s="385"/>
      <c r="AY99" s="385"/>
      <c r="AZ99" s="385"/>
      <c r="BA99" s="385"/>
      <c r="BB99" s="385"/>
      <c r="BC99" s="153"/>
      <c r="BD99" s="153"/>
      <c r="BE99" s="153"/>
    </row>
    <row r="100" spans="1:57">
      <c r="A100" s="382" t="s">
        <v>720</v>
      </c>
      <c r="B100" s="385"/>
      <c r="C100" s="383"/>
      <c r="D100" s="383"/>
      <c r="E100" s="383"/>
      <c r="F100" s="383"/>
      <c r="G100" s="383"/>
      <c r="H100" s="383"/>
      <c r="I100" s="383"/>
      <c r="J100" s="383"/>
      <c r="K100" s="383"/>
      <c r="L100" s="383"/>
      <c r="M100" s="383"/>
      <c r="N100" s="383"/>
      <c r="O100" s="383"/>
      <c r="P100" s="383"/>
      <c r="Q100" s="383"/>
      <c r="R100" s="383"/>
      <c r="S100" s="383"/>
      <c r="T100" s="383"/>
      <c r="U100" s="383"/>
      <c r="V100" s="383"/>
      <c r="W100" s="383"/>
      <c r="X100" s="383"/>
      <c r="Y100" s="383"/>
      <c r="Z100" s="383"/>
      <c r="AA100" s="383"/>
      <c r="AB100" s="383"/>
      <c r="AC100" s="383"/>
      <c r="AD100" s="383"/>
      <c r="AE100" s="383"/>
      <c r="AF100" s="383"/>
      <c r="AG100" s="383"/>
      <c r="AH100" s="383"/>
      <c r="AI100" s="383"/>
      <c r="AJ100" s="383"/>
      <c r="AK100" s="383"/>
      <c r="AL100" s="383"/>
      <c r="AM100" s="383"/>
      <c r="AN100" s="383"/>
      <c r="AO100" s="383"/>
      <c r="AP100" s="383"/>
      <c r="AQ100" s="383"/>
      <c r="AR100" s="383"/>
      <c r="AS100" s="383"/>
      <c r="AT100" s="383"/>
      <c r="AU100" s="383"/>
      <c r="AV100" s="383"/>
      <c r="AW100" s="383"/>
      <c r="AX100" s="383"/>
      <c r="AY100" s="383"/>
      <c r="AZ100" s="383"/>
      <c r="BA100" s="383"/>
      <c r="BB100" s="383"/>
      <c r="BC100" s="153"/>
      <c r="BD100" s="153"/>
      <c r="BE100" s="153"/>
    </row>
    <row r="101" spans="1:57">
      <c r="A101" s="389" t="s">
        <v>721</v>
      </c>
      <c r="B101" s="390"/>
      <c r="C101" s="386"/>
      <c r="D101" s="386"/>
      <c r="E101" s="386"/>
      <c r="F101" s="386"/>
      <c r="G101" s="391"/>
      <c r="H101" s="391"/>
      <c r="I101" s="391"/>
      <c r="J101" s="391"/>
      <c r="K101" s="391"/>
      <c r="L101" s="391"/>
      <c r="M101" s="391"/>
      <c r="N101" s="391"/>
      <c r="O101" s="391"/>
      <c r="P101" s="391"/>
      <c r="Q101" s="391"/>
      <c r="R101" s="391"/>
      <c r="S101" s="391"/>
      <c r="T101" s="391"/>
      <c r="U101" s="391"/>
      <c r="V101" s="385">
        <f>Interims!O90</f>
        <v>0</v>
      </c>
      <c r="W101" s="385">
        <f>Interims!P90</f>
        <v>1956.9471624266143</v>
      </c>
      <c r="X101" s="385">
        <f>Interims!Q90</f>
        <v>1956.9471624266143</v>
      </c>
      <c r="Y101" s="385">
        <f>Interims!R90</f>
        <v>2066.2393162393159</v>
      </c>
      <c r="Z101" s="383"/>
      <c r="AA101" s="385">
        <f>Interims!S90</f>
        <v>1928.8582903040733</v>
      </c>
      <c r="AB101" s="385">
        <f>Interims!T90</f>
        <v>1951.7635577861427</v>
      </c>
      <c r="AC101" s="385">
        <f>Interims!U90</f>
        <v>1891.6362653695448</v>
      </c>
      <c r="AD101" s="385">
        <f>Interims!V90</f>
        <v>2078.8746546093948</v>
      </c>
      <c r="AE101" s="385"/>
      <c r="AF101" s="385">
        <f>Interims!W90</f>
        <v>2102.312543798178</v>
      </c>
      <c r="AG101" s="385">
        <f>Interims!X90</f>
        <v>2069.679199724043</v>
      </c>
      <c r="AH101" s="385">
        <f>Interims!Y90</f>
        <v>2010.7238605898121</v>
      </c>
      <c r="AI101" s="385">
        <f>Interims!Z90</f>
        <v>2172.2602367763657</v>
      </c>
      <c r="AJ101" s="391"/>
      <c r="AK101" s="385">
        <f>Interims!AA90</f>
        <v>2151.2315800795955</v>
      </c>
      <c r="AL101" s="385">
        <f>Interims!AB90</f>
        <v>2141.5569118749331</v>
      </c>
      <c r="AM101" s="385">
        <f>Interims!AC90</f>
        <v>2108.885464817668</v>
      </c>
      <c r="AN101" s="385">
        <f>Interims!AD90</f>
        <v>2168.983535443163</v>
      </c>
      <c r="AO101" s="391"/>
      <c r="AP101" s="385">
        <f>Interims!AE90</f>
        <v>2163.2251720747295</v>
      </c>
      <c r="AQ101" s="385">
        <f>Interims!AF90</f>
        <v>2161.949685534591</v>
      </c>
      <c r="AR101" s="385">
        <f>Interims!AG90</f>
        <v>2494.8453608247423</v>
      </c>
      <c r="AS101" s="385">
        <f>Interims!AH90</f>
        <v>0</v>
      </c>
      <c r="AT101" s="391"/>
      <c r="AU101" s="385">
        <f>Interims!AI90</f>
        <v>0</v>
      </c>
      <c r="AV101" s="385">
        <f>Interims!AJ90</f>
        <v>0</v>
      </c>
      <c r="AW101" s="391"/>
      <c r="AX101" s="391"/>
      <c r="AY101" s="391"/>
      <c r="AZ101" s="391"/>
      <c r="BA101" s="391"/>
      <c r="BB101" s="391"/>
      <c r="BC101" s="153"/>
      <c r="BD101" s="153"/>
      <c r="BE101" s="153"/>
    </row>
    <row r="102" spans="1:57">
      <c r="A102" s="389" t="s">
        <v>722</v>
      </c>
      <c r="B102" s="386"/>
      <c r="C102" s="386"/>
      <c r="D102" s="386"/>
      <c r="E102" s="386"/>
      <c r="F102" s="386"/>
      <c r="G102" s="391"/>
      <c r="H102" s="391"/>
      <c r="I102" s="391"/>
      <c r="J102" s="391"/>
      <c r="K102" s="391"/>
      <c r="L102" s="391"/>
      <c r="M102" s="391"/>
      <c r="N102" s="391"/>
      <c r="O102" s="391"/>
      <c r="P102" s="391"/>
      <c r="Q102" s="391"/>
      <c r="R102" s="391"/>
      <c r="S102" s="391"/>
      <c r="T102" s="391"/>
      <c r="U102" s="391"/>
      <c r="V102" s="385">
        <f>Interims!O92</f>
        <v>0</v>
      </c>
      <c r="W102" s="385">
        <f>Interims!P92</f>
        <v>1956.9471624266143</v>
      </c>
      <c r="X102" s="385">
        <f>Interims!Q92</f>
        <v>1956.9471624266143</v>
      </c>
      <c r="Y102" s="385">
        <f>Interims!R92</f>
        <v>2066.2393162393159</v>
      </c>
      <c r="Z102" s="383"/>
      <c r="AA102" s="385">
        <f>Interims!S92</f>
        <v>1928.8582903040733</v>
      </c>
      <c r="AB102" s="385">
        <f>Interims!T92</f>
        <v>1951.7635577861427</v>
      </c>
      <c r="AC102" s="385">
        <f>Interims!U92</f>
        <v>1892.403352257367</v>
      </c>
      <c r="AD102" s="385">
        <f>Interims!V92</f>
        <v>2090.6909182771251</v>
      </c>
      <c r="AE102" s="385"/>
      <c r="AF102" s="385">
        <f>Interims!W92</f>
        <v>2123.1422505307855</v>
      </c>
      <c r="AG102" s="385">
        <f>Interims!X92</f>
        <v>2090.5923344947737</v>
      </c>
      <c r="AH102" s="385">
        <f>Interims!Y92</f>
        <v>2031.144211238998</v>
      </c>
      <c r="AI102" s="385">
        <f>Interims!Z92</f>
        <v>2193.7040693210488</v>
      </c>
      <c r="AJ102" s="391"/>
      <c r="AK102" s="385">
        <f>Interims!AA92</f>
        <v>2172.2602367763657</v>
      </c>
      <c r="AL102" s="385">
        <f>Interims!AB92</f>
        <v>2163.0975556997623</v>
      </c>
      <c r="AM102" s="385">
        <f>Interims!AC92</f>
        <v>2135.2054082163286</v>
      </c>
      <c r="AN102" s="385">
        <f>Interims!AD92</f>
        <v>2200.2200220022</v>
      </c>
      <c r="AO102" s="391"/>
      <c r="AP102" s="385">
        <f>Interims!AE92</f>
        <v>2192.9824561403507</v>
      </c>
      <c r="AQ102" s="385">
        <f>Interims!AF92</f>
        <v>2190.3624054161687</v>
      </c>
      <c r="AR102" s="385">
        <f>Interims!AG92</f>
        <v>2527.6037003879442</v>
      </c>
      <c r="AS102" s="385">
        <f>Interims!AH92</f>
        <v>0</v>
      </c>
      <c r="AT102" s="391"/>
      <c r="AU102" s="385">
        <f>Interims!AI92</f>
        <v>0</v>
      </c>
      <c r="AV102" s="385">
        <f>Interims!AJ92</f>
        <v>0</v>
      </c>
      <c r="AW102" s="391"/>
      <c r="AX102" s="391"/>
      <c r="AY102" s="391"/>
      <c r="AZ102" s="391"/>
      <c r="BA102" s="391"/>
      <c r="BB102" s="391"/>
      <c r="BC102" s="153"/>
      <c r="BD102" s="153"/>
      <c r="BE102" s="153"/>
    </row>
    <row r="103" spans="1:57">
      <c r="A103" s="392"/>
      <c r="B103" s="386"/>
      <c r="C103" s="386"/>
      <c r="D103" s="386"/>
      <c r="E103" s="386"/>
      <c r="F103" s="386"/>
      <c r="G103" s="391"/>
      <c r="H103" s="391"/>
      <c r="I103" s="391"/>
      <c r="J103" s="391"/>
      <c r="K103" s="391"/>
      <c r="L103" s="391"/>
      <c r="M103" s="391"/>
      <c r="N103" s="391"/>
      <c r="O103" s="391"/>
      <c r="P103" s="391"/>
      <c r="Q103" s="391"/>
      <c r="R103" s="391"/>
      <c r="S103" s="391"/>
      <c r="T103" s="391"/>
      <c r="U103" s="391"/>
      <c r="V103" s="383"/>
      <c r="W103" s="391"/>
      <c r="X103" s="391"/>
      <c r="Y103" s="391"/>
      <c r="Z103" s="383"/>
      <c r="AA103" s="391"/>
      <c r="AB103" s="391"/>
      <c r="AC103" s="391"/>
      <c r="AD103" s="391"/>
      <c r="AE103" s="391"/>
      <c r="AF103" s="391"/>
      <c r="AG103" s="391"/>
      <c r="AH103" s="391"/>
      <c r="AI103" s="391"/>
      <c r="AJ103" s="391"/>
      <c r="AK103" s="391"/>
      <c r="AL103" s="391"/>
      <c r="AM103" s="391"/>
      <c r="AN103" s="391"/>
      <c r="AO103" s="391"/>
      <c r="AP103" s="391"/>
      <c r="AQ103" s="391"/>
      <c r="AR103" s="391"/>
      <c r="AS103" s="391"/>
      <c r="AT103" s="391"/>
      <c r="AU103" s="391"/>
      <c r="AV103" s="391"/>
      <c r="AW103" s="391"/>
      <c r="AX103" s="391"/>
      <c r="AY103" s="391"/>
      <c r="AZ103" s="391"/>
      <c r="BA103" s="391"/>
      <c r="BB103" s="391"/>
      <c r="BC103" s="153"/>
      <c r="BD103" s="153"/>
      <c r="BE103" s="153"/>
    </row>
    <row r="104" spans="1:57">
      <c r="A104" s="392" t="s">
        <v>94</v>
      </c>
      <c r="B104" s="393"/>
      <c r="C104" s="393"/>
      <c r="D104" s="393"/>
      <c r="E104" s="393"/>
      <c r="F104" s="393"/>
      <c r="G104" s="383"/>
      <c r="H104" s="383"/>
      <c r="I104" s="383"/>
      <c r="J104" s="383"/>
      <c r="K104" s="383"/>
      <c r="L104" s="383"/>
      <c r="M104" s="383"/>
      <c r="N104" s="383"/>
      <c r="O104" s="383"/>
      <c r="P104" s="383"/>
      <c r="Q104" s="383"/>
      <c r="R104" s="383"/>
      <c r="S104" s="383"/>
      <c r="T104" s="383"/>
      <c r="U104" s="383"/>
      <c r="V104" s="383"/>
      <c r="W104" s="383"/>
      <c r="X104" s="383"/>
      <c r="Y104" s="383"/>
      <c r="Z104" s="383"/>
      <c r="AA104" s="383"/>
      <c r="AB104" s="383"/>
      <c r="AC104" s="383"/>
      <c r="AD104" s="383"/>
      <c r="AE104" s="383"/>
      <c r="AF104" s="383"/>
      <c r="AG104" s="383"/>
      <c r="AH104" s="383"/>
      <c r="AI104" s="383"/>
      <c r="AJ104" s="383"/>
      <c r="AK104" s="383"/>
      <c r="AL104" s="383"/>
      <c r="AM104" s="383"/>
      <c r="AN104" s="383"/>
      <c r="AO104" s="383"/>
      <c r="AP104" s="383"/>
      <c r="AQ104" s="383"/>
      <c r="AR104" s="383"/>
      <c r="AS104" s="383"/>
      <c r="AT104" s="383"/>
      <c r="AU104" s="383"/>
      <c r="AV104" s="383"/>
      <c r="AW104" s="383"/>
      <c r="AX104" s="383"/>
      <c r="AY104" s="383"/>
      <c r="AZ104" s="383"/>
      <c r="BA104" s="383"/>
      <c r="BB104" s="383"/>
      <c r="BC104" s="153"/>
      <c r="BD104" s="153"/>
      <c r="BE104" s="153"/>
    </row>
    <row r="105" spans="1:57">
      <c r="A105" s="392" t="s">
        <v>723</v>
      </c>
      <c r="B105" s="386"/>
      <c r="C105" s="386"/>
      <c r="D105" s="386"/>
      <c r="E105" s="386"/>
      <c r="F105" s="386"/>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c r="AF105" s="391"/>
      <c r="AG105" s="391"/>
      <c r="AH105" s="391"/>
      <c r="AI105" s="391"/>
      <c r="AJ105" s="391"/>
      <c r="AK105" s="391"/>
      <c r="AL105" s="391"/>
      <c r="AM105" s="391"/>
      <c r="AN105" s="391"/>
      <c r="AO105" s="391"/>
      <c r="AP105" s="391"/>
      <c r="AQ105" s="391"/>
      <c r="AR105" s="391"/>
      <c r="AS105" s="391"/>
      <c r="AT105" s="391"/>
      <c r="AU105" s="391"/>
      <c r="AV105" s="391"/>
      <c r="AW105" s="391"/>
      <c r="AX105" s="391"/>
      <c r="AY105" s="391"/>
      <c r="AZ105" s="391"/>
      <c r="BA105" s="391"/>
      <c r="BB105" s="391"/>
      <c r="BC105" s="153"/>
      <c r="BD105" s="153"/>
      <c r="BE105" s="153"/>
    </row>
    <row r="106" spans="1:57">
      <c r="A106" s="392" t="s">
        <v>299</v>
      </c>
      <c r="B106" s="394"/>
      <c r="C106" s="394"/>
      <c r="D106" s="394"/>
      <c r="E106" s="394"/>
      <c r="F106" s="394"/>
      <c r="G106" s="394"/>
      <c r="H106" s="394"/>
      <c r="I106" s="394"/>
      <c r="J106" s="394"/>
      <c r="K106" s="394"/>
      <c r="L106" s="394"/>
      <c r="M106" s="394"/>
      <c r="N106" s="394"/>
      <c r="O106" s="394"/>
      <c r="P106" s="394"/>
      <c r="Q106" s="394"/>
      <c r="R106" s="394"/>
      <c r="S106" s="394"/>
      <c r="T106" s="394"/>
      <c r="U106" s="394"/>
      <c r="V106" s="394"/>
      <c r="W106" s="394"/>
      <c r="X106" s="394"/>
      <c r="Y106" s="394"/>
      <c r="Z106" s="391"/>
      <c r="AA106" s="391"/>
      <c r="AB106" s="391"/>
      <c r="AC106" s="391"/>
      <c r="AD106" s="391"/>
      <c r="AE106" s="391"/>
      <c r="AF106" s="391"/>
      <c r="AG106" s="391"/>
      <c r="AH106" s="391"/>
      <c r="AI106" s="391"/>
      <c r="AJ106" s="391"/>
      <c r="AK106" s="391"/>
      <c r="AL106" s="391"/>
      <c r="AM106" s="391"/>
      <c r="AN106" s="391"/>
      <c r="AO106" s="391"/>
      <c r="AP106" s="391"/>
      <c r="AQ106" s="391"/>
      <c r="AR106" s="391"/>
      <c r="AS106" s="391"/>
      <c r="AT106" s="391"/>
      <c r="AU106" s="391"/>
      <c r="AV106" s="391"/>
      <c r="AW106" s="391"/>
      <c r="AX106" s="391"/>
      <c r="AY106" s="391"/>
      <c r="AZ106" s="391"/>
      <c r="BA106" s="391"/>
      <c r="BB106" s="391"/>
      <c r="BC106" s="153"/>
      <c r="BD106" s="153"/>
      <c r="BE106" s="153"/>
    </row>
    <row r="107" spans="1:57">
      <c r="A107" s="382" t="s">
        <v>248</v>
      </c>
      <c r="B107" s="394"/>
      <c r="C107" s="394"/>
      <c r="D107" s="394"/>
      <c r="E107" s="394"/>
      <c r="F107" s="394"/>
      <c r="G107" s="394"/>
      <c r="H107" s="394"/>
      <c r="I107" s="394"/>
      <c r="J107" s="394"/>
      <c r="K107" s="394"/>
      <c r="L107" s="394"/>
      <c r="M107" s="394"/>
      <c r="N107" s="394"/>
      <c r="O107" s="394"/>
      <c r="P107" s="394"/>
      <c r="Q107" s="394"/>
      <c r="R107" s="394"/>
      <c r="S107" s="394"/>
      <c r="T107" s="394"/>
      <c r="U107" s="394"/>
      <c r="V107" s="394"/>
      <c r="W107" s="394"/>
      <c r="X107" s="394"/>
      <c r="Y107" s="394"/>
      <c r="Z107" s="395"/>
      <c r="AA107" s="395"/>
      <c r="AB107" s="395"/>
      <c r="AC107" s="395"/>
      <c r="AD107" s="395"/>
      <c r="AE107" s="395"/>
      <c r="AF107" s="395"/>
      <c r="AG107" s="395"/>
      <c r="AH107" s="395"/>
      <c r="AI107" s="395"/>
      <c r="AJ107" s="391"/>
      <c r="AK107" s="395"/>
      <c r="AL107" s="395"/>
      <c r="AM107" s="395"/>
      <c r="AN107" s="395"/>
      <c r="AO107" s="391"/>
      <c r="AP107" s="395"/>
      <c r="AQ107" s="395"/>
      <c r="AR107" s="395"/>
      <c r="AS107" s="395"/>
      <c r="AT107" s="391"/>
      <c r="AU107" s="395"/>
      <c r="AV107" s="395"/>
      <c r="AW107" s="391"/>
      <c r="AX107" s="391"/>
      <c r="AY107" s="391"/>
      <c r="AZ107" s="391"/>
      <c r="BA107" s="391"/>
      <c r="BB107" s="391"/>
      <c r="BC107" s="153"/>
      <c r="BD107" s="153"/>
      <c r="BE107" s="153"/>
    </row>
    <row r="108" spans="1:57">
      <c r="A108" s="153"/>
      <c r="B108" s="153"/>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c r="AA108" s="153"/>
      <c r="AB108" s="153"/>
      <c r="AC108" s="153"/>
      <c r="AD108" s="153"/>
      <c r="AE108" s="153"/>
      <c r="AF108" s="153"/>
      <c r="AG108" s="153"/>
      <c r="AH108" s="153"/>
      <c r="AI108" s="153"/>
      <c r="AJ108" s="153"/>
      <c r="AK108" s="153"/>
      <c r="AL108" s="153"/>
      <c r="AM108" s="153"/>
      <c r="AN108" s="153"/>
      <c r="AO108" s="153"/>
      <c r="AP108" s="153"/>
      <c r="AQ108" s="153"/>
      <c r="AR108" s="153"/>
      <c r="AS108" s="153"/>
      <c r="AT108" s="153"/>
      <c r="AU108" s="153"/>
      <c r="AV108" s="153"/>
      <c r="AW108" s="153"/>
      <c r="AX108" s="153"/>
      <c r="AY108" s="153"/>
      <c r="AZ108" s="153"/>
      <c r="BA108" s="153"/>
      <c r="BB108" s="153"/>
      <c r="BC108" s="153"/>
      <c r="BD108" s="153"/>
      <c r="BE108" s="153"/>
    </row>
    <row r="109" spans="1:57">
      <c r="A109" s="153"/>
      <c r="B109" s="153"/>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c r="AA109" s="153"/>
      <c r="AB109" s="153"/>
      <c r="AC109" s="153"/>
      <c r="AD109" s="153"/>
      <c r="AE109" s="153"/>
      <c r="AF109" s="153"/>
      <c r="AG109" s="153"/>
      <c r="AH109" s="153"/>
      <c r="AI109" s="153"/>
      <c r="AJ109" s="153"/>
      <c r="AK109" s="153"/>
      <c r="AL109" s="153"/>
      <c r="AM109" s="153"/>
      <c r="AN109" s="153"/>
      <c r="AO109" s="153"/>
      <c r="AP109" s="153"/>
      <c r="AQ109" s="153"/>
      <c r="AR109" s="153"/>
      <c r="AS109" s="153"/>
      <c r="AT109" s="153"/>
      <c r="AU109" s="153"/>
      <c r="AV109" s="153"/>
      <c r="AW109" s="153"/>
      <c r="AX109" s="153"/>
      <c r="AY109" s="153"/>
      <c r="AZ109" s="153"/>
      <c r="BA109" s="153"/>
      <c r="BB109" s="153"/>
      <c r="BC109" s="153"/>
      <c r="BD109" s="153"/>
      <c r="BE109" s="153"/>
    </row>
    <row r="110" spans="1:57">
      <c r="A110" s="153"/>
      <c r="B110" s="153"/>
      <c r="C110" s="153"/>
      <c r="D110" s="153"/>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c r="AA110" s="153"/>
      <c r="AB110" s="153"/>
      <c r="AC110" s="153"/>
      <c r="AD110" s="153"/>
      <c r="AE110" s="153"/>
      <c r="AF110" s="153"/>
      <c r="AG110" s="153"/>
      <c r="AH110" s="153"/>
      <c r="AI110" s="153"/>
      <c r="AJ110" s="153"/>
      <c r="AK110" s="153"/>
      <c r="AL110" s="153"/>
      <c r="AM110" s="153"/>
      <c r="AN110" s="153"/>
      <c r="AO110" s="153"/>
      <c r="AP110" s="153"/>
      <c r="AQ110" s="153"/>
      <c r="AR110" s="153"/>
      <c r="AS110" s="153"/>
      <c r="AT110" s="153"/>
      <c r="AU110" s="153"/>
      <c r="AV110" s="153"/>
      <c r="AW110" s="153"/>
      <c r="AX110" s="153"/>
      <c r="AY110" s="153"/>
      <c r="AZ110" s="153"/>
      <c r="BA110" s="153"/>
      <c r="BB110" s="153"/>
      <c r="BC110" s="153"/>
      <c r="BD110" s="153"/>
      <c r="BE110" s="153"/>
    </row>
    <row r="111" spans="1:57">
      <c r="A111" s="153"/>
      <c r="B111" s="153"/>
      <c r="C111" s="153"/>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c r="AA111" s="153"/>
      <c r="AB111" s="153"/>
      <c r="AC111" s="153"/>
      <c r="AD111" s="153"/>
      <c r="AE111" s="153"/>
      <c r="AF111" s="153"/>
      <c r="AG111" s="153"/>
      <c r="AH111" s="153"/>
      <c r="AI111" s="153"/>
      <c r="AJ111" s="153"/>
      <c r="AK111" s="153"/>
      <c r="AL111" s="153"/>
      <c r="AM111" s="153"/>
      <c r="AN111" s="153"/>
      <c r="AO111" s="153"/>
      <c r="AP111" s="153"/>
      <c r="AQ111" s="153"/>
      <c r="AR111" s="153"/>
      <c r="AS111" s="153"/>
      <c r="AT111" s="153"/>
      <c r="AU111" s="153"/>
      <c r="AV111" s="153"/>
      <c r="AW111" s="153"/>
      <c r="AX111" s="153"/>
      <c r="AY111" s="153"/>
      <c r="AZ111" s="153"/>
      <c r="BA111" s="153"/>
      <c r="BB111" s="153"/>
      <c r="BC111" s="153"/>
      <c r="BD111" s="153"/>
      <c r="BE111" s="153"/>
    </row>
    <row r="112" spans="1:57">
      <c r="A112" s="153"/>
      <c r="B112" s="153"/>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c r="AA112" s="153"/>
      <c r="AB112" s="153"/>
      <c r="AC112" s="153"/>
      <c r="AD112" s="153"/>
      <c r="AE112" s="153"/>
      <c r="AF112" s="153"/>
      <c r="AG112" s="153"/>
      <c r="AH112" s="153"/>
      <c r="AI112" s="153"/>
      <c r="AJ112" s="153"/>
      <c r="AK112" s="153"/>
      <c r="AL112" s="153"/>
      <c r="AM112" s="153"/>
      <c r="AN112" s="153"/>
      <c r="AO112" s="153"/>
      <c r="AP112" s="153"/>
      <c r="AQ112" s="153"/>
      <c r="AR112" s="153"/>
      <c r="AS112" s="153"/>
      <c r="AT112" s="153"/>
      <c r="AU112" s="153"/>
      <c r="AV112" s="153"/>
      <c r="AW112" s="153"/>
      <c r="AX112" s="153"/>
      <c r="AY112" s="153"/>
      <c r="AZ112" s="153"/>
      <c r="BA112" s="153"/>
      <c r="BB112" s="153"/>
      <c r="BC112" s="153"/>
      <c r="BD112" s="153"/>
      <c r="BE112" s="153"/>
    </row>
    <row r="113" spans="1:57">
      <c r="A113" s="153"/>
      <c r="B113" s="153"/>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c r="AP113" s="153"/>
      <c r="AQ113" s="153"/>
      <c r="AR113" s="153"/>
      <c r="AS113" s="153"/>
      <c r="AT113" s="153"/>
      <c r="AU113" s="153"/>
      <c r="AV113" s="153"/>
      <c r="AW113" s="153"/>
      <c r="AX113" s="153"/>
      <c r="AY113" s="153"/>
      <c r="AZ113" s="153"/>
      <c r="BA113" s="153"/>
      <c r="BB113" s="153"/>
      <c r="BC113" s="153"/>
      <c r="BD113" s="153"/>
      <c r="BE113" s="153"/>
    </row>
    <row r="114" spans="1:57">
      <c r="A114" s="153"/>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c r="A115" s="153"/>
      <c r="B115" s="153"/>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c r="AA115" s="153"/>
      <c r="AB115" s="153"/>
      <c r="AC115" s="153"/>
      <c r="AD115" s="153"/>
      <c r="AE115" s="153"/>
      <c r="AF115" s="153"/>
      <c r="AG115" s="153"/>
      <c r="AH115" s="153"/>
      <c r="AI115" s="153"/>
      <c r="AJ115" s="153"/>
      <c r="AK115" s="153"/>
      <c r="AL115" s="153"/>
      <c r="AM115" s="153"/>
      <c r="AN115" s="153"/>
      <c r="AO115" s="153"/>
      <c r="AP115" s="153"/>
      <c r="AQ115" s="153"/>
      <c r="AR115" s="153"/>
      <c r="AS115" s="153"/>
      <c r="AT115" s="153"/>
      <c r="AU115" s="153"/>
      <c r="AV115" s="153"/>
      <c r="AW115" s="153"/>
      <c r="AX115" s="153"/>
      <c r="AY115" s="153"/>
      <c r="AZ115" s="153"/>
      <c r="BA115" s="153"/>
      <c r="BB115" s="153"/>
      <c r="BC115" s="153"/>
      <c r="BD115" s="153"/>
      <c r="BE115" s="153"/>
    </row>
    <row r="116" spans="1:57">
      <c r="A116" s="153"/>
      <c r="B116" s="153"/>
      <c r="C116" s="153"/>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c r="AA116" s="153"/>
      <c r="AB116" s="153"/>
      <c r="AC116" s="153"/>
      <c r="AD116" s="153"/>
      <c r="AE116" s="153"/>
      <c r="AF116" s="153"/>
      <c r="AG116" s="153"/>
      <c r="AH116" s="153"/>
      <c r="AI116" s="153"/>
      <c r="AJ116" s="153"/>
      <c r="AK116" s="153"/>
      <c r="AL116" s="153"/>
      <c r="AM116" s="153"/>
      <c r="AN116" s="153"/>
      <c r="AO116" s="153"/>
      <c r="AP116" s="153"/>
      <c r="AQ116" s="153"/>
      <c r="AR116" s="153"/>
      <c r="AS116" s="153"/>
      <c r="AT116" s="153"/>
      <c r="AU116" s="153"/>
      <c r="AV116" s="153"/>
      <c r="AW116" s="153"/>
      <c r="AX116" s="153"/>
      <c r="AY116" s="153"/>
      <c r="AZ116" s="153"/>
      <c r="BA116" s="153"/>
      <c r="BB116" s="153"/>
      <c r="BC116" s="153"/>
      <c r="BD116" s="153"/>
      <c r="BE116" s="153"/>
    </row>
    <row r="117" spans="1:57">
      <c r="A117" s="153"/>
      <c r="B117" s="153"/>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c r="AA117" s="153"/>
      <c r="AB117" s="153"/>
      <c r="AC117" s="153"/>
      <c r="AD117" s="153"/>
      <c r="AE117" s="153"/>
      <c r="AF117" s="153"/>
      <c r="AG117" s="153"/>
      <c r="AH117" s="153"/>
      <c r="AI117" s="153"/>
      <c r="AJ117" s="153"/>
      <c r="AK117" s="153"/>
      <c r="AL117" s="153"/>
      <c r="AM117" s="153"/>
      <c r="AN117" s="153"/>
      <c r="AO117" s="153"/>
      <c r="AP117" s="153"/>
      <c r="AQ117" s="153"/>
      <c r="AR117" s="153"/>
      <c r="AS117" s="153"/>
      <c r="AT117" s="153"/>
      <c r="AU117" s="153"/>
      <c r="AV117" s="153"/>
      <c r="AW117" s="153"/>
      <c r="AX117" s="153"/>
      <c r="AY117" s="153"/>
      <c r="AZ117" s="153"/>
      <c r="BA117" s="153"/>
      <c r="BB117" s="153"/>
      <c r="BC117" s="153"/>
      <c r="BD117" s="153"/>
      <c r="BE117" s="153"/>
    </row>
    <row r="118" spans="1:57">
      <c r="A118" s="153"/>
      <c r="B118" s="153"/>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c r="AA118" s="153"/>
      <c r="AB118" s="153"/>
      <c r="AC118" s="153"/>
      <c r="AD118" s="153"/>
      <c r="AE118" s="153"/>
      <c r="AF118" s="153"/>
      <c r="AG118" s="153"/>
      <c r="AH118" s="153"/>
      <c r="AI118" s="153"/>
      <c r="AJ118" s="153"/>
      <c r="AK118" s="153"/>
      <c r="AL118" s="153"/>
      <c r="AM118" s="153"/>
      <c r="AN118" s="153"/>
      <c r="AO118" s="153"/>
      <c r="AP118" s="153"/>
      <c r="AQ118" s="153"/>
      <c r="AR118" s="153"/>
      <c r="AS118" s="153"/>
      <c r="AT118" s="153"/>
      <c r="AU118" s="153"/>
      <c r="AV118" s="153"/>
      <c r="AW118" s="153"/>
      <c r="AX118" s="153"/>
      <c r="AY118" s="153"/>
      <c r="AZ118" s="153"/>
      <c r="BA118" s="153"/>
      <c r="BB118" s="153"/>
      <c r="BC118" s="153"/>
      <c r="BD118" s="153"/>
      <c r="BE118" s="153"/>
    </row>
    <row r="119" spans="1:57">
      <c r="A119" s="153"/>
      <c r="B119" s="153"/>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c r="AA119" s="153"/>
      <c r="AB119" s="153"/>
      <c r="AC119" s="153"/>
      <c r="AD119" s="153"/>
      <c r="AE119" s="153"/>
      <c r="AF119" s="153"/>
      <c r="AG119" s="153"/>
      <c r="AH119" s="153"/>
      <c r="AI119" s="153"/>
      <c r="AJ119" s="153"/>
      <c r="AK119" s="153"/>
      <c r="AL119" s="153"/>
      <c r="AM119" s="153"/>
      <c r="AN119" s="153"/>
      <c r="AO119" s="153"/>
      <c r="AP119" s="153"/>
      <c r="AQ119" s="153"/>
      <c r="AR119" s="153"/>
      <c r="AS119" s="153"/>
      <c r="AT119" s="153"/>
      <c r="AU119" s="153"/>
      <c r="AV119" s="153"/>
      <c r="AW119" s="153"/>
      <c r="AX119" s="153"/>
      <c r="AY119" s="153"/>
      <c r="AZ119" s="153"/>
      <c r="BA119" s="153"/>
      <c r="BB119" s="153"/>
      <c r="BC119" s="153"/>
      <c r="BD119" s="153"/>
      <c r="BE119" s="153"/>
    </row>
    <row r="120" spans="1:57">
      <c r="A120" s="153"/>
      <c r="B120" s="153"/>
      <c r="C120" s="153"/>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c r="AA120" s="153"/>
      <c r="AB120" s="153"/>
      <c r="AC120" s="153"/>
      <c r="AD120" s="153"/>
      <c r="AE120" s="153"/>
      <c r="AF120" s="153"/>
      <c r="AG120" s="153"/>
      <c r="AH120" s="153"/>
      <c r="AI120" s="153"/>
      <c r="AJ120" s="153"/>
      <c r="AK120" s="153"/>
      <c r="AL120" s="153"/>
      <c r="AM120" s="153"/>
      <c r="AN120" s="153"/>
      <c r="AO120" s="153"/>
      <c r="AP120" s="153"/>
      <c r="AQ120" s="153"/>
      <c r="AR120" s="153"/>
      <c r="AS120" s="153"/>
      <c r="AT120" s="153"/>
      <c r="AU120" s="153"/>
      <c r="AV120" s="153"/>
      <c r="AW120" s="153"/>
      <c r="AX120" s="153"/>
      <c r="AY120" s="153"/>
      <c r="AZ120" s="153"/>
      <c r="BA120" s="153"/>
      <c r="BB120" s="153"/>
      <c r="BC120" s="153"/>
      <c r="BD120" s="153"/>
      <c r="BE120" s="153"/>
    </row>
    <row r="121" spans="1:57">
      <c r="A121" s="153"/>
      <c r="B121" s="153"/>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c r="AA121" s="153"/>
      <c r="AB121" s="153"/>
      <c r="AC121" s="153"/>
      <c r="AD121" s="153"/>
      <c r="AE121" s="153"/>
      <c r="AF121" s="153"/>
      <c r="AG121" s="153"/>
      <c r="AH121" s="153"/>
      <c r="AI121" s="153"/>
      <c r="AJ121" s="153"/>
      <c r="AK121" s="153"/>
      <c r="AL121" s="153"/>
      <c r="AM121" s="153"/>
      <c r="AN121" s="153"/>
      <c r="AO121" s="153"/>
      <c r="AP121" s="153"/>
      <c r="AQ121" s="153"/>
      <c r="AR121" s="153"/>
      <c r="AS121" s="153"/>
      <c r="AT121" s="153"/>
      <c r="AU121" s="153"/>
      <c r="AV121" s="153"/>
      <c r="AW121" s="153"/>
      <c r="AX121" s="153"/>
      <c r="AY121" s="153"/>
      <c r="AZ121" s="153"/>
      <c r="BA121" s="153"/>
      <c r="BB121" s="153"/>
      <c r="BC121" s="153"/>
      <c r="BD121" s="153"/>
      <c r="BE121" s="153"/>
    </row>
    <row r="122" spans="1:57">
      <c r="A122" s="153"/>
      <c r="B122" s="153"/>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c r="AA122" s="153"/>
      <c r="AB122" s="153"/>
      <c r="AC122" s="153"/>
      <c r="AD122" s="153"/>
      <c r="AE122" s="153"/>
      <c r="AF122" s="153"/>
      <c r="AG122" s="153"/>
      <c r="AH122" s="153"/>
      <c r="AI122" s="153"/>
      <c r="AJ122" s="153"/>
      <c r="AK122" s="153"/>
      <c r="AL122" s="153"/>
      <c r="AM122" s="153"/>
      <c r="AN122" s="153"/>
      <c r="AO122" s="153"/>
      <c r="AP122" s="153"/>
      <c r="AQ122" s="153"/>
      <c r="AR122" s="153"/>
      <c r="AS122" s="153"/>
      <c r="AT122" s="153"/>
      <c r="AU122" s="153"/>
      <c r="AV122" s="153"/>
      <c r="AW122" s="153"/>
      <c r="AX122" s="153"/>
      <c r="AY122" s="153"/>
      <c r="AZ122" s="153"/>
      <c r="BA122" s="153"/>
      <c r="BB122" s="153"/>
      <c r="BC122" s="153"/>
      <c r="BD122" s="153"/>
      <c r="BE122" s="153"/>
    </row>
    <row r="123" spans="1:57">
      <c r="A123" s="153"/>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c r="AP123" s="153"/>
      <c r="AQ123" s="153"/>
      <c r="AR123" s="153"/>
      <c r="AS123" s="153"/>
      <c r="AT123" s="153"/>
      <c r="AU123" s="153"/>
      <c r="AV123" s="153"/>
      <c r="AW123" s="153"/>
      <c r="AX123" s="153"/>
      <c r="AY123" s="153"/>
      <c r="AZ123" s="153"/>
      <c r="BA123" s="153"/>
      <c r="BB123" s="153"/>
      <c r="BC123" s="153"/>
      <c r="BD123" s="153"/>
      <c r="BE123" s="153"/>
    </row>
    <row r="124" spans="1:57">
      <c r="A124" s="153"/>
      <c r="B124" s="153"/>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c r="AP124" s="153"/>
      <c r="AQ124" s="153"/>
      <c r="AR124" s="153"/>
      <c r="AS124" s="153"/>
      <c r="AT124" s="153"/>
      <c r="AU124" s="153"/>
      <c r="AV124" s="153"/>
      <c r="AW124" s="153"/>
      <c r="AX124" s="153"/>
      <c r="AY124" s="153"/>
      <c r="AZ124" s="153"/>
      <c r="BA124" s="153"/>
      <c r="BB124" s="153"/>
      <c r="BC124" s="153"/>
      <c r="BD124" s="153"/>
      <c r="BE124" s="153"/>
    </row>
    <row r="125" spans="1:57">
      <c r="A125" s="153"/>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c r="AP125" s="153"/>
      <c r="AQ125" s="153"/>
      <c r="AR125" s="153"/>
      <c r="AS125" s="153"/>
      <c r="AT125" s="153"/>
      <c r="AU125" s="153"/>
      <c r="AV125" s="153"/>
      <c r="AW125" s="153"/>
      <c r="AX125" s="153"/>
      <c r="AY125" s="153"/>
      <c r="AZ125" s="153"/>
      <c r="BA125" s="153"/>
      <c r="BB125" s="153"/>
      <c r="BC125" s="153"/>
      <c r="BD125" s="153"/>
      <c r="BE125" s="153"/>
    </row>
    <row r="126" spans="1:57">
      <c r="A126" s="153"/>
      <c r="B126" s="153"/>
      <c r="C126" s="153"/>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c r="AP126" s="153"/>
      <c r="AQ126" s="153"/>
      <c r="AR126" s="153"/>
      <c r="AS126" s="153"/>
      <c r="AT126" s="153"/>
      <c r="AU126" s="153"/>
      <c r="AV126" s="153"/>
      <c r="AW126" s="153"/>
      <c r="AX126" s="153"/>
      <c r="AY126" s="153"/>
      <c r="AZ126" s="153"/>
      <c r="BA126" s="153"/>
      <c r="BB126" s="153"/>
      <c r="BC126" s="153"/>
      <c r="BD126" s="153"/>
      <c r="BE126" s="153"/>
    </row>
    <row r="127" spans="1:57">
      <c r="A127" s="153"/>
      <c r="B127" s="153"/>
      <c r="C127" s="153"/>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c r="AA127" s="153"/>
      <c r="AB127" s="153"/>
      <c r="AC127" s="153"/>
      <c r="AD127" s="153"/>
      <c r="AE127" s="153"/>
      <c r="AF127" s="153"/>
      <c r="AG127" s="153"/>
      <c r="AH127" s="153"/>
      <c r="AI127" s="153"/>
      <c r="AJ127" s="153"/>
      <c r="AK127" s="153"/>
      <c r="AL127" s="153"/>
      <c r="AM127" s="153"/>
      <c r="AN127" s="153"/>
      <c r="AO127" s="153"/>
      <c r="AP127" s="153"/>
      <c r="AQ127" s="153"/>
      <c r="AR127" s="153"/>
      <c r="AS127" s="153"/>
      <c r="AT127" s="153"/>
      <c r="AU127" s="153"/>
      <c r="AV127" s="153"/>
      <c r="AW127" s="153"/>
      <c r="AX127" s="153"/>
      <c r="AY127" s="153"/>
      <c r="AZ127" s="153"/>
      <c r="BA127" s="153"/>
      <c r="BB127" s="153"/>
      <c r="BC127" s="153"/>
      <c r="BD127" s="153"/>
      <c r="BE127" s="153"/>
    </row>
    <row r="128" spans="1:57">
      <c r="A128" s="153"/>
      <c r="B128" s="153"/>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c r="AA128" s="153"/>
      <c r="AB128" s="153"/>
      <c r="AC128" s="153"/>
      <c r="AD128" s="153"/>
      <c r="AE128" s="153"/>
      <c r="AF128" s="153"/>
      <c r="AG128" s="153"/>
      <c r="AH128" s="153"/>
      <c r="AI128" s="153"/>
      <c r="AJ128" s="153"/>
      <c r="AK128" s="153"/>
      <c r="AL128" s="153"/>
      <c r="AM128" s="153"/>
      <c r="AN128" s="153"/>
      <c r="AO128" s="153"/>
      <c r="AP128" s="153"/>
      <c r="AQ128" s="153"/>
      <c r="AR128" s="153"/>
      <c r="AS128" s="153"/>
      <c r="AT128" s="153"/>
      <c r="AU128" s="153"/>
      <c r="AV128" s="153"/>
      <c r="AW128" s="153"/>
      <c r="AX128" s="153"/>
      <c r="AY128" s="153"/>
      <c r="AZ128" s="153"/>
      <c r="BA128" s="153"/>
      <c r="BB128" s="153"/>
      <c r="BC128" s="153"/>
      <c r="BD128" s="153"/>
      <c r="BE128" s="153"/>
    </row>
    <row r="129" spans="1:57">
      <c r="A129" s="153"/>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c r="AK129" s="153"/>
      <c r="AL129" s="153"/>
      <c r="AM129" s="153"/>
      <c r="AN129" s="153"/>
      <c r="AO129" s="153"/>
      <c r="AP129" s="153"/>
      <c r="AQ129" s="153"/>
      <c r="AR129" s="153"/>
      <c r="AS129" s="153"/>
      <c r="AT129" s="153"/>
      <c r="AU129" s="153"/>
      <c r="AV129" s="153"/>
      <c r="AW129" s="153"/>
      <c r="AX129" s="153"/>
      <c r="AY129" s="153"/>
      <c r="AZ129" s="153"/>
      <c r="BA129" s="153"/>
      <c r="BB129" s="153"/>
      <c r="BC129" s="153"/>
      <c r="BD129" s="153"/>
      <c r="BE129" s="153"/>
    </row>
    <row r="130" spans="1:57">
      <c r="A130" s="153"/>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c r="AI130" s="153"/>
      <c r="AJ130" s="153"/>
      <c r="AK130" s="153"/>
      <c r="AL130" s="153"/>
      <c r="AM130" s="153"/>
      <c r="AN130" s="153"/>
      <c r="AO130" s="153"/>
      <c r="AP130" s="153"/>
      <c r="AQ130" s="153"/>
      <c r="AR130" s="153"/>
      <c r="AS130" s="153"/>
      <c r="AT130" s="153"/>
      <c r="AU130" s="153"/>
      <c r="AV130" s="153"/>
      <c r="AW130" s="153"/>
      <c r="AX130" s="153"/>
      <c r="AY130" s="153"/>
      <c r="AZ130" s="153"/>
      <c r="BA130" s="153"/>
      <c r="BB130" s="153"/>
      <c r="BC130" s="153"/>
      <c r="BD130" s="153"/>
      <c r="BE130" s="153"/>
    </row>
    <row r="131" spans="1:57">
      <c r="A131" s="153"/>
      <c r="B131" s="153"/>
      <c r="C131" s="15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c r="AA131" s="153"/>
      <c r="AB131" s="153"/>
      <c r="AC131" s="153"/>
      <c r="AD131" s="153"/>
      <c r="AE131" s="153"/>
      <c r="AF131" s="153"/>
      <c r="AG131" s="153"/>
      <c r="AH131" s="153"/>
      <c r="AI131" s="153"/>
      <c r="AJ131" s="153"/>
      <c r="AK131" s="153"/>
      <c r="AL131" s="153"/>
      <c r="AM131" s="153"/>
      <c r="AN131" s="153"/>
      <c r="AO131" s="153"/>
      <c r="AP131" s="153"/>
      <c r="AQ131" s="153"/>
      <c r="AR131" s="153"/>
      <c r="AS131" s="153"/>
      <c r="AT131" s="153"/>
      <c r="AU131" s="153"/>
      <c r="AV131" s="153"/>
      <c r="AW131" s="153"/>
      <c r="AX131" s="153"/>
      <c r="AY131" s="153"/>
      <c r="AZ131" s="153"/>
      <c r="BA131" s="153"/>
      <c r="BB131" s="153"/>
      <c r="BC131" s="153"/>
      <c r="BD131" s="153"/>
      <c r="BE131" s="153"/>
    </row>
    <row r="132" spans="1:57">
      <c r="A132" s="153"/>
      <c r="B132" s="153"/>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3"/>
      <c r="AG132" s="153"/>
      <c r="AH132" s="153"/>
      <c r="AI132" s="153"/>
      <c r="AJ132" s="153"/>
      <c r="AK132" s="153"/>
      <c r="AL132" s="153"/>
      <c r="AM132" s="153"/>
      <c r="AN132" s="153"/>
      <c r="AO132" s="153"/>
      <c r="AP132" s="153"/>
      <c r="AQ132" s="153"/>
      <c r="AR132" s="153"/>
      <c r="AS132" s="153"/>
      <c r="AT132" s="153"/>
      <c r="AU132" s="153"/>
      <c r="AV132" s="153"/>
      <c r="AW132" s="153"/>
      <c r="AX132" s="153"/>
      <c r="AY132" s="153"/>
      <c r="AZ132" s="153"/>
      <c r="BA132" s="153"/>
      <c r="BB132" s="153"/>
      <c r="BC132" s="153"/>
      <c r="BD132" s="153"/>
      <c r="BE132" s="153"/>
    </row>
    <row r="133" spans="1:57">
      <c r="A133" s="153"/>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153"/>
      <c r="AO133" s="153"/>
      <c r="AP133" s="153"/>
      <c r="AQ133" s="153"/>
      <c r="AR133" s="153"/>
      <c r="AS133" s="153"/>
      <c r="AT133" s="153"/>
      <c r="AU133" s="153"/>
      <c r="AV133" s="153"/>
      <c r="AW133" s="153"/>
      <c r="AX133" s="153"/>
      <c r="AY133" s="153"/>
      <c r="AZ133" s="153"/>
      <c r="BA133" s="153"/>
      <c r="BB133" s="153"/>
      <c r="BC133" s="153"/>
      <c r="BD133" s="153"/>
      <c r="BE133" s="153"/>
    </row>
    <row r="134" spans="1:57">
      <c r="A134" s="153"/>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c r="AK134" s="153"/>
      <c r="AL134" s="153"/>
      <c r="AM134" s="153"/>
      <c r="AN134" s="153"/>
      <c r="AO134" s="153"/>
      <c r="AP134" s="153"/>
      <c r="AQ134" s="153"/>
      <c r="AR134" s="153"/>
      <c r="AS134" s="153"/>
      <c r="AT134" s="153"/>
      <c r="AU134" s="153"/>
      <c r="AV134" s="153"/>
      <c r="AW134" s="153"/>
      <c r="AX134" s="153"/>
      <c r="AY134" s="153"/>
      <c r="AZ134" s="153"/>
      <c r="BA134" s="153"/>
      <c r="BB134" s="153"/>
      <c r="BC134" s="153"/>
      <c r="BD134" s="153"/>
      <c r="BE134" s="153"/>
    </row>
    <row r="135" spans="1:57">
      <c r="A135" s="153"/>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c r="AK135" s="153"/>
      <c r="AL135" s="153"/>
      <c r="AM135" s="153"/>
      <c r="AN135" s="153"/>
      <c r="AO135" s="153"/>
      <c r="AP135" s="153"/>
      <c r="AQ135" s="153"/>
      <c r="AR135" s="153"/>
      <c r="AS135" s="153"/>
      <c r="AT135" s="153"/>
      <c r="AU135" s="153"/>
      <c r="AV135" s="153"/>
      <c r="AW135" s="153"/>
      <c r="AX135" s="153"/>
      <c r="AY135" s="153"/>
      <c r="AZ135" s="153"/>
      <c r="BA135" s="153"/>
      <c r="BB135" s="153"/>
      <c r="BC135" s="153"/>
      <c r="BD135" s="153"/>
      <c r="BE135" s="153"/>
    </row>
    <row r="136" spans="1:57">
      <c r="A136" s="153"/>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c r="AP136" s="153"/>
      <c r="AQ136" s="153"/>
      <c r="AR136" s="153"/>
      <c r="AS136" s="153"/>
      <c r="AT136" s="153"/>
      <c r="AU136" s="153"/>
      <c r="AV136" s="153"/>
      <c r="AW136" s="153"/>
      <c r="AX136" s="153"/>
      <c r="AY136" s="153"/>
      <c r="AZ136" s="153"/>
      <c r="BA136" s="153"/>
      <c r="BB136" s="153"/>
      <c r="BC136" s="153"/>
      <c r="BD136" s="153"/>
      <c r="BE136" s="153"/>
    </row>
    <row r="137" spans="1:57">
      <c r="A137" s="153"/>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c r="AC137" s="153"/>
      <c r="AD137" s="153"/>
      <c r="AE137" s="153"/>
      <c r="AF137" s="153"/>
      <c r="AG137" s="153"/>
      <c r="AH137" s="153"/>
      <c r="AI137" s="153"/>
      <c r="AJ137" s="153"/>
      <c r="AK137" s="153"/>
      <c r="AL137" s="153"/>
      <c r="AM137" s="153"/>
      <c r="AN137" s="153"/>
      <c r="AO137" s="153"/>
      <c r="AP137" s="153"/>
      <c r="AQ137" s="153"/>
      <c r="AR137" s="153"/>
      <c r="AS137" s="153"/>
      <c r="AT137" s="153"/>
      <c r="AU137" s="153"/>
      <c r="AV137" s="153"/>
      <c r="AW137" s="153"/>
      <c r="AX137" s="153"/>
      <c r="AY137" s="153"/>
      <c r="AZ137" s="153"/>
      <c r="BA137" s="153"/>
      <c r="BB137" s="153"/>
      <c r="BC137" s="153"/>
      <c r="BD137" s="153"/>
      <c r="BE137" s="153"/>
    </row>
    <row r="138" spans="1:57">
      <c r="A138" s="153"/>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c r="AC138" s="153"/>
      <c r="AD138" s="153"/>
      <c r="AE138" s="153"/>
      <c r="AF138" s="153"/>
      <c r="AG138" s="153"/>
      <c r="AH138" s="153"/>
      <c r="AI138" s="153"/>
      <c r="AJ138" s="153"/>
      <c r="AK138" s="153"/>
      <c r="AL138" s="153"/>
      <c r="AM138" s="153"/>
      <c r="AN138" s="153"/>
      <c r="AO138" s="153"/>
      <c r="AP138" s="153"/>
      <c r="AQ138" s="153"/>
      <c r="AR138" s="153"/>
      <c r="AS138" s="153"/>
      <c r="AT138" s="153"/>
      <c r="AU138" s="153"/>
      <c r="AV138" s="153"/>
      <c r="AW138" s="153"/>
      <c r="AX138" s="153"/>
      <c r="AY138" s="153"/>
      <c r="AZ138" s="153"/>
      <c r="BA138" s="153"/>
      <c r="BB138" s="153"/>
      <c r="BC138" s="153"/>
      <c r="BD138" s="153"/>
      <c r="BE138" s="153"/>
    </row>
    <row r="139" spans="1:57">
      <c r="A139" s="153"/>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c r="AA139" s="153"/>
      <c r="AB139" s="153"/>
      <c r="AC139" s="153"/>
      <c r="AD139" s="153"/>
      <c r="AE139" s="153"/>
      <c r="AF139" s="153"/>
      <c r="AG139" s="153"/>
      <c r="AH139" s="153"/>
      <c r="AI139" s="153"/>
      <c r="AJ139" s="153"/>
      <c r="AK139" s="153"/>
      <c r="AL139" s="153"/>
      <c r="AM139" s="153"/>
      <c r="AN139" s="153"/>
      <c r="AO139" s="153"/>
      <c r="AP139" s="153"/>
      <c r="AQ139" s="153"/>
      <c r="AR139" s="153"/>
      <c r="AS139" s="153"/>
      <c r="AT139" s="153"/>
      <c r="AU139" s="153"/>
      <c r="AV139" s="153"/>
      <c r="AW139" s="153"/>
      <c r="AX139" s="153"/>
      <c r="AY139" s="153"/>
      <c r="AZ139" s="153"/>
      <c r="BA139" s="153"/>
      <c r="BB139" s="153"/>
      <c r="BC139" s="153"/>
      <c r="BD139" s="153"/>
      <c r="BE139" s="153"/>
    </row>
  </sheetData>
  <phoneticPr fontId="274"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50573-B4D4-4AAC-B5BB-BDB5FBD410D5}">
  <sheetPr codeName="Sheet12"/>
  <dimension ref="A2:V26"/>
  <sheetViews>
    <sheetView zoomScale="80" zoomScaleNormal="80" workbookViewId="0"/>
  </sheetViews>
  <sheetFormatPr defaultRowHeight="15"/>
  <cols>
    <col min="1" max="1" width="46.85546875" customWidth="1"/>
  </cols>
  <sheetData>
    <row r="2" spans="1:22">
      <c r="A2" s="943" t="s">
        <v>281</v>
      </c>
      <c r="B2" s="944"/>
      <c r="C2" s="944"/>
      <c r="D2" s="944"/>
      <c r="E2" s="944"/>
      <c r="F2" s="944"/>
      <c r="G2" s="944"/>
      <c r="H2" s="944"/>
      <c r="I2" s="944"/>
      <c r="J2" s="944"/>
      <c r="K2" s="944"/>
      <c r="L2" s="944"/>
      <c r="M2" s="944"/>
      <c r="N2" s="944"/>
      <c r="O2" s="944"/>
      <c r="P2" s="944"/>
      <c r="Q2" s="944"/>
      <c r="R2" s="944"/>
      <c r="S2" s="944"/>
      <c r="T2" s="944"/>
      <c r="U2" s="944"/>
    </row>
    <row r="3" spans="1:22" ht="15.75" thickBot="1">
      <c r="A3" s="945" t="s">
        <v>874</v>
      </c>
      <c r="B3" s="946" t="s">
        <v>1055</v>
      </c>
      <c r="C3" s="946" t="s">
        <v>1056</v>
      </c>
      <c r="D3" s="946" t="s">
        <v>1057</v>
      </c>
      <c r="E3" s="946" t="s">
        <v>1058</v>
      </c>
      <c r="F3" s="946" t="s">
        <v>1059</v>
      </c>
      <c r="G3" s="946" t="s">
        <v>1060</v>
      </c>
      <c r="H3" s="946" t="s">
        <v>1061</v>
      </c>
      <c r="I3" s="946" t="s">
        <v>1062</v>
      </c>
      <c r="J3" s="946" t="s">
        <v>1063</v>
      </c>
      <c r="K3" s="946" t="s">
        <v>1064</v>
      </c>
      <c r="L3" s="946" t="s">
        <v>1065</v>
      </c>
      <c r="M3" s="946" t="s">
        <v>1066</v>
      </c>
      <c r="N3" s="946" t="s">
        <v>872</v>
      </c>
      <c r="O3" s="946" t="s">
        <v>1067</v>
      </c>
      <c r="P3" s="946" t="s">
        <v>1068</v>
      </c>
      <c r="Q3" s="946" t="s">
        <v>1069</v>
      </c>
      <c r="R3" s="946" t="s">
        <v>1070</v>
      </c>
      <c r="S3" s="946" t="s">
        <v>1071</v>
      </c>
      <c r="T3" s="946" t="s">
        <v>1152</v>
      </c>
      <c r="U3" s="946" t="s">
        <v>1151</v>
      </c>
    </row>
    <row r="4" spans="1:22">
      <c r="A4" s="154" t="s">
        <v>170</v>
      </c>
      <c r="B4" s="623"/>
      <c r="C4" s="623"/>
      <c r="D4" s="623"/>
      <c r="E4" s="623"/>
      <c r="F4" s="623">
        <f>Interims!S99</f>
        <v>361.65</v>
      </c>
      <c r="G4" s="623">
        <f>Interims!T99</f>
        <v>402</v>
      </c>
      <c r="H4" s="623">
        <f>Interims!U99</f>
        <v>401</v>
      </c>
      <c r="I4" s="623">
        <f>Interims!V99</f>
        <v>416</v>
      </c>
      <c r="J4" s="623">
        <f>Interims!W99</f>
        <v>446.1</v>
      </c>
      <c r="K4" s="623">
        <f>Interims!X99</f>
        <v>468</v>
      </c>
      <c r="L4" s="623">
        <f>Interims!Y99</f>
        <v>521</v>
      </c>
      <c r="M4" s="623">
        <f>Interims!Z99</f>
        <v>526</v>
      </c>
      <c r="N4" s="623">
        <f>Interims!AA99</f>
        <v>603</v>
      </c>
      <c r="O4" s="623">
        <f>Interims!AB99</f>
        <v>546.20000000000005</v>
      </c>
      <c r="P4" s="623">
        <f>Interims!AC99</f>
        <v>467.02300000000002</v>
      </c>
      <c r="Q4" s="623">
        <f>Interims!AD99</f>
        <v>509.8</v>
      </c>
      <c r="R4" s="623">
        <f>Interims!AE99</f>
        <v>418</v>
      </c>
      <c r="S4" s="623">
        <f>Interims!AF99</f>
        <v>435</v>
      </c>
      <c r="T4" s="623">
        <f>Interims!AG99</f>
        <v>420.28199999999998</v>
      </c>
      <c r="U4" s="623">
        <f>Interims!AH99</f>
        <v>437.8</v>
      </c>
    </row>
    <row r="5" spans="1:22">
      <c r="A5" s="154" t="s">
        <v>640</v>
      </c>
      <c r="B5" s="167"/>
      <c r="C5" s="167"/>
      <c r="D5" s="167"/>
      <c r="E5" s="167"/>
      <c r="F5" s="167">
        <f>Interims!S165</f>
        <v>207.81200000000001</v>
      </c>
      <c r="G5" s="167">
        <f>Interims!T165</f>
        <v>267.81799999999998</v>
      </c>
      <c r="H5" s="167">
        <f>Interims!U165</f>
        <v>211.00299999999999</v>
      </c>
      <c r="I5" s="167">
        <f>Interims!V165</f>
        <v>146.85599999999999</v>
      </c>
      <c r="J5" s="167">
        <f>Interims!W165</f>
        <v>235.34</v>
      </c>
      <c r="K5" s="167">
        <f>Interims!X165</f>
        <v>225.75900000000001</v>
      </c>
      <c r="L5" s="167">
        <f>Interims!Y165</f>
        <v>260.387</v>
      </c>
      <c r="M5" s="167">
        <f>Interims!Z165</f>
        <v>168.96499999999997</v>
      </c>
      <c r="N5" s="167">
        <f>Interims!AA165</f>
        <v>296.25899999999996</v>
      </c>
      <c r="O5" s="167">
        <f>Interims!AB165</f>
        <v>262.13899999999995</v>
      </c>
      <c r="P5" s="167">
        <f>Interims!AC165</f>
        <v>197.96099999999998</v>
      </c>
      <c r="Q5" s="167">
        <f>Interims!AD165</f>
        <v>237.131</v>
      </c>
      <c r="R5" s="167">
        <f>Interims!AE165</f>
        <v>146.72</v>
      </c>
      <c r="S5" s="167">
        <f>Interims!AF165</f>
        <v>209.16000000000003</v>
      </c>
      <c r="T5" s="167">
        <f>Interims!AG165</f>
        <v>203.97299999999998</v>
      </c>
      <c r="U5" s="167">
        <f>Interims!AH165</f>
        <v>205.10800000000003</v>
      </c>
      <c r="V5" s="167" t="s">
        <v>640</v>
      </c>
    </row>
    <row r="6" spans="1:22">
      <c r="A6" s="154" t="s">
        <v>316</v>
      </c>
      <c r="B6" s="623"/>
      <c r="C6" s="623"/>
      <c r="D6" s="623"/>
      <c r="E6" s="623"/>
      <c r="F6" s="623">
        <f>Interims!S170</f>
        <v>94</v>
      </c>
      <c r="G6" s="623">
        <f>Interims!T170</f>
        <v>76</v>
      </c>
      <c r="H6" s="623">
        <f>Interims!U170</f>
        <v>82</v>
      </c>
      <c r="I6" s="623">
        <f>Interims!V170</f>
        <v>151</v>
      </c>
      <c r="J6" s="623">
        <f>Interims!W170</f>
        <v>117</v>
      </c>
      <c r="K6" s="623">
        <f>Interims!X170</f>
        <v>147</v>
      </c>
      <c r="L6" s="623">
        <f>Interims!Y170</f>
        <v>174</v>
      </c>
      <c r="M6" s="623">
        <f>Interims!Z170</f>
        <v>196</v>
      </c>
      <c r="N6" s="623">
        <f>Interims!AA170</f>
        <v>153</v>
      </c>
      <c r="O6" s="623">
        <f>Interims!AB170</f>
        <v>202</v>
      </c>
      <c r="P6" s="623">
        <f>Interims!AC170</f>
        <v>101</v>
      </c>
      <c r="Q6" s="623">
        <f>Interims!AD170</f>
        <v>131</v>
      </c>
      <c r="R6" s="623">
        <f>Interims!AE170</f>
        <v>53</v>
      </c>
      <c r="S6" s="623">
        <f>Interims!AF170</f>
        <v>54</v>
      </c>
      <c r="T6" s="623">
        <f>Interims!AG170</f>
        <v>66</v>
      </c>
      <c r="U6" s="623">
        <f>Interims!AH170</f>
        <v>83</v>
      </c>
    </row>
    <row r="7" spans="1:22">
      <c r="A7" s="947" t="s">
        <v>57</v>
      </c>
      <c r="B7" s="948"/>
      <c r="C7" s="948"/>
      <c r="D7" s="948"/>
      <c r="E7" s="948"/>
      <c r="F7" s="948">
        <f t="shared" ref="F7:R7" si="0">F5-F6</f>
        <v>113.81200000000001</v>
      </c>
      <c r="G7" s="948">
        <f t="shared" si="0"/>
        <v>191.81799999999998</v>
      </c>
      <c r="H7" s="948">
        <f t="shared" si="0"/>
        <v>129.00299999999999</v>
      </c>
      <c r="I7" s="948">
        <f t="shared" si="0"/>
        <v>-4.1440000000000055</v>
      </c>
      <c r="J7" s="948">
        <f t="shared" si="0"/>
        <v>118.34</v>
      </c>
      <c r="K7" s="948">
        <f t="shared" si="0"/>
        <v>78.759000000000015</v>
      </c>
      <c r="L7" s="948">
        <f t="shared" si="0"/>
        <v>86.387</v>
      </c>
      <c r="M7" s="948">
        <f t="shared" si="0"/>
        <v>-27.035000000000025</v>
      </c>
      <c r="N7" s="948">
        <f t="shared" si="0"/>
        <v>143.25899999999996</v>
      </c>
      <c r="O7" s="948">
        <f t="shared" si="0"/>
        <v>60.138999999999953</v>
      </c>
      <c r="P7" s="948">
        <f t="shared" si="0"/>
        <v>96.960999999999984</v>
      </c>
      <c r="Q7" s="948">
        <f t="shared" si="0"/>
        <v>106.131</v>
      </c>
      <c r="R7" s="948">
        <f t="shared" si="0"/>
        <v>93.72</v>
      </c>
      <c r="S7" s="948">
        <f t="shared" ref="S7:T7" si="1">S5-S6</f>
        <v>155.16000000000003</v>
      </c>
      <c r="T7" s="948">
        <f t="shared" si="1"/>
        <v>137.97299999999998</v>
      </c>
      <c r="U7" s="948">
        <f t="shared" ref="U7" si="2">U5-U6</f>
        <v>122.10800000000003</v>
      </c>
    </row>
    <row r="8" spans="1:22">
      <c r="A8" s="154" t="s">
        <v>1072</v>
      </c>
      <c r="B8" s="621"/>
      <c r="C8" s="621"/>
      <c r="D8" s="621"/>
      <c r="E8" s="621"/>
      <c r="F8" s="621">
        <v>-64.959999999999994</v>
      </c>
      <c r="G8" s="621">
        <v>-8.3879999999999999</v>
      </c>
      <c r="H8" s="621">
        <v>-70.05</v>
      </c>
      <c r="I8" s="621">
        <f>-168.285-F8-G8-H8</f>
        <v>-24.887</v>
      </c>
      <c r="J8" s="621">
        <v>-54.097999999999999</v>
      </c>
      <c r="K8" s="621">
        <v>-50.570999999999998</v>
      </c>
      <c r="L8" s="621">
        <v>-69.069999999999993</v>
      </c>
      <c r="M8" s="621">
        <f>-234.567-J8-K8-L8</f>
        <v>-60.828000000000003</v>
      </c>
      <c r="N8" s="621">
        <v>-68.503</v>
      </c>
      <c r="O8" s="621">
        <v>-76.42</v>
      </c>
      <c r="P8" s="621">
        <v>-79.173000000000002</v>
      </c>
      <c r="Q8" s="621">
        <f>-299.029-N8-O8-P8</f>
        <v>-74.932999999999993</v>
      </c>
      <c r="R8" s="621">
        <v>-81.334000000000003</v>
      </c>
      <c r="S8" s="621">
        <v>-84.63</v>
      </c>
      <c r="T8" s="621"/>
      <c r="U8" s="621"/>
    </row>
    <row r="9" spans="1:22">
      <c r="A9" s="154" t="s">
        <v>1073</v>
      </c>
      <c r="B9" s="621"/>
      <c r="C9" s="621"/>
      <c r="D9" s="621"/>
      <c r="E9" s="621"/>
      <c r="F9" s="621">
        <v>-4.3369999999999997</v>
      </c>
      <c r="G9" s="621">
        <v>-15.048999999999999</v>
      </c>
      <c r="H9" s="621">
        <v>-4.78</v>
      </c>
      <c r="I9" s="621">
        <f>-29.147-F9-G9-H9</f>
        <v>-4.980999999999999</v>
      </c>
      <c r="J9" s="621">
        <v>-16.099</v>
      </c>
      <c r="K9" s="621">
        <v>-23.902999999999999</v>
      </c>
      <c r="L9" s="621">
        <v>-6.452</v>
      </c>
      <c r="M9" s="621">
        <f>-51.245-J9-K9-L9</f>
        <v>-4.7910000000000021</v>
      </c>
      <c r="N9" s="621">
        <v>-14.443</v>
      </c>
      <c r="O9" s="621">
        <v>-19.513999999999999</v>
      </c>
      <c r="P9" s="621">
        <v>-8.4499999999999993</v>
      </c>
      <c r="Q9" s="621">
        <f>-45.411-N9-O9-P9</f>
        <v>-3.0040000000000049</v>
      </c>
      <c r="R9" s="621">
        <v>-13.141999999999999</v>
      </c>
      <c r="S9" s="621">
        <v>-15.374000000000001</v>
      </c>
      <c r="T9" s="621"/>
      <c r="U9" s="621"/>
    </row>
    <row r="10" spans="1:22">
      <c r="A10" s="154" t="s">
        <v>1074</v>
      </c>
      <c r="B10" s="621"/>
      <c r="C10" s="621"/>
      <c r="D10" s="621"/>
      <c r="E10" s="621"/>
      <c r="F10" s="621">
        <v>-10.914999999999999</v>
      </c>
      <c r="G10" s="621">
        <v>-35.539000000000001</v>
      </c>
      <c r="H10" s="621">
        <v>-5.1829999999999998</v>
      </c>
      <c r="I10" s="621">
        <f>-69.827-F10-G10-H10</f>
        <v>-18.189999999999998</v>
      </c>
      <c r="J10" s="621">
        <v>-68.950999999999993</v>
      </c>
      <c r="K10" s="621">
        <v>-22.158000000000001</v>
      </c>
      <c r="L10" s="621">
        <v>23.213999999999999</v>
      </c>
      <c r="M10" s="621">
        <f>-46.24-J10-K10-L10</f>
        <v>21.654999999999994</v>
      </c>
      <c r="N10" s="621">
        <v>-86.346000000000004</v>
      </c>
      <c r="O10" s="621">
        <v>-40.283999999999999</v>
      </c>
      <c r="P10" s="621">
        <v>2.355</v>
      </c>
      <c r="Q10" s="621">
        <f>-224.982-N10-O10-P10</f>
        <v>-100.70700000000001</v>
      </c>
      <c r="R10" s="621">
        <f>-96.62</f>
        <v>-96.62</v>
      </c>
      <c r="S10" s="621">
        <v>-95.203000000000003</v>
      </c>
      <c r="T10" s="621"/>
      <c r="U10" s="621"/>
    </row>
    <row r="11" spans="1:22">
      <c r="A11" s="947" t="s">
        <v>1075</v>
      </c>
      <c r="B11" s="948"/>
      <c r="C11" s="948"/>
      <c r="D11" s="948"/>
      <c r="E11" s="948"/>
      <c r="F11" s="948">
        <f t="shared" ref="F11:R11" si="3">SUM(F7:F10)</f>
        <v>33.600000000000016</v>
      </c>
      <c r="G11" s="948">
        <f t="shared" si="3"/>
        <v>132.84199999999998</v>
      </c>
      <c r="H11" s="948">
        <f t="shared" si="3"/>
        <v>48.989999999999988</v>
      </c>
      <c r="I11" s="948">
        <f t="shared" si="3"/>
        <v>-52.202000000000005</v>
      </c>
      <c r="J11" s="948">
        <f t="shared" si="3"/>
        <v>-20.807999999999993</v>
      </c>
      <c r="K11" s="948">
        <f t="shared" si="3"/>
        <v>-17.872999999999983</v>
      </c>
      <c r="L11" s="948">
        <f t="shared" si="3"/>
        <v>34.079000000000008</v>
      </c>
      <c r="M11" s="948">
        <f t="shared" si="3"/>
        <v>-70.999000000000024</v>
      </c>
      <c r="N11" s="948">
        <f t="shared" si="3"/>
        <v>-26.033000000000044</v>
      </c>
      <c r="O11" s="948">
        <f t="shared" si="3"/>
        <v>-76.079000000000036</v>
      </c>
      <c r="P11" s="948">
        <f t="shared" si="3"/>
        <v>11.692999999999984</v>
      </c>
      <c r="Q11" s="948">
        <f t="shared" si="3"/>
        <v>-72.513000000000005</v>
      </c>
      <c r="R11" s="948">
        <f t="shared" si="3"/>
        <v>-97.376000000000005</v>
      </c>
      <c r="S11" s="948">
        <f t="shared" ref="S11:T11" si="4">SUM(S7:S10)</f>
        <v>-40.046999999999976</v>
      </c>
      <c r="T11" s="948">
        <f t="shared" si="4"/>
        <v>137.97299999999998</v>
      </c>
      <c r="U11" s="948">
        <f t="shared" ref="U11" si="5">SUM(U7:U10)</f>
        <v>122.10800000000003</v>
      </c>
    </row>
    <row r="12" spans="1:22">
      <c r="A12" s="154" t="s">
        <v>1076</v>
      </c>
      <c r="B12" s="621"/>
      <c r="C12" s="621"/>
      <c r="D12" s="621"/>
      <c r="E12" s="621"/>
      <c r="F12" s="623">
        <f>Interims!S206-Interims!S210</f>
        <v>1612.575</v>
      </c>
      <c r="G12" s="623">
        <f>Interims!T206-Interims!T210</f>
        <v>1679.431</v>
      </c>
      <c r="H12" s="623">
        <f>Interims!U206-Interims!U210</f>
        <v>1644.942</v>
      </c>
      <c r="I12" s="623">
        <f>Interims!V206-Interims!V210</f>
        <v>1692.8989999999999</v>
      </c>
      <c r="J12" s="623">
        <f>Interims!W206-Interims!W210</f>
        <v>2138.973</v>
      </c>
      <c r="K12" s="623">
        <f>Interims!X206-Interims!X210</f>
        <v>2684.1289999999999</v>
      </c>
      <c r="L12" s="623">
        <f>Interims!Y206-Interims!Y210</f>
        <v>2756.098</v>
      </c>
      <c r="M12" s="623">
        <f>Interims!Z206-Interims!Z210</f>
        <v>2830.471</v>
      </c>
      <c r="N12" s="623">
        <f>Interims!AA206-Interims!AA210</f>
        <v>2941.9970000000003</v>
      </c>
      <c r="O12" s="623">
        <f>Interims!AB206-Interims!AB210</f>
        <v>3032.5610000000001</v>
      </c>
      <c r="P12" s="623">
        <f>Interims!AC206-Interims!AC210</f>
        <v>3117.0940000000001</v>
      </c>
      <c r="Q12" s="623">
        <f>Interims!AD206-Interims!AD210</f>
        <v>3217.0059999999999</v>
      </c>
      <c r="R12" s="623">
        <f>Interims!AE206-Interims!AE210</f>
        <v>3135.3220000000001</v>
      </c>
      <c r="S12" s="623">
        <f>Interims!AF206-Interims!AF210</f>
        <v>3134.2420000000002</v>
      </c>
      <c r="T12" s="623">
        <f>Interims!AG206-Interims!AG210</f>
        <v>3133.817</v>
      </c>
      <c r="U12" s="623">
        <f>Interims!AH206-Interims!AH210</f>
        <v>2770.4560000000001</v>
      </c>
    </row>
    <row r="13" spans="1:22">
      <c r="A13" s="154" t="s">
        <v>55</v>
      </c>
      <c r="B13" s="167"/>
      <c r="C13" s="167"/>
      <c r="D13" s="167"/>
      <c r="E13" s="167"/>
      <c r="F13" s="167">
        <f t="shared" ref="F13:U13" si="6">F12-E12</f>
        <v>1612.575</v>
      </c>
      <c r="G13" s="167">
        <f t="shared" si="6"/>
        <v>66.855999999999995</v>
      </c>
      <c r="H13" s="167">
        <f t="shared" si="6"/>
        <v>-34.489000000000033</v>
      </c>
      <c r="I13" s="167">
        <f t="shared" si="6"/>
        <v>47.95699999999988</v>
      </c>
      <c r="J13" s="167">
        <f t="shared" si="6"/>
        <v>446.07400000000007</v>
      </c>
      <c r="K13" s="167">
        <f t="shared" si="6"/>
        <v>545.15599999999995</v>
      </c>
      <c r="L13" s="167">
        <f t="shared" si="6"/>
        <v>71.969000000000051</v>
      </c>
      <c r="M13" s="167">
        <f t="shared" si="6"/>
        <v>74.373000000000047</v>
      </c>
      <c r="N13" s="167">
        <f t="shared" si="6"/>
        <v>111.52600000000029</v>
      </c>
      <c r="O13" s="167">
        <f t="shared" si="6"/>
        <v>90.563999999999851</v>
      </c>
      <c r="P13" s="167">
        <f t="shared" si="6"/>
        <v>84.532999999999902</v>
      </c>
      <c r="Q13" s="167">
        <f t="shared" si="6"/>
        <v>99.911999999999807</v>
      </c>
      <c r="R13" s="167">
        <f t="shared" si="6"/>
        <v>-81.683999999999742</v>
      </c>
      <c r="S13" s="167">
        <f t="shared" si="6"/>
        <v>-1.0799999999999272</v>
      </c>
      <c r="T13" s="167">
        <f t="shared" si="6"/>
        <v>-0.4250000000001819</v>
      </c>
      <c r="U13" s="167">
        <f t="shared" si="6"/>
        <v>-363.36099999999988</v>
      </c>
    </row>
    <row r="14" spans="1:22">
      <c r="A14" s="154"/>
      <c r="B14" s="154"/>
      <c r="C14" s="154"/>
      <c r="D14" s="154"/>
      <c r="E14" s="154"/>
      <c r="F14" s="154"/>
      <c r="G14" s="154"/>
      <c r="H14" s="154"/>
      <c r="I14" s="154"/>
      <c r="J14" s="154"/>
      <c r="K14" s="154"/>
      <c r="L14" s="154"/>
      <c r="M14" s="154"/>
      <c r="N14" s="154"/>
      <c r="O14" s="154"/>
      <c r="P14" s="154"/>
      <c r="Q14" s="154"/>
      <c r="R14" s="154"/>
      <c r="S14" s="154"/>
      <c r="T14" s="154"/>
      <c r="U14" s="154"/>
    </row>
    <row r="15" spans="1:22">
      <c r="A15" s="154" t="s">
        <v>9</v>
      </c>
      <c r="B15" s="167"/>
      <c r="C15" s="167"/>
      <c r="D15" s="167"/>
      <c r="E15" s="167"/>
      <c r="F15" s="167">
        <f>Interims!S128</f>
        <v>215</v>
      </c>
      <c r="G15" s="167">
        <f>Interims!T128</f>
        <v>275</v>
      </c>
      <c r="H15" s="167">
        <f>Interims!U128</f>
        <v>220</v>
      </c>
      <c r="I15" s="167">
        <f>Interims!V128</f>
        <v>217</v>
      </c>
      <c r="J15" s="167">
        <f>Interims!W128</f>
        <v>244.9</v>
      </c>
      <c r="K15" s="167">
        <f>Interims!X128</f>
        <v>239</v>
      </c>
      <c r="L15" s="167">
        <f>Interims!Y128</f>
        <v>274.39999999999998</v>
      </c>
      <c r="M15" s="167">
        <f>Interims!Z128</f>
        <v>273</v>
      </c>
      <c r="N15" s="167">
        <f>Interims!AA128</f>
        <v>335</v>
      </c>
      <c r="O15" s="167">
        <f>Interims!AB128</f>
        <v>303.7</v>
      </c>
      <c r="P15" s="167">
        <f>Interims!AC128</f>
        <v>238.102</v>
      </c>
      <c r="Q15" s="167">
        <f>Interims!AD128</f>
        <v>274.2</v>
      </c>
      <c r="R15" s="167">
        <f>Interims!AE128</f>
        <v>185</v>
      </c>
      <c r="S15" s="167">
        <f>Interims!AF128</f>
        <v>251</v>
      </c>
      <c r="T15" s="167">
        <f>Interims!AG128</f>
        <v>245.97499999999999</v>
      </c>
      <c r="U15" s="167">
        <f>Interims!AH128</f>
        <v>246.4</v>
      </c>
    </row>
    <row r="16" spans="1:22">
      <c r="A16" s="154" t="s">
        <v>1077</v>
      </c>
      <c r="B16" s="460"/>
      <c r="C16" s="460"/>
      <c r="D16" s="460"/>
      <c r="E16" s="460"/>
      <c r="F16" s="460">
        <f t="shared" ref="F16:S16" si="7">F17+F18</f>
        <v>7.1879999999999997</v>
      </c>
      <c r="G16" s="460">
        <f t="shared" si="7"/>
        <v>7.1820000000000004</v>
      </c>
      <c r="H16" s="460">
        <f t="shared" si="7"/>
        <v>8.9969999999999999</v>
      </c>
      <c r="I16" s="460">
        <f t="shared" si="7"/>
        <v>70.144000000000005</v>
      </c>
      <c r="J16" s="460">
        <f t="shared" si="7"/>
        <v>9.56</v>
      </c>
      <c r="K16" s="460">
        <f t="shared" si="7"/>
        <v>13.241</v>
      </c>
      <c r="L16" s="460">
        <f t="shared" si="7"/>
        <v>14.013</v>
      </c>
      <c r="M16" s="460">
        <f t="shared" si="7"/>
        <v>104.035</v>
      </c>
      <c r="N16" s="460">
        <f t="shared" si="7"/>
        <v>38.741</v>
      </c>
      <c r="O16" s="460">
        <f t="shared" si="7"/>
        <v>41.560999999999993</v>
      </c>
      <c r="P16" s="460">
        <f t="shared" si="7"/>
        <v>40.141000000000005</v>
      </c>
      <c r="Q16" s="460">
        <f t="shared" si="7"/>
        <v>37.069000000000003</v>
      </c>
      <c r="R16" s="460">
        <f t="shared" si="7"/>
        <v>38.28</v>
      </c>
      <c r="S16" s="460">
        <f t="shared" si="7"/>
        <v>41.839999999999996</v>
      </c>
      <c r="T16" s="460">
        <f t="shared" ref="T16:U16" si="8">T17+T18</f>
        <v>42.001999999999995</v>
      </c>
      <c r="U16" s="460">
        <f t="shared" si="8"/>
        <v>41.291999999999994</v>
      </c>
    </row>
    <row r="17" spans="1:22">
      <c r="A17" s="154" t="s">
        <v>1078</v>
      </c>
      <c r="B17" s="167"/>
      <c r="C17" s="167"/>
      <c r="D17" s="167"/>
      <c r="E17" s="167"/>
      <c r="F17" s="167">
        <f>Interims!S163</f>
        <v>7.1879999999999997</v>
      </c>
      <c r="G17" s="167">
        <f>Interims!T163</f>
        <v>7.1820000000000004</v>
      </c>
      <c r="H17" s="167">
        <f>Interims!U163</f>
        <v>8.9969999999999999</v>
      </c>
      <c r="I17" s="167">
        <f>Interims!V163</f>
        <v>9.4589999999999996</v>
      </c>
      <c r="J17" s="167">
        <f>Interims!W163</f>
        <v>9.56</v>
      </c>
      <c r="K17" s="167">
        <f>Interims!X163</f>
        <v>13.241</v>
      </c>
      <c r="L17" s="167">
        <f>Interims!Y163</f>
        <v>14.013</v>
      </c>
      <c r="M17" s="167">
        <f>Interims!Z163</f>
        <v>15.420000000000003</v>
      </c>
      <c r="N17" s="167">
        <f>Interims!AA163</f>
        <v>14.768000000000001</v>
      </c>
      <c r="O17" s="167">
        <f>Interims!AB163</f>
        <v>16.306999999999999</v>
      </c>
      <c r="P17" s="167">
        <f>Interims!AC163</f>
        <v>16.120999999999999</v>
      </c>
      <c r="Q17" s="167">
        <f>Interims!AD163</f>
        <v>14.420999999999996</v>
      </c>
      <c r="R17" s="167">
        <f>Interims!AE163</f>
        <v>15.718</v>
      </c>
      <c r="S17" s="167">
        <f>Interims!AF163</f>
        <v>18.306999999999999</v>
      </c>
      <c r="T17" s="167">
        <f>Interims!AG163</f>
        <v>17.001999999999999</v>
      </c>
      <c r="U17" s="167">
        <f>Interims!AH163</f>
        <v>17.004000000000001</v>
      </c>
    </row>
    <row r="18" spans="1:22">
      <c r="A18" s="154" t="s">
        <v>297</v>
      </c>
      <c r="B18" s="167"/>
      <c r="C18" s="167"/>
      <c r="D18" s="167"/>
      <c r="E18" s="167"/>
      <c r="F18" s="167">
        <f>Interims!S164</f>
        <v>0</v>
      </c>
      <c r="G18" s="167">
        <f>Interims!T164</f>
        <v>0</v>
      </c>
      <c r="H18" s="167">
        <f>Interims!U164</f>
        <v>0</v>
      </c>
      <c r="I18" s="167">
        <f>Interims!V164</f>
        <v>60.685000000000002</v>
      </c>
      <c r="J18" s="167">
        <f>Interims!W164</f>
        <v>0</v>
      </c>
      <c r="K18" s="167">
        <f>Interims!X164</f>
        <v>0</v>
      </c>
      <c r="L18" s="167">
        <f>Interims!Y164</f>
        <v>0</v>
      </c>
      <c r="M18" s="167">
        <f>Interims!Z164</f>
        <v>88.614999999999995</v>
      </c>
      <c r="N18" s="167">
        <f>Interims!AA164</f>
        <v>23.972999999999999</v>
      </c>
      <c r="O18" s="167">
        <f>Interims!AB164</f>
        <v>25.253999999999998</v>
      </c>
      <c r="P18" s="167">
        <f>Interims!AC164</f>
        <v>24.020000000000003</v>
      </c>
      <c r="Q18" s="167">
        <f>Interims!AD164</f>
        <v>22.648000000000003</v>
      </c>
      <c r="R18" s="167">
        <f>Interims!AE164</f>
        <v>22.562000000000001</v>
      </c>
      <c r="S18" s="167">
        <f>Interims!AF164</f>
        <v>23.532999999999998</v>
      </c>
      <c r="T18" s="167">
        <f>Interims!AG164</f>
        <v>25</v>
      </c>
      <c r="U18" s="167">
        <f>Interims!AH164</f>
        <v>24.287999999999993</v>
      </c>
    </row>
    <row r="19" spans="1:22">
      <c r="A19" s="154"/>
      <c r="B19" s="154"/>
      <c r="C19" s="154"/>
      <c r="D19" s="154"/>
      <c r="E19" s="154"/>
      <c r="F19" s="154"/>
      <c r="G19" s="154"/>
      <c r="H19" s="154"/>
      <c r="I19" s="154"/>
      <c r="J19" s="167"/>
      <c r="K19" s="167"/>
      <c r="L19" s="167"/>
      <c r="M19" s="167"/>
      <c r="N19" s="167"/>
      <c r="O19" s="167"/>
      <c r="P19" s="167"/>
      <c r="Q19" s="167"/>
      <c r="R19" s="167"/>
      <c r="S19" s="167"/>
      <c r="T19" s="167"/>
      <c r="U19" s="167"/>
    </row>
    <row r="20" spans="1:22">
      <c r="A20" s="154" t="s">
        <v>1079</v>
      </c>
      <c r="B20" s="623"/>
      <c r="C20" s="623"/>
      <c r="D20" s="623"/>
      <c r="E20" s="623"/>
      <c r="F20" s="621">
        <f>-27.27-3.502-63.199-0.25</f>
        <v>-94.221000000000004</v>
      </c>
      <c r="G20" s="621">
        <f>-49.975-4.674-21.093-0.307</f>
        <v>-76.049000000000007</v>
      </c>
      <c r="H20" s="621">
        <f>-56.503-2.427-22.251-0.42</f>
        <v>-81.600999999999999</v>
      </c>
      <c r="I20" s="621">
        <f>-238.145-159.276-5.054-F20-G20-H20</f>
        <v>-150.60400000000001</v>
      </c>
      <c r="J20" s="621">
        <f>-65.876-50.839-0.288</f>
        <v>-117.003</v>
      </c>
      <c r="K20" s="621">
        <f>-96.98-37.074-12.716</f>
        <v>-146.77000000000001</v>
      </c>
      <c r="L20" s="621">
        <f>-122.011-51.87-0.234</f>
        <v>-174.11500000000001</v>
      </c>
      <c r="M20" s="621">
        <f>-378.521-165.154-15.695-J20-K20-L20</f>
        <v>-121.48199999999997</v>
      </c>
      <c r="N20" s="621">
        <f>-105.417-35.802-7.252</f>
        <v>-148.471</v>
      </c>
      <c r="O20" s="621">
        <f>-163.185-34.346-8.924</f>
        <v>-206.45500000000001</v>
      </c>
      <c r="P20" s="621">
        <f>-124.413-18.772-3.494</f>
        <v>-146.679</v>
      </c>
      <c r="Q20" s="621">
        <f>-464.897-111.065-22.811-N20-O20-P20</f>
        <v>-97.168000000000006</v>
      </c>
      <c r="R20" s="621">
        <f>-61.031-4.343-1.643</f>
        <v>-67.016999999999996</v>
      </c>
      <c r="S20" s="621">
        <f>-60.503-1.508-1.086</f>
        <v>-63.097000000000001</v>
      </c>
      <c r="T20" s="621"/>
      <c r="U20" s="621"/>
    </row>
    <row r="21" spans="1:22">
      <c r="A21" s="154" t="s">
        <v>1080</v>
      </c>
      <c r="B21" s="621"/>
      <c r="C21" s="621"/>
      <c r="D21" s="621"/>
      <c r="E21" s="621"/>
      <c r="F21" s="621">
        <v>0</v>
      </c>
      <c r="G21" s="621">
        <v>0</v>
      </c>
      <c r="H21" s="621">
        <v>0</v>
      </c>
      <c r="I21" s="621">
        <v>0</v>
      </c>
      <c r="J21" s="621">
        <v>0</v>
      </c>
      <c r="K21" s="621">
        <v>0</v>
      </c>
      <c r="L21" s="621">
        <v>0</v>
      </c>
      <c r="M21" s="621">
        <v>0</v>
      </c>
      <c r="N21" s="621">
        <v>0</v>
      </c>
      <c r="O21" s="621">
        <v>0</v>
      </c>
      <c r="P21" s="621">
        <v>0</v>
      </c>
      <c r="Q21" s="621">
        <v>0</v>
      </c>
      <c r="R21" s="621">
        <v>0</v>
      </c>
      <c r="S21" s="621">
        <v>0</v>
      </c>
      <c r="T21" s="621"/>
      <c r="U21" s="621"/>
    </row>
    <row r="22" spans="1:22">
      <c r="A22" s="154"/>
      <c r="B22" s="154"/>
      <c r="C22" s="154"/>
      <c r="D22" s="154"/>
      <c r="E22" s="154"/>
      <c r="F22" s="154"/>
      <c r="G22" s="154"/>
      <c r="H22" s="154"/>
      <c r="I22" s="154"/>
      <c r="J22" s="167"/>
      <c r="K22" s="167"/>
      <c r="L22" s="167"/>
      <c r="M22" s="167"/>
      <c r="N22" s="167"/>
      <c r="O22" s="167"/>
      <c r="P22" s="167"/>
      <c r="Q22" s="167"/>
      <c r="R22" s="751"/>
      <c r="S22" s="751"/>
      <c r="T22" s="751"/>
      <c r="U22" s="751"/>
    </row>
    <row r="23" spans="1:22">
      <c r="A23" s="154"/>
      <c r="B23" s="154"/>
      <c r="C23" s="154"/>
      <c r="D23" s="154"/>
      <c r="E23" s="154"/>
      <c r="F23" s="154"/>
      <c r="G23" s="154"/>
      <c r="H23" s="154"/>
      <c r="I23" s="154"/>
      <c r="J23" s="154"/>
      <c r="K23" s="154"/>
      <c r="L23" s="154"/>
      <c r="M23" s="154"/>
      <c r="N23" s="154"/>
      <c r="O23" s="154"/>
      <c r="P23" s="154"/>
      <c r="Q23" s="154"/>
      <c r="R23" s="751"/>
      <c r="S23" s="751"/>
      <c r="T23" s="751"/>
      <c r="U23" s="751"/>
      <c r="V23" s="751"/>
    </row>
    <row r="24" spans="1:22" ht="15.75" thickBot="1">
      <c r="A24" s="945" t="s">
        <v>1081</v>
      </c>
      <c r="B24" s="946">
        <v>2023</v>
      </c>
      <c r="C24" s="946">
        <v>2024</v>
      </c>
      <c r="D24" s="946">
        <v>2025</v>
      </c>
      <c r="E24" s="946">
        <v>2026</v>
      </c>
      <c r="F24" s="946">
        <v>2027</v>
      </c>
      <c r="G24" s="946">
        <v>2028</v>
      </c>
      <c r="H24" s="946">
        <v>2029</v>
      </c>
      <c r="I24" s="946">
        <v>2030</v>
      </c>
      <c r="J24" s="946">
        <v>2031</v>
      </c>
      <c r="K24" s="946">
        <v>2032</v>
      </c>
      <c r="L24" s="946" t="s">
        <v>1082</v>
      </c>
      <c r="M24" s="154"/>
      <c r="N24" s="154"/>
      <c r="O24" s="154"/>
      <c r="P24" s="154"/>
      <c r="Q24" s="154"/>
      <c r="R24" s="751"/>
      <c r="S24" s="751"/>
      <c r="T24" s="751"/>
      <c r="U24" s="751"/>
      <c r="V24" s="751"/>
    </row>
    <row r="25" spans="1:22">
      <c r="A25" s="154" t="s">
        <v>1085</v>
      </c>
      <c r="B25" s="621"/>
      <c r="C25" s="621">
        <v>142</v>
      </c>
      <c r="D25" s="621">
        <v>568</v>
      </c>
      <c r="E25" s="621">
        <v>788</v>
      </c>
      <c r="F25" s="621">
        <v>1114</v>
      </c>
      <c r="G25" s="621">
        <v>636</v>
      </c>
      <c r="H25" s="621">
        <v>170</v>
      </c>
      <c r="I25" s="621">
        <v>65</v>
      </c>
      <c r="J25" s="621">
        <v>49</v>
      </c>
      <c r="K25" s="621">
        <v>11</v>
      </c>
      <c r="L25" s="621"/>
      <c r="M25" s="154"/>
      <c r="N25" s="154"/>
      <c r="O25" s="154"/>
      <c r="P25" s="154"/>
      <c r="Q25" s="154"/>
      <c r="R25" s="751"/>
      <c r="S25" s="751"/>
      <c r="T25" s="751"/>
      <c r="U25" s="751"/>
      <c r="V25" s="751"/>
    </row>
    <row r="26" spans="1:22">
      <c r="A26" s="154"/>
      <c r="B26" s="154"/>
      <c r="C26" s="154"/>
      <c r="D26" s="154"/>
      <c r="E26" s="154"/>
      <c r="F26" s="154"/>
      <c r="G26" s="154"/>
      <c r="H26" s="154"/>
      <c r="I26" s="154"/>
      <c r="J26" s="154"/>
      <c r="K26" s="154"/>
      <c r="L26" s="154"/>
      <c r="M26" s="154"/>
      <c r="N26" s="154"/>
      <c r="O26" s="154"/>
      <c r="P26" s="154"/>
      <c r="Q26" s="154"/>
      <c r="R26" s="751"/>
      <c r="S26" s="751"/>
      <c r="T26" s="751"/>
      <c r="U26" s="751"/>
      <c r="V26" s="75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397B7-50F3-4564-8C93-3A53FA179E6F}">
  <sheetPr codeName="Sheet13">
    <tabColor rgb="FF00B0F0"/>
  </sheetPr>
  <dimension ref="A1:AY336"/>
  <sheetViews>
    <sheetView showGridLines="0" zoomScale="72" zoomScaleNormal="72" workbookViewId="0">
      <pane xSplit="2" ySplit="4" topLeftCell="P5" activePane="bottomRight" state="frozen"/>
      <selection pane="topRight"/>
      <selection pane="bottomLeft"/>
      <selection pane="bottomRight"/>
    </sheetView>
  </sheetViews>
  <sheetFormatPr defaultRowHeight="15"/>
  <cols>
    <col min="1" max="1" width="1.5703125" customWidth="1"/>
    <col min="2" max="2" width="42.140625" customWidth="1"/>
  </cols>
  <sheetData>
    <row r="1" spans="1:51" ht="7.5" customHeight="1">
      <c r="A1" s="154"/>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row>
    <row r="2" spans="1:51" ht="15.75" thickBot="1">
      <c r="A2" s="154"/>
      <c r="B2" s="1020" t="s">
        <v>281</v>
      </c>
      <c r="C2" s="1021"/>
      <c r="D2" s="1021"/>
      <c r="E2" s="1021"/>
      <c r="F2" s="1021"/>
      <c r="G2" s="1021"/>
      <c r="H2" s="1021"/>
      <c r="I2" s="1021"/>
      <c r="J2" s="1021"/>
      <c r="K2" s="1021"/>
      <c r="L2" s="1021"/>
      <c r="M2" s="1021"/>
      <c r="N2" s="1021"/>
      <c r="O2" s="1021"/>
      <c r="P2" s="1021"/>
      <c r="Q2" s="1021"/>
      <c r="R2" s="1021"/>
      <c r="S2" s="1021"/>
      <c r="T2" s="1021"/>
      <c r="U2" s="1021"/>
      <c r="V2" s="1021"/>
      <c r="W2" s="1021"/>
      <c r="X2" s="1021"/>
      <c r="Y2" s="1021"/>
      <c r="Z2" s="1021"/>
      <c r="AA2" s="1021"/>
      <c r="AB2" s="1021"/>
      <c r="AC2" s="1021"/>
      <c r="AD2" s="1021"/>
      <c r="AE2" s="1021"/>
      <c r="AF2" s="1021"/>
      <c r="AG2" s="1021"/>
      <c r="AH2" s="1021"/>
      <c r="AI2" s="1021"/>
      <c r="AJ2" s="1021"/>
      <c r="AK2" s="1021"/>
      <c r="AL2" s="1021"/>
      <c r="AM2" s="1021"/>
      <c r="AN2" s="1021"/>
      <c r="AO2" s="154"/>
      <c r="AP2" s="154"/>
      <c r="AQ2" s="154"/>
      <c r="AR2" s="154"/>
      <c r="AS2" s="154"/>
      <c r="AT2" s="154"/>
      <c r="AU2" s="154"/>
      <c r="AV2" s="154"/>
      <c r="AW2" s="154"/>
      <c r="AX2" s="154"/>
      <c r="AY2" s="154"/>
    </row>
    <row r="3" spans="1:51" ht="15.75" thickTop="1">
      <c r="A3" s="154"/>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row>
    <row r="4" spans="1:51">
      <c r="A4" s="154"/>
      <c r="B4" s="961" t="s">
        <v>510</v>
      </c>
      <c r="C4" s="961">
        <v>1998</v>
      </c>
      <c r="D4" s="961">
        <v>1999</v>
      </c>
      <c r="E4" s="961">
        <v>2000</v>
      </c>
      <c r="F4" s="961">
        <v>2001</v>
      </c>
      <c r="G4" s="961">
        <v>2002</v>
      </c>
      <c r="H4" s="961">
        <v>2003</v>
      </c>
      <c r="I4" s="961">
        <v>2004</v>
      </c>
      <c r="J4" s="961">
        <v>2005</v>
      </c>
      <c r="K4" s="961">
        <v>2006</v>
      </c>
      <c r="L4" s="961">
        <v>2007</v>
      </c>
      <c r="M4" s="961">
        <v>2008</v>
      </c>
      <c r="N4" s="961">
        <v>2009</v>
      </c>
      <c r="O4" s="961">
        <v>2010</v>
      </c>
      <c r="P4" s="961">
        <v>2011</v>
      </c>
      <c r="Q4" s="961">
        <v>2012</v>
      </c>
      <c r="R4" s="961">
        <v>2013</v>
      </c>
      <c r="S4" s="961">
        <v>2014</v>
      </c>
      <c r="T4" s="961">
        <v>2015</v>
      </c>
      <c r="U4" s="961">
        <v>2016</v>
      </c>
      <c r="V4" s="961">
        <v>2017</v>
      </c>
      <c r="W4" s="961">
        <v>2018</v>
      </c>
      <c r="X4" s="961">
        <v>2019</v>
      </c>
      <c r="Y4" s="961">
        <v>2020</v>
      </c>
      <c r="Z4" s="961">
        <v>2021</v>
      </c>
      <c r="AA4" s="961">
        <v>2022</v>
      </c>
      <c r="AB4" s="961">
        <v>2023</v>
      </c>
      <c r="AC4" s="961">
        <v>2024</v>
      </c>
      <c r="AD4" s="961">
        <v>2025</v>
      </c>
      <c r="AE4" s="961">
        <v>2026</v>
      </c>
      <c r="AF4" s="961">
        <v>2027</v>
      </c>
      <c r="AG4" s="961">
        <v>2028</v>
      </c>
      <c r="AH4" s="961">
        <v>2029</v>
      </c>
      <c r="AI4" s="961">
        <v>2030</v>
      </c>
      <c r="AJ4" s="961">
        <v>2031</v>
      </c>
      <c r="AK4" s="961">
        <v>2032</v>
      </c>
      <c r="AL4" s="961">
        <v>2033</v>
      </c>
      <c r="AM4" s="961">
        <v>2034</v>
      </c>
      <c r="AN4" s="961">
        <v>2035</v>
      </c>
      <c r="AO4" s="154"/>
      <c r="AP4" s="154"/>
      <c r="AQ4" s="154"/>
      <c r="AR4" s="154"/>
      <c r="AS4" s="154"/>
      <c r="AT4" s="154"/>
      <c r="AU4" s="154"/>
      <c r="AV4" s="154"/>
      <c r="AW4" s="154"/>
      <c r="AX4" s="154"/>
      <c r="AY4" s="154"/>
    </row>
    <row r="5" spans="1:51">
      <c r="A5" s="154"/>
      <c r="B5" s="1022" t="s">
        <v>511</v>
      </c>
      <c r="C5" s="1023"/>
      <c r="D5" s="1023"/>
      <c r="E5" s="1023"/>
      <c r="F5" s="1023"/>
      <c r="G5" s="1023"/>
      <c r="H5" s="1023"/>
      <c r="I5" s="1023"/>
      <c r="J5" s="1023"/>
      <c r="K5" s="1023"/>
      <c r="L5" s="1023"/>
      <c r="M5" s="1023"/>
      <c r="N5" s="1023"/>
      <c r="O5" s="1023"/>
      <c r="P5" s="1023"/>
      <c r="Q5" s="1023"/>
      <c r="R5" s="1023"/>
      <c r="S5" s="1023"/>
      <c r="T5" s="1023"/>
      <c r="U5" s="1023"/>
      <c r="V5" s="1023"/>
      <c r="W5" s="1023"/>
      <c r="X5" s="1023"/>
      <c r="Y5" s="1023"/>
      <c r="Z5" s="1023">
        <f>Valuation!E59</f>
        <v>321.50799999999998</v>
      </c>
      <c r="AA5" s="1023">
        <f>Valuation!F59</f>
        <v>330.96300000000002</v>
      </c>
      <c r="AB5" s="1023">
        <f>Valuation!G59</f>
        <v>333.17599999999999</v>
      </c>
      <c r="AC5" s="1023">
        <f>Valuation!H59</f>
        <v>333.06299999999999</v>
      </c>
      <c r="AD5" s="1023">
        <f>Valuation!I59</f>
        <v>326.61138709677419</v>
      </c>
      <c r="AE5" s="1023">
        <f>Valuation!J59</f>
        <v>318.54687096774194</v>
      </c>
      <c r="AF5" s="1023">
        <f>Valuation!K59</f>
        <v>308.86945161290322</v>
      </c>
      <c r="AG5" s="1023">
        <f>Valuation!L59</f>
        <v>297.57912903225804</v>
      </c>
      <c r="AH5" s="1023">
        <f>Valuation!M59</f>
        <v>284.67590322580645</v>
      </c>
      <c r="AI5" s="1023">
        <f>Valuation!N59</f>
        <v>270.1597741935484</v>
      </c>
      <c r="AJ5" s="1023">
        <f>Valuation!O59</f>
        <v>254.03074193548389</v>
      </c>
      <c r="AK5" s="1023">
        <f>Valuation!P59</f>
        <v>236.28880645161291</v>
      </c>
      <c r="AL5" s="1023">
        <f>Valuation!Q59</f>
        <v>216.9339677419355</v>
      </c>
      <c r="AM5" s="1023">
        <f>Valuation!R59</f>
        <v>195.96622580645163</v>
      </c>
      <c r="AN5" s="1023">
        <f>Valuation!S59</f>
        <v>173.38558064516133</v>
      </c>
      <c r="AO5" s="154"/>
      <c r="AP5" s="154"/>
      <c r="AQ5" s="154"/>
      <c r="AR5" s="154"/>
      <c r="AS5" s="154"/>
      <c r="AT5" s="154"/>
      <c r="AU5" s="154"/>
      <c r="AV5" s="154"/>
      <c r="AW5" s="154"/>
      <c r="AX5" s="154"/>
      <c r="AY5" s="154"/>
    </row>
    <row r="6" spans="1:51">
      <c r="A6" s="154"/>
      <c r="B6" s="1022" t="s">
        <v>512</v>
      </c>
      <c r="C6" s="1023"/>
      <c r="D6" s="1023"/>
      <c r="E6" s="1023"/>
      <c r="F6" s="1023"/>
      <c r="G6" s="1023"/>
      <c r="H6" s="1023"/>
      <c r="I6" s="1023"/>
      <c r="J6" s="1023"/>
      <c r="K6" s="1023"/>
      <c r="L6" s="1023"/>
      <c r="M6" s="1023"/>
      <c r="N6" s="1023"/>
      <c r="O6" s="1023"/>
      <c r="P6" s="1023"/>
      <c r="Q6" s="1023"/>
      <c r="R6" s="1023"/>
      <c r="S6" s="1023"/>
      <c r="T6" s="1023"/>
      <c r="U6" s="1023"/>
      <c r="V6" s="1023"/>
      <c r="W6" s="1023"/>
      <c r="X6" s="1023">
        <f>Master!F279</f>
        <v>147.05099999999999</v>
      </c>
      <c r="Y6" s="1023">
        <f>Master!G279</f>
        <v>294.10300000000001</v>
      </c>
      <c r="Z6" s="1023">
        <f>Master!H279</f>
        <v>301.185</v>
      </c>
      <c r="AA6" s="1023">
        <f>Master!I279</f>
        <v>330.96300000000002</v>
      </c>
      <c r="AB6" s="1023">
        <f>Master!J279</f>
        <v>333.17599999999999</v>
      </c>
      <c r="AC6" s="1023">
        <f>Master!K279</f>
        <v>333.06299999999999</v>
      </c>
      <c r="AD6" s="1023">
        <f>Master!L279</f>
        <v>326.61138709677419</v>
      </c>
      <c r="AE6" s="1023">
        <f>Master!M279</f>
        <v>318.54687096774194</v>
      </c>
      <c r="AF6" s="1023">
        <f>Master!N279</f>
        <v>308.86945161290322</v>
      </c>
      <c r="AG6" s="1023">
        <f>Master!O279</f>
        <v>297.57912903225804</v>
      </c>
      <c r="AH6" s="1023">
        <f>Master!P279</f>
        <v>284.67590322580645</v>
      </c>
      <c r="AI6" s="1023">
        <f>Master!Q279</f>
        <v>270.1597741935484</v>
      </c>
      <c r="AJ6" s="1023">
        <f>Master!R279</f>
        <v>254.03074193548389</v>
      </c>
      <c r="AK6" s="1023">
        <f>Master!S279</f>
        <v>236.28880645161291</v>
      </c>
      <c r="AL6" s="1023">
        <f>Master!T279</f>
        <v>216.9339677419355</v>
      </c>
      <c r="AM6" s="1023">
        <f>Master!U279</f>
        <v>195.96622580645163</v>
      </c>
      <c r="AN6" s="1023">
        <f>Master!V279</f>
        <v>173.38558064516133</v>
      </c>
      <c r="AO6" s="154"/>
      <c r="AP6" s="154"/>
      <c r="AQ6" s="154"/>
      <c r="AR6" s="154"/>
      <c r="AS6" s="154"/>
      <c r="AT6" s="154"/>
      <c r="AU6" s="154"/>
      <c r="AV6" s="154"/>
      <c r="AW6" s="154"/>
      <c r="AX6" s="154"/>
      <c r="AY6" s="154"/>
    </row>
    <row r="7" spans="1:51">
      <c r="A7" s="154"/>
      <c r="B7" s="1022" t="s">
        <v>513</v>
      </c>
      <c r="C7" s="1023"/>
      <c r="D7" s="1023"/>
      <c r="E7" s="1023"/>
      <c r="F7" s="1023"/>
      <c r="G7" s="1023"/>
      <c r="H7" s="1023"/>
      <c r="I7" s="1023"/>
      <c r="J7" s="1023"/>
      <c r="K7" s="1023"/>
      <c r="L7" s="1023"/>
      <c r="M7" s="1023"/>
      <c r="N7" s="1023"/>
      <c r="O7" s="1023"/>
      <c r="P7" s="1023"/>
      <c r="Q7" s="1023"/>
      <c r="R7" s="1023"/>
      <c r="S7" s="1023"/>
      <c r="T7" s="1023"/>
      <c r="U7" s="1023"/>
      <c r="V7" s="1023"/>
      <c r="W7" s="1023"/>
      <c r="X7" s="1023"/>
      <c r="Y7" s="1023"/>
      <c r="Z7" s="1023"/>
      <c r="AA7" s="1023"/>
      <c r="AB7" s="1023"/>
      <c r="AC7" s="1023"/>
      <c r="AD7" s="1023"/>
      <c r="AE7" s="1023"/>
      <c r="AF7" s="1023"/>
      <c r="AG7" s="1023"/>
      <c r="AH7" s="1023"/>
      <c r="AI7" s="1023"/>
      <c r="AJ7" s="1023"/>
      <c r="AK7" s="1023"/>
      <c r="AL7" s="1023"/>
      <c r="AM7" s="1023"/>
      <c r="AN7" s="1023"/>
      <c r="AO7" s="154"/>
      <c r="AP7" s="154"/>
      <c r="AQ7" s="154"/>
      <c r="AR7" s="154"/>
      <c r="AS7" s="154"/>
      <c r="AT7" s="154"/>
      <c r="AU7" s="154"/>
      <c r="AV7" s="154"/>
      <c r="AW7" s="154"/>
      <c r="AX7" s="154"/>
      <c r="AY7" s="154"/>
    </row>
    <row r="8" spans="1:51">
      <c r="A8" s="154"/>
      <c r="B8" s="1022" t="s">
        <v>514</v>
      </c>
      <c r="C8" s="1023"/>
      <c r="D8" s="1023"/>
      <c r="E8" s="1023"/>
      <c r="F8" s="1023"/>
      <c r="G8" s="1023"/>
      <c r="H8" s="1023"/>
      <c r="I8" s="1023"/>
      <c r="J8" s="1023"/>
      <c r="K8" s="1023"/>
      <c r="L8" s="1023"/>
      <c r="M8" s="1023"/>
      <c r="N8" s="1023"/>
      <c r="O8" s="1023"/>
      <c r="P8" s="1023"/>
      <c r="Q8" s="1023"/>
      <c r="R8" s="1023"/>
      <c r="S8" s="1023"/>
      <c r="T8" s="1023"/>
      <c r="U8" s="1023"/>
      <c r="V8" s="1023"/>
      <c r="W8" s="1023"/>
      <c r="X8" s="1023"/>
      <c r="Y8" s="1023"/>
      <c r="Z8" s="1023"/>
      <c r="AA8" s="1023"/>
      <c r="AB8" s="1023"/>
      <c r="AC8" s="1023"/>
      <c r="AD8" s="1023"/>
      <c r="AE8" s="1023"/>
      <c r="AF8" s="1023"/>
      <c r="AG8" s="1023"/>
      <c r="AH8" s="1023"/>
      <c r="AI8" s="1023"/>
      <c r="AJ8" s="1023"/>
      <c r="AK8" s="1023"/>
      <c r="AL8" s="1023"/>
      <c r="AM8" s="1023"/>
      <c r="AN8" s="1023"/>
      <c r="AO8" s="154"/>
      <c r="AP8" s="154"/>
      <c r="AQ8" s="154"/>
      <c r="AR8" s="154"/>
      <c r="AS8" s="154"/>
      <c r="AT8" s="154"/>
      <c r="AU8" s="154"/>
      <c r="AV8" s="154"/>
      <c r="AW8" s="154"/>
      <c r="AX8" s="154"/>
      <c r="AY8" s="154"/>
    </row>
    <row r="9" spans="1:51">
      <c r="A9" s="154"/>
      <c r="B9" s="1022" t="s">
        <v>515</v>
      </c>
      <c r="C9" s="1023"/>
      <c r="D9" s="1023"/>
      <c r="E9" s="1023"/>
      <c r="F9" s="1023"/>
      <c r="G9" s="1023"/>
      <c r="H9" s="1023"/>
      <c r="I9" s="1023"/>
      <c r="J9" s="1023"/>
      <c r="K9" s="1023"/>
      <c r="L9" s="1023"/>
      <c r="M9" s="1023"/>
      <c r="N9" s="1023"/>
      <c r="O9" s="1023"/>
      <c r="P9" s="1023"/>
      <c r="Q9" s="1023"/>
      <c r="R9" s="1023"/>
      <c r="S9" s="1023"/>
      <c r="T9" s="1023"/>
      <c r="U9" s="1023"/>
      <c r="V9" s="1023"/>
      <c r="W9" s="1023"/>
      <c r="X9" s="1023">
        <f>Master!F104</f>
        <v>1341.5700000000002</v>
      </c>
      <c r="Y9" s="1023">
        <f>Master!G104</f>
        <v>1932.54</v>
      </c>
      <c r="Z9" s="1023">
        <f>Master!H104</f>
        <v>2068.7030000000004</v>
      </c>
      <c r="AA9" s="1023">
        <f>Master!I104</f>
        <v>3435.8819999999996</v>
      </c>
      <c r="AB9" s="1023">
        <f>Master!J104</f>
        <v>3819.0180000000005</v>
      </c>
      <c r="AC9" s="1023">
        <f>Master!K104</f>
        <v>3322.5370000000003</v>
      </c>
      <c r="AD9" s="1023">
        <f>Master!L104</f>
        <v>3070.0781725287679</v>
      </c>
      <c r="AE9" s="1023">
        <f>Master!M104</f>
        <v>2965.3508340143267</v>
      </c>
      <c r="AF9" s="1023">
        <f>Master!N104</f>
        <v>2866.4014684416793</v>
      </c>
      <c r="AG9" s="1023">
        <f>Master!O104</f>
        <v>2793.3927381522021</v>
      </c>
      <c r="AH9" s="1023">
        <f>Master!P104</f>
        <v>2705.3939613646803</v>
      </c>
      <c r="AI9" s="1023">
        <f>Master!Q104</f>
        <v>2612.8080709449619</v>
      </c>
      <c r="AJ9" s="1023">
        <f>Master!R104</f>
        <v>2500.9905994082874</v>
      </c>
      <c r="AK9" s="1023">
        <f>Master!S104</f>
        <v>2390.5782257287779</v>
      </c>
      <c r="AL9" s="1023">
        <f>Master!T104</f>
        <v>2255.6197162505382</v>
      </c>
      <c r="AM9" s="1023">
        <f>Master!U104</f>
        <v>2107.2223508271968</v>
      </c>
      <c r="AN9" s="1023">
        <f>Master!V104</f>
        <v>1958.545581749976</v>
      </c>
      <c r="AO9" s="154"/>
      <c r="AP9" s="154"/>
      <c r="AQ9" s="154"/>
      <c r="AR9" s="154"/>
      <c r="AS9" s="154"/>
      <c r="AT9" s="154"/>
      <c r="AU9" s="154"/>
      <c r="AV9" s="154"/>
      <c r="AW9" s="154"/>
      <c r="AX9" s="154"/>
      <c r="AY9" s="154"/>
    </row>
    <row r="10" spans="1:51">
      <c r="A10" s="154"/>
      <c r="B10" s="1022" t="s">
        <v>516</v>
      </c>
      <c r="C10" s="1023"/>
      <c r="D10" s="1023"/>
      <c r="E10" s="1023"/>
      <c r="F10" s="1023"/>
      <c r="G10" s="1023"/>
      <c r="H10" s="1023"/>
      <c r="I10" s="1023"/>
      <c r="J10" s="1023"/>
      <c r="K10" s="1023"/>
      <c r="L10" s="1023"/>
      <c r="M10" s="1023"/>
      <c r="N10" s="1023"/>
      <c r="O10" s="1023"/>
      <c r="P10" s="1023"/>
      <c r="Q10" s="1023"/>
      <c r="R10" s="1023"/>
      <c r="S10" s="1023"/>
      <c r="T10" s="1023"/>
      <c r="U10" s="1023"/>
      <c r="V10" s="1023"/>
      <c r="W10" s="1023"/>
      <c r="X10" s="1023"/>
      <c r="Y10" s="1023"/>
      <c r="Z10" s="1023"/>
      <c r="AA10" s="1023"/>
      <c r="AB10" s="1023"/>
      <c r="AC10" s="1023"/>
      <c r="AD10" s="1023"/>
      <c r="AE10" s="1023"/>
      <c r="AF10" s="1023"/>
      <c r="AG10" s="1023"/>
      <c r="AH10" s="1023"/>
      <c r="AI10" s="1023"/>
      <c r="AJ10" s="1023"/>
      <c r="AK10" s="1023"/>
      <c r="AL10" s="1023"/>
      <c r="AM10" s="1023"/>
      <c r="AN10" s="1023"/>
      <c r="AO10" s="154"/>
      <c r="AP10" s="154"/>
      <c r="AQ10" s="154"/>
      <c r="AR10" s="154"/>
      <c r="AS10" s="154"/>
      <c r="AT10" s="154"/>
      <c r="AU10" s="154"/>
      <c r="AV10" s="154"/>
      <c r="AW10" s="154"/>
      <c r="AX10" s="154"/>
      <c r="AY10" s="154"/>
    </row>
    <row r="11" spans="1:51">
      <c r="A11" s="154"/>
      <c r="B11" s="1022" t="s">
        <v>517</v>
      </c>
      <c r="C11" s="1023"/>
      <c r="D11" s="1023"/>
      <c r="E11" s="1023"/>
      <c r="F11" s="1023"/>
      <c r="G11" s="1023"/>
      <c r="H11" s="1023"/>
      <c r="I11" s="1023"/>
      <c r="J11" s="1023"/>
      <c r="K11" s="1023"/>
      <c r="L11" s="1023"/>
      <c r="M11" s="1023"/>
      <c r="N11" s="1023"/>
      <c r="O11" s="1023"/>
      <c r="P11" s="1023"/>
      <c r="Q11" s="1023"/>
      <c r="R11" s="1023"/>
      <c r="S11" s="1023"/>
      <c r="T11" s="1023"/>
      <c r="U11" s="1023"/>
      <c r="V11" s="1023"/>
      <c r="W11" s="1023"/>
      <c r="X11" s="1023">
        <f>Valuation!C62</f>
        <v>0</v>
      </c>
      <c r="Y11" s="1023">
        <f>Valuation!D62</f>
        <v>0</v>
      </c>
      <c r="Z11" s="1023">
        <f>Valuation!E62</f>
        <v>0</v>
      </c>
      <c r="AA11" s="1023">
        <f>Valuation!F62</f>
        <v>0</v>
      </c>
      <c r="AB11" s="1023">
        <f>Valuation!G62</f>
        <v>0</v>
      </c>
      <c r="AC11" s="1023">
        <f>Valuation!H62</f>
        <v>0</v>
      </c>
      <c r="AD11" s="1023">
        <f>Valuation!I62</f>
        <v>0</v>
      </c>
      <c r="AE11" s="1023">
        <f>Valuation!J62</f>
        <v>0</v>
      </c>
      <c r="AF11" s="1023">
        <f>Valuation!K62</f>
        <v>0</v>
      </c>
      <c r="AG11" s="1023">
        <f>Valuation!L62</f>
        <v>0</v>
      </c>
      <c r="AH11" s="1023">
        <f>Valuation!M62</f>
        <v>0</v>
      </c>
      <c r="AI11" s="1023">
        <f>Valuation!N62</f>
        <v>0</v>
      </c>
      <c r="AJ11" s="1023">
        <f>Valuation!O62</f>
        <v>0</v>
      </c>
      <c r="AK11" s="1023">
        <f>Valuation!P62</f>
        <v>0</v>
      </c>
      <c r="AL11" s="1023">
        <f>Valuation!Q62</f>
        <v>0</v>
      </c>
      <c r="AM11" s="1023">
        <f>Valuation!R62</f>
        <v>0</v>
      </c>
      <c r="AN11" s="1023">
        <f>Valuation!S62</f>
        <v>0</v>
      </c>
      <c r="AO11" s="154"/>
      <c r="AP11" s="154"/>
      <c r="AQ11" s="154"/>
      <c r="AR11" s="154"/>
      <c r="AS11" s="154"/>
      <c r="AT11" s="154"/>
      <c r="AU11" s="154"/>
      <c r="AV11" s="154"/>
      <c r="AW11" s="154"/>
      <c r="AX11" s="154"/>
      <c r="AY11" s="154"/>
    </row>
    <row r="12" spans="1:51">
      <c r="A12" s="154"/>
      <c r="B12" s="1022" t="s">
        <v>518</v>
      </c>
      <c r="C12" s="1023"/>
      <c r="D12" s="1023"/>
      <c r="E12" s="1023"/>
      <c r="F12" s="1023"/>
      <c r="G12" s="1023"/>
      <c r="H12" s="1023"/>
      <c r="I12" s="1023"/>
      <c r="J12" s="1023"/>
      <c r="K12" s="1023"/>
      <c r="L12" s="1023"/>
      <c r="M12" s="1023"/>
      <c r="N12" s="1023"/>
      <c r="O12" s="1023"/>
      <c r="P12" s="1023"/>
      <c r="Q12" s="1023"/>
      <c r="R12" s="1023"/>
      <c r="S12" s="1023"/>
      <c r="T12" s="1023"/>
      <c r="U12" s="1023"/>
      <c r="V12" s="1023"/>
      <c r="W12" s="1023"/>
      <c r="X12" s="1023">
        <f>Valuation!C63</f>
        <v>0</v>
      </c>
      <c r="Y12" s="1023">
        <f>Valuation!D63</f>
        <v>0</v>
      </c>
      <c r="Z12" s="1023">
        <f>Valuation!E63</f>
        <v>0</v>
      </c>
      <c r="AA12" s="1023">
        <f>Valuation!F63</f>
        <v>0</v>
      </c>
      <c r="AB12" s="1023">
        <f>Valuation!G63</f>
        <v>0</v>
      </c>
      <c r="AC12" s="1023">
        <f>Valuation!H63</f>
        <v>0</v>
      </c>
      <c r="AD12" s="1023">
        <f>Valuation!I63</f>
        <v>0</v>
      </c>
      <c r="AE12" s="1023">
        <f>Valuation!J63</f>
        <v>0</v>
      </c>
      <c r="AF12" s="1023">
        <f>Valuation!K63</f>
        <v>0</v>
      </c>
      <c r="AG12" s="1023">
        <f>Valuation!L63</f>
        <v>0</v>
      </c>
      <c r="AH12" s="1023">
        <f>Valuation!M63</f>
        <v>0</v>
      </c>
      <c r="AI12" s="1023">
        <f>Valuation!N63</f>
        <v>0</v>
      </c>
      <c r="AJ12" s="1023">
        <f>Valuation!O63</f>
        <v>0</v>
      </c>
      <c r="AK12" s="1023">
        <f>Valuation!P63</f>
        <v>0</v>
      </c>
      <c r="AL12" s="1023">
        <f>Valuation!Q63</f>
        <v>0</v>
      </c>
      <c r="AM12" s="1023">
        <f>Valuation!R63</f>
        <v>0</v>
      </c>
      <c r="AN12" s="1023">
        <f>Valuation!S63</f>
        <v>0</v>
      </c>
      <c r="AO12" s="154"/>
      <c r="AP12" s="154"/>
      <c r="AQ12" s="154"/>
      <c r="AR12" s="154"/>
      <c r="AS12" s="154"/>
      <c r="AT12" s="154"/>
      <c r="AU12" s="154"/>
      <c r="AV12" s="154"/>
      <c r="AW12" s="154"/>
      <c r="AX12" s="154"/>
      <c r="AY12" s="154"/>
    </row>
    <row r="13" spans="1:51">
      <c r="A13" s="154"/>
      <c r="B13" s="1022" t="s">
        <v>519</v>
      </c>
      <c r="C13" s="1023"/>
      <c r="D13" s="1023"/>
      <c r="E13" s="1023"/>
      <c r="F13" s="1023"/>
      <c r="G13" s="1023"/>
      <c r="H13" s="1023"/>
      <c r="I13" s="1023"/>
      <c r="J13" s="1023"/>
      <c r="K13" s="1023"/>
      <c r="L13" s="1023"/>
      <c r="M13" s="1023"/>
      <c r="N13" s="1023"/>
      <c r="O13" s="1023"/>
      <c r="P13" s="1023"/>
      <c r="Q13" s="1023"/>
      <c r="R13" s="1023"/>
      <c r="S13" s="1023"/>
      <c r="T13" s="1023"/>
      <c r="U13" s="1023"/>
      <c r="V13" s="1023"/>
      <c r="W13" s="1023"/>
      <c r="X13" s="1023">
        <f>Valuation!C64</f>
        <v>0</v>
      </c>
      <c r="Y13" s="1023">
        <f>Valuation!D64</f>
        <v>0</v>
      </c>
      <c r="Z13" s="1023">
        <f>Valuation!E64</f>
        <v>0</v>
      </c>
      <c r="AA13" s="1023">
        <f>Valuation!F64</f>
        <v>0</v>
      </c>
      <c r="AB13" s="1023">
        <f>Valuation!G64</f>
        <v>0</v>
      </c>
      <c r="AC13" s="1023">
        <f>Valuation!H64</f>
        <v>0</v>
      </c>
      <c r="AD13" s="1023">
        <f>Valuation!I64</f>
        <v>0</v>
      </c>
      <c r="AE13" s="1023">
        <f>Valuation!J64</f>
        <v>-57.831694664433911</v>
      </c>
      <c r="AF13" s="1023">
        <f>Valuation!K64</f>
        <v>-134.41930987430447</v>
      </c>
      <c r="AG13" s="1023">
        <f>Valuation!L64</f>
        <v>-237.21953263649999</v>
      </c>
      <c r="AH13" s="1023">
        <f>Valuation!M64</f>
        <v>-361.87084408078391</v>
      </c>
      <c r="AI13" s="1023">
        <f>Valuation!N64</f>
        <v>-510.88839854644209</v>
      </c>
      <c r="AJ13" s="1023">
        <f>Valuation!O64</f>
        <v>-685.9586401132309</v>
      </c>
      <c r="AK13" s="1023">
        <f>Valuation!P64</f>
        <v>-887.24741673001677</v>
      </c>
      <c r="AL13" s="1023">
        <f>Valuation!Q64</f>
        <v>-1116.0466307510198</v>
      </c>
      <c r="AM13" s="1023">
        <f>Valuation!R64</f>
        <v>-1374.4261633625542</v>
      </c>
      <c r="AN13" s="1023">
        <f>Valuation!S64</f>
        <v>-1664.843484033318</v>
      </c>
      <c r="AO13" s="154"/>
      <c r="AP13" s="154"/>
      <c r="AQ13" s="154"/>
      <c r="AR13" s="154"/>
      <c r="AS13" s="154"/>
      <c r="AT13" s="154"/>
      <c r="AU13" s="154"/>
      <c r="AV13" s="154"/>
      <c r="AW13" s="154"/>
      <c r="AX13" s="154"/>
      <c r="AY13" s="154"/>
    </row>
    <row r="14" spans="1:51">
      <c r="A14" s="154"/>
      <c r="B14" s="1022" t="s">
        <v>520</v>
      </c>
      <c r="C14" s="1023"/>
      <c r="D14" s="1023"/>
      <c r="E14" s="1023"/>
      <c r="F14" s="1023"/>
      <c r="G14" s="1023"/>
      <c r="H14" s="1023"/>
      <c r="I14" s="1023"/>
      <c r="J14" s="1023"/>
      <c r="K14" s="1023"/>
      <c r="L14" s="1023"/>
      <c r="M14" s="1023"/>
      <c r="N14" s="1023"/>
      <c r="O14" s="1023"/>
      <c r="P14" s="1023"/>
      <c r="Q14" s="1023"/>
      <c r="R14" s="1023"/>
      <c r="S14" s="1023"/>
      <c r="T14" s="1023"/>
      <c r="U14" s="1023"/>
      <c r="V14" s="1023"/>
      <c r="W14" s="1023"/>
      <c r="X14" s="1023"/>
      <c r="Y14" s="1023"/>
      <c r="Z14" s="1023"/>
      <c r="AA14" s="1023"/>
      <c r="AB14" s="1023"/>
      <c r="AC14" s="1023"/>
      <c r="AD14" s="1023"/>
      <c r="AE14" s="1023"/>
      <c r="AF14" s="1023"/>
      <c r="AG14" s="1023"/>
      <c r="AH14" s="1023"/>
      <c r="AI14" s="1023"/>
      <c r="AJ14" s="1023"/>
      <c r="AK14" s="1023"/>
      <c r="AL14" s="1023"/>
      <c r="AM14" s="1023"/>
      <c r="AN14" s="1023"/>
      <c r="AO14" s="154"/>
      <c r="AP14" s="154"/>
      <c r="AQ14" s="154"/>
      <c r="AR14" s="154"/>
      <c r="AS14" s="154"/>
      <c r="AT14" s="154"/>
      <c r="AU14" s="154"/>
      <c r="AV14" s="154"/>
      <c r="AW14" s="154"/>
      <c r="AX14" s="154"/>
      <c r="AY14" s="154"/>
    </row>
    <row r="15" spans="1:51">
      <c r="A15" s="154"/>
      <c r="B15" s="1022" t="s">
        <v>28</v>
      </c>
      <c r="C15" s="1023"/>
      <c r="D15" s="1023"/>
      <c r="E15" s="1023"/>
      <c r="F15" s="1023"/>
      <c r="G15" s="1023"/>
      <c r="H15" s="1023"/>
      <c r="I15" s="1023"/>
      <c r="J15" s="1023"/>
      <c r="K15" s="1023"/>
      <c r="L15" s="1023"/>
      <c r="M15" s="1023"/>
      <c r="N15" s="1023"/>
      <c r="O15" s="1023"/>
      <c r="P15" s="1023"/>
      <c r="Q15" s="1023"/>
      <c r="R15" s="1023"/>
      <c r="S15" s="1023"/>
      <c r="T15" s="1023"/>
      <c r="U15" s="1023"/>
      <c r="V15" s="1023"/>
      <c r="W15" s="1023"/>
      <c r="X15" s="1024">
        <f>Master!F63</f>
        <v>0</v>
      </c>
      <c r="Y15" s="1024">
        <f>Master!G63</f>
        <v>0</v>
      </c>
      <c r="Z15" s="1024">
        <f>Master!H63</f>
        <v>0</v>
      </c>
      <c r="AA15" s="1024">
        <f>Master!I63</f>
        <v>0</v>
      </c>
      <c r="AB15" s="1024">
        <f>Master!J63</f>
        <v>0</v>
      </c>
      <c r="AC15" s="1024">
        <f>Master!K63</f>
        <v>0</v>
      </c>
      <c r="AD15" s="1024">
        <f>Master!L63</f>
        <v>0</v>
      </c>
      <c r="AE15" s="1024">
        <f>Master!M63</f>
        <v>0.18154846251900655</v>
      </c>
      <c r="AF15" s="1024">
        <f>Master!N63</f>
        <v>0.24796112017531449</v>
      </c>
      <c r="AG15" s="1024">
        <f>Master!O63</f>
        <v>0.34545508314547091</v>
      </c>
      <c r="AH15" s="1024">
        <f>Master!P63</f>
        <v>0.43787096143999876</v>
      </c>
      <c r="AI15" s="1024">
        <f>Master!Q63</f>
        <v>0.5515904612760697</v>
      </c>
      <c r="AJ15" s="1024">
        <f>Master!R63</f>
        <v>0.68916950851267977</v>
      </c>
      <c r="AK15" s="1024">
        <f>Master!S63</f>
        <v>0.85187605642252773</v>
      </c>
      <c r="AL15" s="1024">
        <f>Master!T63</f>
        <v>1.0546951978179027</v>
      </c>
      <c r="AM15" s="1024">
        <f>Master!U63</f>
        <v>1.3184901201634915</v>
      </c>
      <c r="AN15" s="1024">
        <f>Master!V63</f>
        <v>1.6749796585744421</v>
      </c>
      <c r="AO15" s="154"/>
      <c r="AP15" s="154"/>
      <c r="AQ15" s="154"/>
      <c r="AR15" s="154"/>
      <c r="AS15" s="154"/>
      <c r="AT15" s="154"/>
      <c r="AU15" s="154"/>
      <c r="AV15" s="154"/>
      <c r="AW15" s="154"/>
      <c r="AX15" s="154"/>
      <c r="AY15" s="154"/>
    </row>
    <row r="16" spans="1:51">
      <c r="A16" s="154"/>
      <c r="B16" s="1022" t="s">
        <v>26</v>
      </c>
      <c r="C16" s="1023"/>
      <c r="D16" s="1023"/>
      <c r="E16" s="1023"/>
      <c r="F16" s="1023"/>
      <c r="G16" s="1023"/>
      <c r="H16" s="1023"/>
      <c r="I16" s="1023"/>
      <c r="J16" s="1023"/>
      <c r="K16" s="1023"/>
      <c r="L16" s="1023"/>
      <c r="M16" s="1023"/>
      <c r="N16" s="1023"/>
      <c r="O16" s="1023"/>
      <c r="P16" s="1023"/>
      <c r="Q16" s="1023"/>
      <c r="R16" s="1023"/>
      <c r="S16" s="1023"/>
      <c r="T16" s="1023"/>
      <c r="U16" s="1023"/>
      <c r="V16" s="1023"/>
      <c r="W16" s="1023"/>
      <c r="X16" s="1024">
        <f>Master!F61</f>
        <v>-2.8762266152559328</v>
      </c>
      <c r="Y16" s="1024">
        <f>Master!G61</f>
        <v>-1.0948341227393124</v>
      </c>
      <c r="Z16" s="1024">
        <f>Master!H61</f>
        <v>-8.7119212444179014E-2</v>
      </c>
      <c r="AA16" s="1024">
        <f>Master!I61</f>
        <v>-1.3882790523411985</v>
      </c>
      <c r="AB16" s="1024">
        <f>Master!J61</f>
        <v>-5.9329153360386098</v>
      </c>
      <c r="AC16" s="1024">
        <f>Master!K61</f>
        <v>-4.9036308446149839</v>
      </c>
      <c r="AD16" s="1024">
        <f>Master!L61</f>
        <v>0.39327529413666434</v>
      </c>
      <c r="AE16" s="1024">
        <f>Master!M61</f>
        <v>0.52299766723061625</v>
      </c>
      <c r="AF16" s="1024">
        <f>Master!N61</f>
        <v>0.71128979048316188</v>
      </c>
      <c r="AG16" s="1024">
        <f>Master!O61</f>
        <v>0.88750386442571627</v>
      </c>
      <c r="AH16" s="1024">
        <f>Master!P61</f>
        <v>1.1015161792165702</v>
      </c>
      <c r="AI16" s="1024">
        <f>Master!Q61</f>
        <v>1.3564472680943589</v>
      </c>
      <c r="AJ16" s="1024">
        <f>Master!R61</f>
        <v>1.6522032128159831</v>
      </c>
      <c r="AK16" s="1024">
        <f>Master!S61</f>
        <v>2.0127399713408454</v>
      </c>
      <c r="AL16" s="1024">
        <f>Master!T61</f>
        <v>2.4691754968407231</v>
      </c>
      <c r="AM16" s="1024">
        <f>Master!U61</f>
        <v>3.0651611513426125</v>
      </c>
      <c r="AN16" s="1024">
        <f>Master!V61</f>
        <v>3.8658543041228755</v>
      </c>
      <c r="AO16" s="154"/>
      <c r="AP16" s="154"/>
      <c r="AQ16" s="154"/>
      <c r="AR16" s="154"/>
      <c r="AS16" s="154"/>
      <c r="AT16" s="154"/>
      <c r="AU16" s="154"/>
      <c r="AV16" s="154"/>
      <c r="AW16" s="154"/>
      <c r="AX16" s="154"/>
      <c r="AY16" s="154"/>
    </row>
    <row r="17" spans="1:51">
      <c r="A17" s="154"/>
      <c r="B17" s="1022" t="s">
        <v>27</v>
      </c>
      <c r="C17" s="1023"/>
      <c r="D17" s="1023"/>
      <c r="E17" s="1023"/>
      <c r="F17" s="1023"/>
      <c r="G17" s="1023"/>
      <c r="H17" s="1023"/>
      <c r="I17" s="1023"/>
      <c r="J17" s="1023"/>
      <c r="K17" s="1023"/>
      <c r="L17" s="1023"/>
      <c r="M17" s="1023"/>
      <c r="N17" s="1023"/>
      <c r="O17" s="1023"/>
      <c r="P17" s="1023"/>
      <c r="Q17" s="1023"/>
      <c r="R17" s="1023"/>
      <c r="S17" s="1023"/>
      <c r="T17" s="1023"/>
      <c r="U17" s="1023"/>
      <c r="V17" s="1023"/>
      <c r="W17" s="1023"/>
      <c r="X17" s="1024">
        <f>Master!F62</f>
        <v>0.50960543011109238</v>
      </c>
      <c r="Y17" s="1024">
        <f>Master!G62</f>
        <v>0.11342087102842603</v>
      </c>
      <c r="Z17" s="1024">
        <f>Master!H62</f>
        <v>0.99785697400997786</v>
      </c>
      <c r="AA17" s="1024">
        <f>Master!I62</f>
        <v>1.0216041851413198</v>
      </c>
      <c r="AB17" s="1024">
        <f>Master!J62</f>
        <v>0.56442074735347147</v>
      </c>
      <c r="AC17" s="1024">
        <f>Master!K62</f>
        <v>0.36146728216207158</v>
      </c>
      <c r="AD17" s="1024">
        <f>Master!L62</f>
        <v>0.61501669224814537</v>
      </c>
      <c r="AE17" s="1024">
        <f>Master!M62</f>
        <v>0.74748937755564759</v>
      </c>
      <c r="AF17" s="1024">
        <f>Master!N62</f>
        <v>0.93936243096075467</v>
      </c>
      <c r="AG17" s="1024">
        <f>Master!O62</f>
        <v>1.1206067244055409</v>
      </c>
      <c r="AH17" s="1024">
        <f>Master!P62</f>
        <v>1.3409904536039639</v>
      </c>
      <c r="AI17" s="1024">
        <f>Master!Q62</f>
        <v>1.6039080350685464</v>
      </c>
      <c r="AJ17" s="1024">
        <f>Master!R62</f>
        <v>1.9096846279463597</v>
      </c>
      <c r="AK17" s="1024">
        <f>Master!S62</f>
        <v>2.2826773758250734</v>
      </c>
      <c r="AL17" s="1024">
        <f>Master!T62</f>
        <v>2.7545693218998846</v>
      </c>
      <c r="AM17" s="1024">
        <f>Master!U62</f>
        <v>3.3698043712338763</v>
      </c>
      <c r="AN17" s="1024">
        <f>Master!V62</f>
        <v>4.1946528289814351</v>
      </c>
      <c r="AO17" s="154"/>
      <c r="AP17" s="154"/>
      <c r="AQ17" s="154"/>
      <c r="AR17" s="154"/>
      <c r="AS17" s="154"/>
      <c r="AT17" s="154"/>
      <c r="AU17" s="154"/>
      <c r="AV17" s="154"/>
      <c r="AW17" s="154"/>
      <c r="AX17" s="154"/>
      <c r="AY17" s="154"/>
    </row>
    <row r="18" spans="1:51">
      <c r="A18" s="154"/>
      <c r="B18" s="1025"/>
      <c r="C18" s="1025"/>
      <c r="D18" s="1026"/>
      <c r="E18" s="1026"/>
      <c r="F18" s="1026"/>
      <c r="G18" s="1026"/>
      <c r="H18" s="1026"/>
      <c r="I18" s="1026"/>
      <c r="J18" s="1026"/>
      <c r="K18" s="1026"/>
      <c r="L18" s="1026"/>
      <c r="M18" s="1026"/>
      <c r="N18" s="1026"/>
      <c r="O18" s="1026"/>
      <c r="P18" s="1026"/>
      <c r="Q18" s="1026"/>
      <c r="R18" s="1026"/>
      <c r="S18" s="1026"/>
      <c r="T18" s="1026"/>
      <c r="U18" s="1026"/>
      <c r="V18" s="1026"/>
      <c r="W18" s="1026"/>
      <c r="X18" s="1026"/>
      <c r="Y18" s="1026"/>
      <c r="Z18" s="1026"/>
      <c r="AA18" s="1026"/>
      <c r="AB18" s="1026"/>
      <c r="AC18" s="1026"/>
      <c r="AD18" s="1026"/>
      <c r="AE18" s="1026"/>
      <c r="AF18" s="1026"/>
      <c r="AG18" s="1026"/>
      <c r="AH18" s="1026"/>
      <c r="AI18" s="1026"/>
      <c r="AJ18" s="1026"/>
      <c r="AK18" s="1026"/>
      <c r="AL18" s="1026"/>
      <c r="AM18" s="1026"/>
      <c r="AN18" s="1026"/>
      <c r="AO18" s="154"/>
      <c r="AP18" s="154"/>
      <c r="AQ18" s="154"/>
      <c r="AR18" s="154"/>
      <c r="AS18" s="154"/>
      <c r="AT18" s="154"/>
      <c r="AU18" s="154"/>
      <c r="AV18" s="154"/>
      <c r="AW18" s="154"/>
      <c r="AX18" s="154"/>
      <c r="AY18" s="154"/>
    </row>
    <row r="19" spans="1:51">
      <c r="A19" s="154"/>
      <c r="B19" s="961" t="s">
        <v>521</v>
      </c>
      <c r="C19" s="961">
        <v>1998</v>
      </c>
      <c r="D19" s="961">
        <v>1999</v>
      </c>
      <c r="E19" s="961">
        <v>2000</v>
      </c>
      <c r="F19" s="961">
        <v>2001</v>
      </c>
      <c r="G19" s="961">
        <v>2002</v>
      </c>
      <c r="H19" s="961">
        <v>2003</v>
      </c>
      <c r="I19" s="961">
        <v>2004</v>
      </c>
      <c r="J19" s="961">
        <v>2005</v>
      </c>
      <c r="K19" s="961">
        <v>2006</v>
      </c>
      <c r="L19" s="961">
        <v>2007</v>
      </c>
      <c r="M19" s="961">
        <v>2008</v>
      </c>
      <c r="N19" s="961">
        <v>2009</v>
      </c>
      <c r="O19" s="961">
        <v>2010</v>
      </c>
      <c r="P19" s="961">
        <v>2011</v>
      </c>
      <c r="Q19" s="961">
        <v>2012</v>
      </c>
      <c r="R19" s="961">
        <v>2013</v>
      </c>
      <c r="S19" s="961">
        <v>2014</v>
      </c>
      <c r="T19" s="961">
        <v>2015</v>
      </c>
      <c r="U19" s="961">
        <v>2016</v>
      </c>
      <c r="V19" s="961">
        <v>2017</v>
      </c>
      <c r="W19" s="961">
        <v>2018</v>
      </c>
      <c r="X19" s="961">
        <v>2019</v>
      </c>
      <c r="Y19" s="961">
        <v>2020</v>
      </c>
      <c r="Z19" s="961">
        <v>2021</v>
      </c>
      <c r="AA19" s="961">
        <v>2022</v>
      </c>
      <c r="AB19" s="961">
        <v>2023</v>
      </c>
      <c r="AC19" s="961">
        <v>2024</v>
      </c>
      <c r="AD19" s="961">
        <v>2025</v>
      </c>
      <c r="AE19" s="961">
        <v>2026</v>
      </c>
      <c r="AF19" s="961">
        <v>2027</v>
      </c>
      <c r="AG19" s="961">
        <v>2028</v>
      </c>
      <c r="AH19" s="961">
        <v>2029</v>
      </c>
      <c r="AI19" s="961">
        <v>2030</v>
      </c>
      <c r="AJ19" s="961">
        <v>2030</v>
      </c>
      <c r="AK19" s="961">
        <v>2030</v>
      </c>
      <c r="AL19" s="961">
        <v>2030</v>
      </c>
      <c r="AM19" s="961">
        <v>2030</v>
      </c>
      <c r="AN19" s="961">
        <v>2030</v>
      </c>
      <c r="AO19" s="154"/>
      <c r="AP19" s="154"/>
      <c r="AQ19" s="154"/>
      <c r="AR19" s="154"/>
      <c r="AS19" s="154"/>
      <c r="AT19" s="154"/>
      <c r="AU19" s="154"/>
      <c r="AV19" s="154"/>
      <c r="AW19" s="154"/>
      <c r="AX19" s="154"/>
      <c r="AY19" s="154"/>
    </row>
    <row r="20" spans="1:51">
      <c r="A20" s="154"/>
      <c r="B20" s="1022" t="s">
        <v>522</v>
      </c>
      <c r="C20" s="1027"/>
      <c r="D20" s="1028"/>
      <c r="E20" s="1028"/>
      <c r="F20" s="1028"/>
      <c r="G20" s="1028"/>
      <c r="H20" s="1028"/>
      <c r="I20" s="1028"/>
      <c r="J20" s="1028"/>
      <c r="K20" s="1028"/>
      <c r="L20" s="1028"/>
      <c r="M20" s="1028"/>
      <c r="N20" s="1028"/>
      <c r="O20" s="1028"/>
      <c r="P20" s="1028"/>
      <c r="Q20" s="1028"/>
      <c r="R20" s="1028"/>
      <c r="S20" s="1028"/>
      <c r="T20" s="1028"/>
      <c r="U20" s="1028"/>
      <c r="V20" s="1028"/>
      <c r="W20" s="1028"/>
      <c r="X20" s="1023">
        <f>Master!F11</f>
        <v>1231.056</v>
      </c>
      <c r="Y20" s="1023">
        <f>Master!G11</f>
        <v>1403.1579999999999</v>
      </c>
      <c r="Z20" s="1023">
        <f>Master!H11</f>
        <v>1579.7299999999998</v>
      </c>
      <c r="AA20" s="1023">
        <f>Master!I11</f>
        <v>1961.2990000000002</v>
      </c>
      <c r="AB20" s="1023">
        <f>Master!J11</f>
        <v>2125.5389999999998</v>
      </c>
      <c r="AC20" s="1023">
        <f>Master!K11</f>
        <v>1711.2249999999999</v>
      </c>
      <c r="AD20" s="1023">
        <f>Master!L11</f>
        <v>1725.2777405198199</v>
      </c>
      <c r="AE20" s="1023">
        <f>Master!M11</f>
        <v>1796.0098554388017</v>
      </c>
      <c r="AF20" s="1023">
        <f>Master!N11</f>
        <v>1918.6694654405651</v>
      </c>
      <c r="AG20" s="1023">
        <f>Master!O11</f>
        <v>2034.8467963783773</v>
      </c>
      <c r="AH20" s="1023">
        <f>Master!P11</f>
        <v>2158.0195143290489</v>
      </c>
      <c r="AI20" s="1023">
        <f>Master!Q11</f>
        <v>2285.1001213071872</v>
      </c>
      <c r="AJ20" s="1023">
        <f>Master!R11</f>
        <v>2410.8774679623925</v>
      </c>
      <c r="AK20" s="1023">
        <f>Master!S11</f>
        <v>2539.387107574019</v>
      </c>
      <c r="AL20" s="1023">
        <f>Master!T11</f>
        <v>2675.175568216885</v>
      </c>
      <c r="AM20" s="1023">
        <f>Master!U11</f>
        <v>2818.5548525623167</v>
      </c>
      <c r="AN20" s="1023">
        <f>Master!V11</f>
        <v>2970.0988228827096</v>
      </c>
      <c r="AO20" s="154"/>
      <c r="AP20" s="154"/>
      <c r="AQ20" s="154"/>
      <c r="AR20" s="154"/>
      <c r="AS20" s="154"/>
      <c r="AT20" s="154"/>
      <c r="AU20" s="154"/>
      <c r="AV20" s="154"/>
      <c r="AW20" s="154"/>
      <c r="AX20" s="154"/>
      <c r="AY20" s="154"/>
    </row>
    <row r="21" spans="1:51">
      <c r="A21" s="154"/>
      <c r="B21" s="1022" t="s">
        <v>523</v>
      </c>
      <c r="C21" s="1027"/>
      <c r="D21" s="1028"/>
      <c r="E21" s="1028"/>
      <c r="F21" s="1028"/>
      <c r="G21" s="1028"/>
      <c r="H21" s="1028"/>
      <c r="I21" s="1028"/>
      <c r="J21" s="1028"/>
      <c r="K21" s="1028"/>
      <c r="L21" s="1028"/>
      <c r="M21" s="1028"/>
      <c r="N21" s="1028"/>
      <c r="O21" s="1028"/>
      <c r="P21" s="1028"/>
      <c r="Q21" s="1028"/>
      <c r="R21" s="1028"/>
      <c r="S21" s="1028"/>
      <c r="T21" s="1028"/>
      <c r="U21" s="1028"/>
      <c r="V21" s="1028"/>
      <c r="W21" s="1028"/>
      <c r="X21" s="1023">
        <f>Master!F19</f>
        <v>668.61399999999992</v>
      </c>
      <c r="Y21" s="1023">
        <f>Master!G19</f>
        <v>819.01400000000001</v>
      </c>
      <c r="Z21" s="1023">
        <f>Master!H19</f>
        <v>926.39599999999996</v>
      </c>
      <c r="AA21" s="1023">
        <f>Master!I19</f>
        <v>1031.386</v>
      </c>
      <c r="AB21" s="1023">
        <f>Master!J19</f>
        <v>1132.5350000000001</v>
      </c>
      <c r="AC21" s="1023">
        <f>Master!K19</f>
        <v>928.35399999999993</v>
      </c>
      <c r="AD21" s="1023">
        <f>Master!L19</f>
        <v>998.65849699308114</v>
      </c>
      <c r="AE21" s="1023">
        <f>Master!M19</f>
        <v>1051.2963469177898</v>
      </c>
      <c r="AF21" s="1023">
        <f>Master!N19</f>
        <v>1136.8872381829219</v>
      </c>
      <c r="AG21" s="1023">
        <f>Master!O19</f>
        <v>1215.7125917450928</v>
      </c>
      <c r="AH21" s="1023">
        <f>Master!P19</f>
        <v>1299.9171313615789</v>
      </c>
      <c r="AI21" s="1023">
        <f>Master!Q19</f>
        <v>1387.4387083095012</v>
      </c>
      <c r="AJ21" s="1023">
        <f>Master!R19</f>
        <v>1474.7790505029366</v>
      </c>
      <c r="AK21" s="1023">
        <f>Master!S19</f>
        <v>1564.7079206201638</v>
      </c>
      <c r="AL21" s="1023">
        <f>Master!T19</f>
        <v>1660.3990786374698</v>
      </c>
      <c r="AM21" s="1023">
        <f>Master!U19</f>
        <v>1762.1582617619658</v>
      </c>
      <c r="AN21" s="1023">
        <f>Master!V19</f>
        <v>1870.4763671005544</v>
      </c>
      <c r="AO21" s="154"/>
      <c r="AP21" s="154"/>
      <c r="AQ21" s="154"/>
      <c r="AR21" s="154"/>
      <c r="AS21" s="154"/>
      <c r="AT21" s="154"/>
      <c r="AU21" s="154"/>
      <c r="AV21" s="154"/>
      <c r="AW21" s="154"/>
      <c r="AX21" s="154"/>
      <c r="AY21" s="154"/>
    </row>
    <row r="22" spans="1:51">
      <c r="A22" s="154"/>
      <c r="B22" s="1025" t="s">
        <v>524</v>
      </c>
      <c r="C22" s="1027"/>
      <c r="D22" s="1028"/>
      <c r="E22" s="1028"/>
      <c r="F22" s="1028"/>
      <c r="G22" s="1028"/>
      <c r="H22" s="1028"/>
      <c r="I22" s="1028"/>
      <c r="J22" s="1028"/>
      <c r="K22" s="1028"/>
      <c r="L22" s="1028"/>
      <c r="M22" s="1028"/>
      <c r="N22" s="1028"/>
      <c r="O22" s="1028"/>
      <c r="P22" s="1028"/>
      <c r="Q22" s="1028"/>
      <c r="R22" s="1028"/>
      <c r="S22" s="1028"/>
      <c r="T22" s="1028"/>
      <c r="U22" s="1028"/>
      <c r="V22" s="1028"/>
      <c r="W22" s="1028"/>
      <c r="X22" s="1023">
        <f>Master!F44</f>
        <v>355.76</v>
      </c>
      <c r="Y22" s="1023">
        <f>Master!G44</f>
        <v>373.24700000000001</v>
      </c>
      <c r="Z22" s="1023">
        <f>Master!H44</f>
        <v>345.12299999999999</v>
      </c>
      <c r="AA22" s="1023">
        <f>Master!I44</f>
        <v>422.49099999999999</v>
      </c>
      <c r="AB22" s="1023">
        <f>Master!J44</f>
        <v>386.46499999999997</v>
      </c>
      <c r="AC22" s="1023">
        <f>Master!K44</f>
        <v>317.15699999999998</v>
      </c>
      <c r="AD22" s="1023">
        <f>Master!L44</f>
        <v>316.42947243316257</v>
      </c>
      <c r="AE22" s="1023">
        <f>Master!M44</f>
        <v>314.6262582830916</v>
      </c>
      <c r="AF22" s="1023">
        <f>Master!N44</f>
        <v>320.40456895759104</v>
      </c>
      <c r="AG22" s="1023">
        <f>Master!O44</f>
        <v>332.16689165620301</v>
      </c>
      <c r="AH22" s="1023">
        <f>Master!P44</f>
        <v>343.19591484150334</v>
      </c>
      <c r="AI22" s="1023">
        <f>Master!Q44</f>
        <v>352.8663963551241</v>
      </c>
      <c r="AJ22" s="1023">
        <f>Master!R44</f>
        <v>361.90429051680616</v>
      </c>
      <c r="AK22" s="1023">
        <f>Master!S44</f>
        <v>369.59842793092349</v>
      </c>
      <c r="AL22" s="1023">
        <f>Master!T44</f>
        <v>376.68255150334079</v>
      </c>
      <c r="AM22" s="1023">
        <f>Master!U44</f>
        <v>382.51055001458133</v>
      </c>
      <c r="AN22" s="1023">
        <f>Master!V44</f>
        <v>387.84869422655896</v>
      </c>
      <c r="AO22" s="154"/>
      <c r="AP22" s="154"/>
      <c r="AQ22" s="154"/>
      <c r="AR22" s="154"/>
      <c r="AS22" s="154"/>
      <c r="AT22" s="154"/>
      <c r="AU22" s="154"/>
      <c r="AV22" s="154"/>
      <c r="AW22" s="154"/>
      <c r="AX22" s="154"/>
      <c r="AY22" s="154"/>
    </row>
    <row r="23" spans="1:51">
      <c r="A23" s="154"/>
      <c r="B23" s="1025" t="s">
        <v>525</v>
      </c>
      <c r="C23" s="1027"/>
      <c r="D23" s="1028"/>
      <c r="E23" s="1028"/>
      <c r="F23" s="1028"/>
      <c r="G23" s="1028"/>
      <c r="H23" s="1028"/>
      <c r="I23" s="1028"/>
      <c r="J23" s="1028"/>
      <c r="K23" s="1028"/>
      <c r="L23" s="1028"/>
      <c r="M23" s="1028"/>
      <c r="N23" s="1028"/>
      <c r="O23" s="1028"/>
      <c r="P23" s="1028"/>
      <c r="Q23" s="1028"/>
      <c r="R23" s="1028"/>
      <c r="S23" s="1028"/>
      <c r="T23" s="1028"/>
      <c r="U23" s="1028"/>
      <c r="V23" s="1028"/>
      <c r="W23" s="1028"/>
      <c r="X23" s="1023">
        <f>Master!F45</f>
        <v>28.747</v>
      </c>
      <c r="Y23" s="1023">
        <f>Master!G45</f>
        <v>35.414999999999999</v>
      </c>
      <c r="Z23" s="1023">
        <f>Master!H45</f>
        <v>38.165999999999997</v>
      </c>
      <c r="AA23" s="1023">
        <f>Master!I45</f>
        <v>47.33</v>
      </c>
      <c r="AB23" s="1023">
        <f>Master!J45</f>
        <v>50.383000000000003</v>
      </c>
      <c r="AC23" s="1023">
        <f>Master!K45</f>
        <v>46.768000000000001</v>
      </c>
      <c r="AD23" s="1023">
        <f>Master!L45</f>
        <v>48.593861018267759</v>
      </c>
      <c r="AE23" s="1023">
        <f>Master!M45</f>
        <v>50.092861660878981</v>
      </c>
      <c r="AF23" s="1023">
        <f>Master!N45</f>
        <v>54.549470910254826</v>
      </c>
      <c r="AG23" s="1023">
        <f>Master!O45</f>
        <v>59.057084860744347</v>
      </c>
      <c r="AH23" s="1023">
        <f>Master!P45</f>
        <v>62.413994456364705</v>
      </c>
      <c r="AI23" s="1023">
        <f>Master!Q45</f>
        <v>65.655916116962786</v>
      </c>
      <c r="AJ23" s="1023">
        <f>Master!R45</f>
        <v>68.843816186659112</v>
      </c>
      <c r="AK23" s="1023">
        <f>Master!S45</f>
        <v>71.911180903779012</v>
      </c>
      <c r="AL23" s="1023">
        <f>Master!T45</f>
        <v>74.922805103013488</v>
      </c>
      <c r="AM23" s="1023">
        <f>Master!U45</f>
        <v>77.814167341598434</v>
      </c>
      <c r="AN23" s="1023">
        <f>Master!V45</f>
        <v>80.657327105682597</v>
      </c>
      <c r="AO23" s="154"/>
      <c r="AP23" s="154"/>
      <c r="AQ23" s="154"/>
      <c r="AR23" s="154"/>
      <c r="AS23" s="154"/>
      <c r="AT23" s="154"/>
      <c r="AU23" s="154"/>
      <c r="AV23" s="154"/>
      <c r="AW23" s="154"/>
      <c r="AX23" s="154"/>
      <c r="AY23" s="154"/>
    </row>
    <row r="24" spans="1:51">
      <c r="A24" s="154"/>
      <c r="B24" s="1022" t="s">
        <v>526</v>
      </c>
      <c r="C24" s="1027"/>
      <c r="D24" s="1028"/>
      <c r="E24" s="1028"/>
      <c r="F24" s="1028"/>
      <c r="G24" s="1028"/>
      <c r="H24" s="1028"/>
      <c r="I24" s="1028"/>
      <c r="J24" s="1028"/>
      <c r="K24" s="1028"/>
      <c r="L24" s="1028"/>
      <c r="M24" s="1028"/>
      <c r="N24" s="1028"/>
      <c r="O24" s="1028"/>
      <c r="P24" s="1028"/>
      <c r="Q24" s="1028"/>
      <c r="R24" s="1028"/>
      <c r="S24" s="1028"/>
      <c r="T24" s="1028"/>
      <c r="U24" s="1028"/>
      <c r="V24" s="1028"/>
      <c r="W24" s="1028"/>
      <c r="X24" s="1023">
        <f>Master!F28</f>
        <v>259</v>
      </c>
      <c r="Y24" s="1023">
        <f>Master!G28</f>
        <v>229</v>
      </c>
      <c r="Z24" s="1023">
        <f>Master!H28</f>
        <v>402</v>
      </c>
      <c r="AA24" s="1023">
        <f>Master!I28</f>
        <v>634</v>
      </c>
      <c r="AB24" s="1023">
        <f>Master!J28</f>
        <v>586</v>
      </c>
      <c r="AC24" s="1023">
        <f>Master!K28</f>
        <v>257</v>
      </c>
      <c r="AD24" s="1023">
        <f>Master!L28</f>
        <v>258.79166107797295</v>
      </c>
      <c r="AE24" s="1023">
        <f>Master!M28</f>
        <v>269.40147831582021</v>
      </c>
      <c r="AF24" s="1023">
        <f>Master!N28</f>
        <v>278.20707248888192</v>
      </c>
      <c r="AG24" s="1023">
        <f>Master!O28</f>
        <v>295.05278547486472</v>
      </c>
      <c r="AH24" s="1023">
        <f>Master!P28</f>
        <v>302.12273200606688</v>
      </c>
      <c r="AI24" s="1023">
        <f>Master!Q28</f>
        <v>319.91401698300626</v>
      </c>
      <c r="AJ24" s="1023">
        <f>Master!R28</f>
        <v>325.468458174923</v>
      </c>
      <c r="AK24" s="1023">
        <f>Master!S28</f>
        <v>342.81725952249258</v>
      </c>
      <c r="AL24" s="1023">
        <f>Master!T28</f>
        <v>347.77282386819508</v>
      </c>
      <c r="AM24" s="1023">
        <f>Master!U28</f>
        <v>366.41213083310117</v>
      </c>
      <c r="AN24" s="1023">
        <f>Master!V28</f>
        <v>386.11284697475224</v>
      </c>
      <c r="AO24" s="154"/>
      <c r="AP24" s="154"/>
      <c r="AQ24" s="154"/>
      <c r="AR24" s="154"/>
      <c r="AS24" s="154"/>
      <c r="AT24" s="154"/>
      <c r="AU24" s="154"/>
      <c r="AV24" s="154"/>
      <c r="AW24" s="154"/>
      <c r="AX24" s="154"/>
      <c r="AY24" s="154"/>
    </row>
    <row r="25" spans="1:51">
      <c r="A25" s="154"/>
      <c r="B25" s="1022" t="s">
        <v>527</v>
      </c>
      <c r="C25" s="1027"/>
      <c r="D25" s="1028"/>
      <c r="E25" s="1028"/>
      <c r="F25" s="1028"/>
      <c r="G25" s="1028"/>
      <c r="H25" s="1028"/>
      <c r="I25" s="1028"/>
      <c r="J25" s="1028"/>
      <c r="K25" s="1028"/>
      <c r="L25" s="1028"/>
      <c r="M25" s="1028"/>
      <c r="N25" s="1028"/>
      <c r="O25" s="1028"/>
      <c r="P25" s="1028"/>
      <c r="Q25" s="1028"/>
      <c r="R25" s="1028"/>
      <c r="S25" s="1028"/>
      <c r="T25" s="1028"/>
      <c r="U25" s="1028"/>
      <c r="V25" s="1028"/>
      <c r="W25" s="1028"/>
      <c r="X25" s="1023">
        <f>Master!F32</f>
        <v>409.61399999999992</v>
      </c>
      <c r="Y25" s="1023">
        <f>Master!G32</f>
        <v>590.01400000000001</v>
      </c>
      <c r="Z25" s="1023">
        <f>Master!H32</f>
        <v>524.39599999999996</v>
      </c>
      <c r="AA25" s="1023">
        <f>Master!I32</f>
        <v>397.38599999999997</v>
      </c>
      <c r="AB25" s="1023">
        <f>Master!J32</f>
        <v>546.53500000000008</v>
      </c>
      <c r="AC25" s="1023">
        <f>Master!K32</f>
        <v>671.35399999999993</v>
      </c>
      <c r="AD25" s="1023">
        <f>Master!L32</f>
        <v>739.86683591510814</v>
      </c>
      <c r="AE25" s="1023">
        <f>Master!M32</f>
        <v>781.89486860196962</v>
      </c>
      <c r="AF25" s="1023">
        <f>Master!N32</f>
        <v>858.68016569403994</v>
      </c>
      <c r="AG25" s="1023">
        <f>Master!O32</f>
        <v>920.65980627022805</v>
      </c>
      <c r="AH25" s="1023">
        <f>Master!P32</f>
        <v>997.79439935551204</v>
      </c>
      <c r="AI25" s="1023">
        <f>Master!Q32</f>
        <v>1067.524691326495</v>
      </c>
      <c r="AJ25" s="1023">
        <f>Master!R32</f>
        <v>1149.3105923280136</v>
      </c>
      <c r="AK25" s="1023">
        <f>Master!S32</f>
        <v>1221.8906610976712</v>
      </c>
      <c r="AL25" s="1023">
        <f>Master!T32</f>
        <v>1312.6262547692747</v>
      </c>
      <c r="AM25" s="1023">
        <f>Master!U32</f>
        <v>1395.7461309288647</v>
      </c>
      <c r="AN25" s="1023">
        <f>Master!V32</f>
        <v>1484.3635201258021</v>
      </c>
      <c r="AO25" s="154"/>
      <c r="AP25" s="154"/>
      <c r="AQ25" s="154"/>
      <c r="AR25" s="154"/>
      <c r="AS25" s="154"/>
      <c r="AT25" s="154"/>
      <c r="AU25" s="154"/>
      <c r="AV25" s="154"/>
      <c r="AW25" s="154"/>
      <c r="AX25" s="154"/>
      <c r="AY25" s="154"/>
    </row>
    <row r="26" spans="1:51">
      <c r="A26" s="154"/>
      <c r="B26" s="1022" t="s">
        <v>528</v>
      </c>
      <c r="C26" s="1027"/>
      <c r="D26" s="1028"/>
      <c r="E26" s="1028"/>
      <c r="F26" s="1028"/>
      <c r="G26" s="1028"/>
      <c r="H26" s="1028"/>
      <c r="I26" s="1028"/>
      <c r="J26" s="1028"/>
      <c r="K26" s="1028"/>
      <c r="L26" s="1028"/>
      <c r="M26" s="1028"/>
      <c r="N26" s="1028"/>
      <c r="O26" s="1028"/>
      <c r="P26" s="1028"/>
      <c r="Q26" s="1028"/>
      <c r="R26" s="1028"/>
      <c r="S26" s="1028"/>
      <c r="T26" s="1028"/>
      <c r="U26" s="1028"/>
      <c r="V26" s="1028"/>
      <c r="W26" s="1028"/>
      <c r="X26" s="1029">
        <f>(1-30%)*X25</f>
        <v>286.7297999999999</v>
      </c>
      <c r="Y26" s="1029">
        <f t="shared" ref="Y26:AI26" si="0">(1-30%)*Y25</f>
        <v>413.00979999999998</v>
      </c>
      <c r="Z26" s="1029">
        <f t="shared" si="0"/>
        <v>367.07719999999995</v>
      </c>
      <c r="AA26" s="1029">
        <f t="shared" si="0"/>
        <v>278.17019999999997</v>
      </c>
      <c r="AB26" s="1029">
        <f t="shared" si="0"/>
        <v>382.57450000000006</v>
      </c>
      <c r="AC26" s="1029">
        <f t="shared" si="0"/>
        <v>469.94779999999992</v>
      </c>
      <c r="AD26" s="1029">
        <f t="shared" si="0"/>
        <v>517.90678514057572</v>
      </c>
      <c r="AE26" s="1029">
        <f t="shared" si="0"/>
        <v>547.32640802137871</v>
      </c>
      <c r="AF26" s="1029">
        <f t="shared" si="0"/>
        <v>601.07611598582787</v>
      </c>
      <c r="AG26" s="1029">
        <f t="shared" si="0"/>
        <v>644.46186438915959</v>
      </c>
      <c r="AH26" s="1029">
        <f t="shared" si="0"/>
        <v>698.45607954885838</v>
      </c>
      <c r="AI26" s="1029">
        <f t="shared" si="0"/>
        <v>747.26728392854648</v>
      </c>
      <c r="AJ26" s="1029">
        <f t="shared" ref="AJ26:AN26" si="1">(1-30%)*AJ25</f>
        <v>804.51741462960945</v>
      </c>
      <c r="AK26" s="1029">
        <f t="shared" si="1"/>
        <v>855.32346276836984</v>
      </c>
      <c r="AL26" s="1029">
        <f t="shared" si="1"/>
        <v>918.83837833849225</v>
      </c>
      <c r="AM26" s="1029">
        <f t="shared" si="1"/>
        <v>977.02229165020515</v>
      </c>
      <c r="AN26" s="1029">
        <f t="shared" si="1"/>
        <v>1039.0544640880614</v>
      </c>
      <c r="AO26" s="154"/>
      <c r="AP26" s="154"/>
      <c r="AQ26" s="154"/>
      <c r="AR26" s="154"/>
      <c r="AS26" s="154"/>
      <c r="AT26" s="154"/>
      <c r="AU26" s="154"/>
      <c r="AV26" s="154"/>
      <c r="AW26" s="154"/>
      <c r="AX26" s="154"/>
      <c r="AY26" s="154"/>
    </row>
    <row r="27" spans="1:51">
      <c r="A27" s="154"/>
      <c r="B27" s="1022" t="s">
        <v>515</v>
      </c>
      <c r="C27" s="1027"/>
      <c r="D27" s="1028"/>
      <c r="E27" s="1028"/>
      <c r="F27" s="1028"/>
      <c r="G27" s="1028"/>
      <c r="H27" s="1028"/>
      <c r="I27" s="1028"/>
      <c r="J27" s="1028"/>
      <c r="K27" s="1028"/>
      <c r="L27" s="1028"/>
      <c r="M27" s="1028"/>
      <c r="N27" s="1028"/>
      <c r="O27" s="1028"/>
      <c r="P27" s="1028"/>
      <c r="Q27" s="1028"/>
      <c r="R27" s="1028"/>
      <c r="S27" s="1028"/>
      <c r="T27" s="1028"/>
      <c r="U27" s="1028"/>
      <c r="V27" s="1028"/>
      <c r="W27" s="1028"/>
      <c r="X27" s="1023">
        <f>X9</f>
        <v>1341.5700000000002</v>
      </c>
      <c r="Y27" s="1023">
        <f t="shared" ref="Y27:AI27" si="2">Y9</f>
        <v>1932.54</v>
      </c>
      <c r="Z27" s="1023">
        <f t="shared" si="2"/>
        <v>2068.7030000000004</v>
      </c>
      <c r="AA27" s="1023">
        <f t="shared" si="2"/>
        <v>3435.8819999999996</v>
      </c>
      <c r="AB27" s="1023">
        <f t="shared" si="2"/>
        <v>3819.0180000000005</v>
      </c>
      <c r="AC27" s="1023">
        <f t="shared" si="2"/>
        <v>3322.5370000000003</v>
      </c>
      <c r="AD27" s="1023">
        <f t="shared" si="2"/>
        <v>3070.0781725287679</v>
      </c>
      <c r="AE27" s="1023">
        <f t="shared" si="2"/>
        <v>2965.3508340143267</v>
      </c>
      <c r="AF27" s="1023">
        <f t="shared" si="2"/>
        <v>2866.4014684416793</v>
      </c>
      <c r="AG27" s="1023">
        <f t="shared" si="2"/>
        <v>2793.3927381522021</v>
      </c>
      <c r="AH27" s="1023">
        <f t="shared" si="2"/>
        <v>2705.3939613646803</v>
      </c>
      <c r="AI27" s="1023">
        <f t="shared" si="2"/>
        <v>2612.8080709449619</v>
      </c>
      <c r="AJ27" s="1023">
        <f t="shared" ref="AJ27:AN27" si="3">AJ9</f>
        <v>2500.9905994082874</v>
      </c>
      <c r="AK27" s="1023">
        <f t="shared" si="3"/>
        <v>2390.5782257287779</v>
      </c>
      <c r="AL27" s="1023">
        <f t="shared" si="3"/>
        <v>2255.6197162505382</v>
      </c>
      <c r="AM27" s="1023">
        <f t="shared" si="3"/>
        <v>2107.2223508271968</v>
      </c>
      <c r="AN27" s="1023">
        <f t="shared" si="3"/>
        <v>1958.545581749976</v>
      </c>
      <c r="AO27" s="154"/>
      <c r="AP27" s="154"/>
      <c r="AQ27" s="154"/>
      <c r="AR27" s="154"/>
      <c r="AS27" s="154"/>
      <c r="AT27" s="154"/>
      <c r="AU27" s="154"/>
      <c r="AV27" s="154"/>
      <c r="AW27" s="154"/>
      <c r="AX27" s="154"/>
      <c r="AY27" s="154"/>
    </row>
    <row r="28" spans="1:51">
      <c r="A28" s="154"/>
      <c r="B28" s="1022" t="s">
        <v>529</v>
      </c>
      <c r="C28" s="1027"/>
      <c r="D28" s="1028"/>
      <c r="E28" s="1028"/>
      <c r="F28" s="1028"/>
      <c r="G28" s="1028"/>
      <c r="H28" s="1028"/>
      <c r="I28" s="1028"/>
      <c r="J28" s="1028"/>
      <c r="K28" s="1028"/>
      <c r="L28" s="1028"/>
      <c r="M28" s="1028"/>
      <c r="N28" s="1028"/>
      <c r="O28" s="1028"/>
      <c r="P28" s="1028"/>
      <c r="Q28" s="1028"/>
      <c r="R28" s="1028"/>
      <c r="S28" s="1028"/>
      <c r="T28" s="1028"/>
      <c r="U28" s="1028"/>
      <c r="V28" s="1028"/>
      <c r="W28" s="1028"/>
      <c r="X28" s="1023">
        <f>Master!F95</f>
        <v>0</v>
      </c>
      <c r="Y28" s="1023">
        <f>Master!G95</f>
        <v>14.215999999999999</v>
      </c>
      <c r="Z28" s="1023">
        <f>Master!H95</f>
        <v>142.953</v>
      </c>
      <c r="AA28" s="1023">
        <f>Master!I95</f>
        <v>227.2</v>
      </c>
      <c r="AB28" s="1023">
        <f>Master!J95</f>
        <v>237.506</v>
      </c>
      <c r="AC28" s="1023">
        <f>Master!K95</f>
        <v>158.77000000000001</v>
      </c>
      <c r="AD28" s="1023">
        <f>Master!L95</f>
        <v>145.98520000000002</v>
      </c>
      <c r="AE28" s="1023">
        <f>Master!M95</f>
        <v>132.56116000000003</v>
      </c>
      <c r="AF28" s="1023">
        <f>Master!N95</f>
        <v>118.46591800000003</v>
      </c>
      <c r="AG28" s="1023">
        <f>Master!O95</f>
        <v>103.66591390000002</v>
      </c>
      <c r="AH28" s="1023">
        <f>Master!P95</f>
        <v>88.125909595000024</v>
      </c>
      <c r="AI28" s="1023">
        <f>Master!Q95</f>
        <v>71.808905074750015</v>
      </c>
      <c r="AJ28" s="1023">
        <f>Master!R95</f>
        <v>54.676050328487506</v>
      </c>
      <c r="AK28" s="1023">
        <f>Master!S95</f>
        <v>36.686552844911873</v>
      </c>
      <c r="AL28" s="1023">
        <f>Master!T95</f>
        <v>17.797580487157457</v>
      </c>
      <c r="AM28" s="1023">
        <f>Master!U95</f>
        <v>-2.0358404884846806</v>
      </c>
      <c r="AN28" s="1023">
        <f>Master!V95</f>
        <v>-22.860932512908928</v>
      </c>
      <c r="AO28" s="154"/>
      <c r="AP28" s="154"/>
      <c r="AQ28" s="154"/>
      <c r="AR28" s="154"/>
      <c r="AS28" s="154"/>
      <c r="AT28" s="154"/>
      <c r="AU28" s="154"/>
      <c r="AV28" s="154"/>
      <c r="AW28" s="154"/>
      <c r="AX28" s="154"/>
      <c r="AY28" s="154"/>
    </row>
    <row r="29" spans="1:51">
      <c r="A29" s="154"/>
      <c r="B29" s="1022" t="s">
        <v>530</v>
      </c>
      <c r="C29" s="1027"/>
      <c r="D29" s="1028"/>
      <c r="E29" s="1028"/>
      <c r="F29" s="1028"/>
      <c r="G29" s="1028"/>
      <c r="H29" s="1028"/>
      <c r="I29" s="1028"/>
      <c r="J29" s="1028"/>
      <c r="K29" s="1028"/>
      <c r="L29" s="1028"/>
      <c r="M29" s="1028"/>
      <c r="N29" s="1028"/>
      <c r="O29" s="1028"/>
      <c r="P29" s="1028"/>
      <c r="Q29" s="1028"/>
      <c r="R29" s="1028"/>
      <c r="S29" s="1028"/>
      <c r="T29" s="1028"/>
      <c r="U29" s="1028"/>
      <c r="V29" s="1028"/>
      <c r="W29" s="1028"/>
      <c r="X29" s="1023">
        <f>Master!F99</f>
        <v>1430.319</v>
      </c>
      <c r="Y29" s="1023">
        <f>Master!G99</f>
        <v>1224.1910000000003</v>
      </c>
      <c r="Z29" s="1023">
        <f>Master!H99</f>
        <v>1725.9600000000009</v>
      </c>
      <c r="AA29" s="1023">
        <f>Master!I99</f>
        <v>1360.0789999999997</v>
      </c>
      <c r="AB29" s="1023">
        <f>Master!J99</f>
        <v>347.35400000000027</v>
      </c>
      <c r="AC29" s="1023">
        <f>Master!K99</f>
        <v>-295.80899999999929</v>
      </c>
      <c r="AD29" s="1023">
        <f>Master!L99</f>
        <v>80.35438932886791</v>
      </c>
      <c r="AE29" s="1023">
        <f>Master!M99</f>
        <v>295.19792508417595</v>
      </c>
      <c r="AF29" s="1023">
        <f>Master!N99</f>
        <v>527.21075539869616</v>
      </c>
      <c r="AG29" s="1023">
        <f>Master!O99</f>
        <v>759.21315552506894</v>
      </c>
      <c r="AH29" s="1023">
        <f>Master!P99</f>
        <v>1000.096953012101</v>
      </c>
      <c r="AI29" s="1023">
        <f>Master!Q99</f>
        <v>1250.2198816800201</v>
      </c>
      <c r="AJ29" s="1023">
        <f>Master!R99</f>
        <v>1508.7271933468028</v>
      </c>
      <c r="AK29" s="1023">
        <f>Master!S99</f>
        <v>1781.036844772023</v>
      </c>
      <c r="AL29" s="1023">
        <f>Master!T99</f>
        <v>2069.4966959740887</v>
      </c>
      <c r="AM29" s="1023">
        <f>Master!U99</f>
        <v>2376.951804704082</v>
      </c>
      <c r="AN29" s="1023">
        <f>Master!V99</f>
        <v>2704.4927852188348</v>
      </c>
      <c r="AO29" s="154"/>
      <c r="AP29" s="154"/>
      <c r="AQ29" s="154"/>
      <c r="AR29" s="154"/>
      <c r="AS29" s="154"/>
      <c r="AT29" s="154"/>
      <c r="AU29" s="154"/>
      <c r="AV29" s="154"/>
      <c r="AW29" s="154"/>
      <c r="AX29" s="154"/>
      <c r="AY29" s="154"/>
    </row>
    <row r="30" spans="1:51">
      <c r="A30" s="154"/>
      <c r="B30" s="1022" t="s">
        <v>531</v>
      </c>
      <c r="C30" s="1027"/>
      <c r="D30" s="1028"/>
      <c r="E30" s="1028"/>
      <c r="F30" s="1028"/>
      <c r="G30" s="1028"/>
      <c r="H30" s="1028"/>
      <c r="I30" s="1028"/>
      <c r="J30" s="1028"/>
      <c r="K30" s="1028"/>
      <c r="L30" s="1028"/>
      <c r="M30" s="1028"/>
      <c r="N30" s="1028"/>
      <c r="O30" s="1028"/>
      <c r="P30" s="1028"/>
      <c r="Q30" s="1028"/>
      <c r="R30" s="1028"/>
      <c r="S30" s="1028"/>
      <c r="T30" s="1028"/>
      <c r="U30" s="1028"/>
      <c r="V30" s="1028"/>
      <c r="W30" s="1028"/>
      <c r="X30" s="1023">
        <f>Master!F50</f>
        <v>209.31299999999999</v>
      </c>
      <c r="Y30" s="1023">
        <f>Master!G50</f>
        <v>209.63</v>
      </c>
      <c r="Z30" s="1023">
        <f>Master!H50</f>
        <v>212.10599999999999</v>
      </c>
      <c r="AA30" s="1023">
        <f>Master!I50</f>
        <v>308.44200000000001</v>
      </c>
      <c r="AB30" s="1023">
        <f>Master!J50</f>
        <v>423.99799999999999</v>
      </c>
      <c r="AC30" s="1023">
        <f>Master!K50</f>
        <v>427.99599999999998</v>
      </c>
      <c r="AD30" s="1023">
        <f>Master!L50</f>
        <v>416.65439179946821</v>
      </c>
      <c r="AE30" s="1023">
        <f>Master!M50</f>
        <v>416.65439179946821</v>
      </c>
      <c r="AF30" s="1023">
        <f>Master!N50</f>
        <v>416.65439179946821</v>
      </c>
      <c r="AG30" s="1023">
        <f>Master!O50</f>
        <v>416.65439179946821</v>
      </c>
      <c r="AH30" s="1023">
        <f>Master!P50</f>
        <v>416.65439179946821</v>
      </c>
      <c r="AI30" s="1023">
        <f>Master!Q50</f>
        <v>416.65439179946821</v>
      </c>
      <c r="AJ30" s="1023">
        <f>Master!R50</f>
        <v>416.65439179946821</v>
      </c>
      <c r="AK30" s="1023">
        <f>Master!S50</f>
        <v>416.65439179946821</v>
      </c>
      <c r="AL30" s="1023">
        <f>Master!T50</f>
        <v>416.65439179946821</v>
      </c>
      <c r="AM30" s="1023">
        <f>Master!U50</f>
        <v>416.65439179946821</v>
      </c>
      <c r="AN30" s="1023">
        <f>Master!V50</f>
        <v>416.65439179946821</v>
      </c>
      <c r="AO30" s="154"/>
      <c r="AP30" s="154"/>
      <c r="AQ30" s="154"/>
      <c r="AR30" s="154"/>
      <c r="AS30" s="154"/>
      <c r="AT30" s="154"/>
      <c r="AU30" s="154"/>
      <c r="AV30" s="154"/>
      <c r="AW30" s="154"/>
      <c r="AX30" s="154"/>
      <c r="AY30" s="154"/>
    </row>
    <row r="31" spans="1:51">
      <c r="A31" s="154"/>
      <c r="B31" s="1022" t="s">
        <v>532</v>
      </c>
      <c r="C31" s="1027"/>
      <c r="D31" s="1028"/>
      <c r="E31" s="1028"/>
      <c r="F31" s="1028"/>
      <c r="G31" s="1028"/>
      <c r="H31" s="1028"/>
      <c r="I31" s="1028"/>
      <c r="J31" s="1028"/>
      <c r="K31" s="1028"/>
      <c r="L31" s="1028"/>
      <c r="M31" s="1028"/>
      <c r="N31" s="1028"/>
      <c r="O31" s="1028"/>
      <c r="P31" s="1028"/>
      <c r="Q31" s="1028"/>
      <c r="R31" s="1028"/>
      <c r="S31" s="1028"/>
      <c r="T31" s="1028"/>
      <c r="U31" s="1028"/>
      <c r="V31" s="1028"/>
      <c r="W31" s="1028"/>
      <c r="X31" s="1023">
        <f>Master!F57</f>
        <v>-422.95200000000011</v>
      </c>
      <c r="Y31" s="1023">
        <f>Master!G57</f>
        <v>-321.99399999999997</v>
      </c>
      <c r="Z31" s="1023">
        <f>Master!H57</f>
        <v>-26.239000000000058</v>
      </c>
      <c r="AA31" s="1023">
        <f>Master!I57</f>
        <v>-459.46900000000011</v>
      </c>
      <c r="AB31" s="1023">
        <f>Master!J57</f>
        <v>-1976.7049999999997</v>
      </c>
      <c r="AC31" s="1023">
        <f>Master!K57</f>
        <v>-1633.2180000000003</v>
      </c>
      <c r="AD31" s="1023">
        <f>Master!L57</f>
        <v>128.44818932886781</v>
      </c>
      <c r="AE31" s="1023">
        <f>Master!M57</f>
        <v>166.59927041974115</v>
      </c>
      <c r="AF31" s="1023">
        <f>Master!N57</f>
        <v>219.69568752439105</v>
      </c>
      <c r="AG31" s="1023">
        <f>Master!O57</f>
        <v>264.10262698856786</v>
      </c>
      <c r="AH31" s="1023">
        <f>Master!P57</f>
        <v>313.57511323631644</v>
      </c>
      <c r="AI31" s="1023">
        <f>Master!Q57</f>
        <v>366.45748765382763</v>
      </c>
      <c r="AJ31" s="1023">
        <f>Master!R57</f>
        <v>419.71040797983437</v>
      </c>
      <c r="AK31" s="1023">
        <f>Master!S57</f>
        <v>475.58792552558197</v>
      </c>
      <c r="AL31" s="1023">
        <f>Master!T57</f>
        <v>535.64803758082303</v>
      </c>
      <c r="AM31" s="1023">
        <f>Master!U57</f>
        <v>600.66806231716964</v>
      </c>
      <c r="AN31" s="1023">
        <f>Master!V57</f>
        <v>670.28339320994087</v>
      </c>
      <c r="AO31" s="154"/>
      <c r="AP31" s="154"/>
      <c r="AQ31" s="154"/>
      <c r="AR31" s="154"/>
      <c r="AS31" s="154"/>
      <c r="AT31" s="154"/>
      <c r="AU31" s="154"/>
      <c r="AV31" s="154"/>
      <c r="AW31" s="154"/>
      <c r="AX31" s="154"/>
      <c r="AY31" s="154"/>
    </row>
    <row r="32" spans="1:51">
      <c r="A32" s="154"/>
      <c r="B32" s="1022" t="s">
        <v>120</v>
      </c>
      <c r="C32" s="1027"/>
      <c r="D32" s="1028"/>
      <c r="E32" s="1028"/>
      <c r="F32" s="1028"/>
      <c r="G32" s="1028"/>
      <c r="H32" s="1028"/>
      <c r="I32" s="1028"/>
      <c r="J32" s="1028"/>
      <c r="K32" s="1028"/>
      <c r="L32" s="1028"/>
      <c r="M32" s="1028"/>
      <c r="N32" s="1028"/>
      <c r="O32" s="1028"/>
      <c r="P32" s="1028"/>
      <c r="Q32" s="1028"/>
      <c r="R32" s="1028"/>
      <c r="S32" s="1028"/>
      <c r="T32" s="1028"/>
      <c r="U32" s="1028"/>
      <c r="V32" s="1028"/>
      <c r="W32" s="1028"/>
      <c r="X32" s="1023">
        <f>Master!F274</f>
        <v>76.007999999999925</v>
      </c>
      <c r="Y32" s="1023">
        <f>Master!G274</f>
        <v>35.993999999999971</v>
      </c>
      <c r="Z32" s="1023">
        <f>Master!H274</f>
        <v>320.81899999999996</v>
      </c>
      <c r="AA32" s="1023">
        <f>Master!I274</f>
        <v>343.30599999999993</v>
      </c>
      <c r="AB32" s="1023">
        <f>Master!J274</f>
        <v>189.1690000000001</v>
      </c>
      <c r="AC32" s="1023">
        <f>Master!K274</f>
        <v>121.13599999999991</v>
      </c>
      <c r="AD32" s="1023">
        <f>Master!L274</f>
        <v>202.13838932886785</v>
      </c>
      <c r="AE32" s="1023">
        <f>Master!M274</f>
        <v>239.65023041974123</v>
      </c>
      <c r="AF32" s="1023">
        <f>Master!N274</f>
        <v>292.07544552439111</v>
      </c>
      <c r="AG32" s="1023">
        <f>Master!O274</f>
        <v>335.77762288856792</v>
      </c>
      <c r="AH32" s="1023">
        <f>Master!P274</f>
        <v>384.51010893131649</v>
      </c>
      <c r="AI32" s="1023">
        <f>Master!Q274</f>
        <v>436.61548313357764</v>
      </c>
      <c r="AJ32" s="1023">
        <f>Master!R274</f>
        <v>489.05255323357176</v>
      </c>
      <c r="AK32" s="1023">
        <f>Master!S274</f>
        <v>544.07342804200607</v>
      </c>
      <c r="AL32" s="1023">
        <f>Master!T274</f>
        <v>603.23406522306846</v>
      </c>
      <c r="AM32" s="1023">
        <f>Master!U274</f>
        <v>667.30964134152737</v>
      </c>
      <c r="AN32" s="1023">
        <f>Master!V274</f>
        <v>735.93330118551648</v>
      </c>
      <c r="AO32" s="154"/>
      <c r="AP32" s="154"/>
      <c r="AQ32" s="154"/>
      <c r="AR32" s="154"/>
      <c r="AS32" s="154"/>
      <c r="AT32" s="154"/>
      <c r="AU32" s="154"/>
      <c r="AV32" s="154"/>
      <c r="AW32" s="154"/>
      <c r="AX32" s="154"/>
      <c r="AY32" s="154"/>
    </row>
    <row r="33" spans="1:51">
      <c r="A33" s="154"/>
      <c r="B33" s="1022" t="s">
        <v>533</v>
      </c>
      <c r="C33" s="1027"/>
      <c r="D33" s="1028"/>
      <c r="E33" s="1028"/>
      <c r="F33" s="1028"/>
      <c r="G33" s="1028"/>
      <c r="H33" s="1028"/>
      <c r="I33" s="1028"/>
      <c r="J33" s="1028"/>
      <c r="K33" s="1028"/>
      <c r="L33" s="1028"/>
      <c r="M33" s="1028"/>
      <c r="N33" s="1028"/>
      <c r="O33" s="1028"/>
      <c r="P33" s="1028"/>
      <c r="Q33" s="1028"/>
      <c r="R33" s="1028"/>
      <c r="S33" s="1028"/>
      <c r="T33" s="1028"/>
      <c r="U33" s="1028"/>
      <c r="V33" s="1028"/>
      <c r="W33" s="1028"/>
      <c r="X33" s="1030">
        <f>Master!F315</f>
        <v>117.67099999999995</v>
      </c>
      <c r="Y33" s="1023">
        <f t="shared" ref="Y33:AI33" si="4">Y206</f>
        <v>197.16800000000006</v>
      </c>
      <c r="Z33" s="1023">
        <f t="shared" si="4"/>
        <v>168.97699999999992</v>
      </c>
      <c r="AA33" s="1023">
        <f t="shared" si="4"/>
        <v>-22.344000000000065</v>
      </c>
      <c r="AB33" s="1023">
        <f t="shared" si="4"/>
        <v>-117.60699999999993</v>
      </c>
      <c r="AC33" s="1023">
        <f t="shared" si="4"/>
        <v>56.635999999999918</v>
      </c>
      <c r="AD33" s="1023">
        <f t="shared" si="4"/>
        <v>125.24362747123229</v>
      </c>
      <c r="AE33" s="1023">
        <f t="shared" si="4"/>
        <v>155.98307317887515</v>
      </c>
      <c r="AF33" s="1023">
        <f t="shared" si="4"/>
        <v>225.13222278251806</v>
      </c>
      <c r="AG33" s="1023">
        <f t="shared" si="4"/>
        <v>260.60895715167254</v>
      </c>
      <c r="AH33" s="1023">
        <f t="shared" si="4"/>
        <v>308.19009253680611</v>
      </c>
      <c r="AI33" s="1023">
        <f t="shared" si="4"/>
        <v>347.92044940562653</v>
      </c>
      <c r="AJ33" s="1023">
        <f t="shared" ref="AJ33:AN33" si="5">AJ206</f>
        <v>404.02056784972552</v>
      </c>
      <c r="AK33" s="1023">
        <f t="shared" si="5"/>
        <v>439.69064777987109</v>
      </c>
      <c r="AL33" s="1023">
        <f t="shared" si="5"/>
        <v>502.6466958569975</v>
      </c>
      <c r="AM33" s="1023">
        <f t="shared" si="5"/>
        <v>556.61031901051797</v>
      </c>
      <c r="AN33" s="1023">
        <f t="shared" si="5"/>
        <v>599.91918177240882</v>
      </c>
      <c r="AO33" s="154"/>
      <c r="AP33" s="154"/>
      <c r="AQ33" s="154"/>
      <c r="AR33" s="154"/>
      <c r="AS33" s="154"/>
      <c r="AT33" s="154"/>
      <c r="AU33" s="154"/>
      <c r="AV33" s="154"/>
      <c r="AW33" s="154"/>
      <c r="AX33" s="154"/>
      <c r="AY33" s="154"/>
    </row>
    <row r="34" spans="1:51">
      <c r="A34" s="154"/>
      <c r="B34" s="1022" t="s">
        <v>1097</v>
      </c>
      <c r="C34" s="1027"/>
      <c r="D34" s="1028"/>
      <c r="E34" s="1028"/>
      <c r="F34" s="1028"/>
      <c r="G34" s="1028"/>
      <c r="H34" s="1028"/>
      <c r="I34" s="1028"/>
      <c r="J34" s="1028"/>
      <c r="K34" s="1028"/>
      <c r="L34" s="1028"/>
      <c r="M34" s="1028"/>
      <c r="N34" s="1028"/>
      <c r="O34" s="1028"/>
      <c r="P34" s="1028"/>
      <c r="Q34" s="1028"/>
      <c r="R34" s="1028"/>
      <c r="S34" s="1028"/>
      <c r="T34" s="1028"/>
      <c r="U34" s="1028"/>
      <c r="V34" s="1028"/>
      <c r="W34" s="1028"/>
      <c r="X34" s="1023">
        <f>Master!F115</f>
        <v>-58.33</v>
      </c>
      <c r="Y34" s="1023">
        <f>Master!G115</f>
        <v>-39.152999999999999</v>
      </c>
      <c r="Z34" s="1023">
        <f>Master!H115</f>
        <v>-63.323999999999998</v>
      </c>
      <c r="AA34" s="1023">
        <f>Master!I115</f>
        <v>-76.629000000000005</v>
      </c>
      <c r="AB34" s="1023">
        <f>Master!J115</f>
        <v>-72.853999999999999</v>
      </c>
      <c r="AC34" s="1023">
        <f>Master!K115</f>
        <v>-55.232999999999997</v>
      </c>
      <c r="AD34" s="1023">
        <f>Master!L115</f>
        <v>-60.756300000000003</v>
      </c>
      <c r="AE34" s="1023">
        <f>Master!M115</f>
        <v>-66.831930000000014</v>
      </c>
      <c r="AF34" s="1023">
        <f>Master!N115</f>
        <v>-73.515123000000017</v>
      </c>
      <c r="AG34" s="1023">
        <f>Master!O115</f>
        <v>-80.866635300000027</v>
      </c>
      <c r="AH34" s="1023">
        <f>Master!P115</f>
        <v>-88.953298830000037</v>
      </c>
      <c r="AI34" s="1023">
        <f>Master!Q115</f>
        <v>-97.848628713000053</v>
      </c>
      <c r="AJ34" s="1023">
        <f>Master!R115</f>
        <v>-105.18727586647505</v>
      </c>
      <c r="AK34" s="1023">
        <f>Master!S115</f>
        <v>-110.44663965979881</v>
      </c>
      <c r="AL34" s="1023">
        <f>Master!T115</f>
        <v>-115.96897164278874</v>
      </c>
      <c r="AM34" s="1023">
        <f>Master!U115</f>
        <v>-121.76742022492819</v>
      </c>
      <c r="AN34" s="1023">
        <f>Master!V115</f>
        <v>-127.8557912361746</v>
      </c>
      <c r="AO34" s="154"/>
      <c r="AP34" s="154"/>
      <c r="AQ34" s="154"/>
      <c r="AR34" s="154"/>
      <c r="AS34" s="154"/>
      <c r="AT34" s="154"/>
      <c r="AU34" s="154"/>
      <c r="AV34" s="154"/>
      <c r="AW34" s="154"/>
      <c r="AX34" s="154"/>
      <c r="AY34" s="154"/>
    </row>
    <row r="35" spans="1:51">
      <c r="A35" s="154"/>
      <c r="B35" s="1022" t="s">
        <v>1098</v>
      </c>
      <c r="C35" s="1027"/>
      <c r="D35" s="1028"/>
      <c r="E35" s="1028"/>
      <c r="F35" s="1028"/>
      <c r="G35" s="1028"/>
      <c r="H35" s="1028"/>
      <c r="I35" s="1028"/>
      <c r="J35" s="1028"/>
      <c r="K35" s="1028"/>
      <c r="L35" s="1028"/>
      <c r="M35" s="1028"/>
      <c r="N35" s="1028"/>
      <c r="O35" s="1028"/>
      <c r="P35" s="1028"/>
      <c r="Q35" s="1028"/>
      <c r="R35" s="1028"/>
      <c r="S35" s="1028"/>
      <c r="T35" s="1028"/>
      <c r="U35" s="1028"/>
      <c r="V35" s="1028"/>
      <c r="W35" s="1028"/>
      <c r="X35" s="1023"/>
      <c r="Y35" s="1023"/>
      <c r="Z35" s="1023"/>
      <c r="AA35" s="1023"/>
      <c r="AB35" s="1023"/>
      <c r="AC35" s="1023"/>
      <c r="AD35" s="1023"/>
      <c r="AE35" s="1023"/>
      <c r="AF35" s="1023"/>
      <c r="AG35" s="1023"/>
      <c r="AH35" s="1023"/>
      <c r="AI35" s="1023"/>
      <c r="AJ35" s="1023"/>
      <c r="AK35" s="1023"/>
      <c r="AL35" s="1023"/>
      <c r="AM35" s="1023"/>
      <c r="AN35" s="1023"/>
      <c r="AO35" s="154"/>
      <c r="AP35" s="154"/>
      <c r="AQ35" s="154"/>
      <c r="AR35" s="154"/>
      <c r="AS35" s="154"/>
      <c r="AT35" s="154"/>
      <c r="AU35" s="154"/>
      <c r="AV35" s="154"/>
      <c r="AW35" s="154"/>
      <c r="AX35" s="154"/>
      <c r="AY35" s="154"/>
    </row>
    <row r="36" spans="1:51">
      <c r="A36" s="154"/>
      <c r="B36" s="1025" t="s">
        <v>534</v>
      </c>
      <c r="C36" s="1027"/>
      <c r="D36" s="1028"/>
      <c r="E36" s="1031"/>
      <c r="F36" s="1031"/>
      <c r="G36" s="1031"/>
      <c r="H36" s="1031"/>
      <c r="I36" s="1031"/>
      <c r="J36" s="1031"/>
      <c r="K36" s="1031"/>
      <c r="L36" s="1031"/>
      <c r="M36" s="1031"/>
      <c r="N36" s="1031"/>
      <c r="O36" s="1031"/>
      <c r="P36" s="1031"/>
      <c r="Q36" s="1031"/>
      <c r="R36" s="1031"/>
      <c r="S36" s="1031"/>
      <c r="T36" s="1031"/>
      <c r="U36" s="1031"/>
      <c r="V36" s="1031"/>
      <c r="W36" s="1031"/>
      <c r="X36" s="1023"/>
      <c r="Y36" s="1023"/>
      <c r="Z36" s="1023"/>
      <c r="AA36" s="1023"/>
      <c r="AB36" s="1023"/>
      <c r="AC36" s="1023"/>
      <c r="AD36" s="1023"/>
      <c r="AE36" s="1023"/>
      <c r="AF36" s="1023"/>
      <c r="AG36" s="1023"/>
      <c r="AH36" s="1023"/>
      <c r="AI36" s="1023"/>
      <c r="AJ36" s="1023"/>
      <c r="AK36" s="1023"/>
      <c r="AL36" s="1023"/>
      <c r="AM36" s="1023"/>
      <c r="AN36" s="1023"/>
      <c r="AO36" s="154"/>
      <c r="AP36" s="154"/>
      <c r="AQ36" s="154"/>
      <c r="AR36" s="154"/>
      <c r="AS36" s="154"/>
      <c r="AT36" s="154"/>
      <c r="AU36" s="154"/>
      <c r="AV36" s="154"/>
      <c r="AW36" s="154"/>
      <c r="AX36" s="154"/>
      <c r="AY36" s="154"/>
    </row>
    <row r="37" spans="1:51">
      <c r="A37" s="154"/>
      <c r="B37" s="1022" t="s">
        <v>535</v>
      </c>
      <c r="C37" s="1027"/>
      <c r="D37" s="1028"/>
      <c r="E37" s="1028"/>
      <c r="F37" s="1028"/>
      <c r="G37" s="1028"/>
      <c r="H37" s="1028"/>
      <c r="I37" s="1028"/>
      <c r="J37" s="1028"/>
      <c r="K37" s="1028"/>
      <c r="L37" s="1028"/>
      <c r="M37" s="1028"/>
      <c r="N37" s="1028"/>
      <c r="O37" s="1028"/>
      <c r="P37" s="1028"/>
      <c r="Q37" s="1028"/>
      <c r="R37" s="1028"/>
      <c r="S37" s="1028"/>
      <c r="T37" s="1028"/>
      <c r="U37" s="1028"/>
      <c r="V37" s="1028"/>
      <c r="W37" s="1028"/>
      <c r="X37" s="1023">
        <f>Master!F77</f>
        <v>1907.0170000000001</v>
      </c>
      <c r="Y37" s="1023">
        <f>Master!G77</f>
        <v>1906.17</v>
      </c>
      <c r="Z37" s="1023">
        <f>Master!H77</f>
        <v>1708.8340000000001</v>
      </c>
      <c r="AA37" s="1023">
        <f>Master!I77</f>
        <v>2075.4409999999998</v>
      </c>
      <c r="AB37" s="1023">
        <f>Master!J77</f>
        <v>1740.2349999999999</v>
      </c>
      <c r="AC37" s="1023">
        <f>Master!K77</f>
        <v>1352.645</v>
      </c>
      <c r="AD37" s="1023">
        <f>Master!L77</f>
        <v>1269.1280225370128</v>
      </c>
      <c r="AE37" s="1023">
        <f>Master!M77</f>
        <v>1296.9630947381597</v>
      </c>
      <c r="AF37" s="1023">
        <f>Master!N77</f>
        <v>1326.9448910205624</v>
      </c>
      <c r="AG37" s="1023">
        <f>Master!O77</f>
        <v>1360.3255062917374</v>
      </c>
      <c r="AH37" s="1023">
        <f>Master!P77</f>
        <v>1389.0400502556945</v>
      </c>
      <c r="AI37" s="1023">
        <f>Master!Q77</f>
        <v>1424.0962691852765</v>
      </c>
      <c r="AJ37" s="1023">
        <f>Master!R77</f>
        <v>1455.1135910259009</v>
      </c>
      <c r="AK37" s="1023">
        <f>Master!S77</f>
        <v>1494.050696665221</v>
      </c>
      <c r="AL37" s="1023">
        <f>Master!T77</f>
        <v>1530.3636866432562</v>
      </c>
      <c r="AM37" s="1023">
        <f>Master!U77</f>
        <v>1577.6240543784661</v>
      </c>
      <c r="AN37" s="1023">
        <f>Master!V77</f>
        <v>1637.2769224291842</v>
      </c>
      <c r="AO37" s="154"/>
      <c r="AP37" s="154"/>
      <c r="AQ37" s="154"/>
      <c r="AR37" s="154"/>
      <c r="AS37" s="154"/>
      <c r="AT37" s="154"/>
      <c r="AU37" s="154"/>
      <c r="AV37" s="154"/>
      <c r="AW37" s="154"/>
      <c r="AX37" s="154"/>
      <c r="AY37" s="154"/>
    </row>
    <row r="38" spans="1:51">
      <c r="A38" s="154"/>
      <c r="B38" s="1025" t="s">
        <v>536</v>
      </c>
      <c r="C38" s="1027"/>
      <c r="D38" s="1027"/>
      <c r="E38" s="1032"/>
      <c r="F38" s="1032"/>
      <c r="G38" s="1032"/>
      <c r="H38" s="1032"/>
      <c r="I38" s="1032"/>
      <c r="J38" s="1032"/>
      <c r="K38" s="1032"/>
      <c r="L38" s="1032"/>
      <c r="M38" s="1032"/>
      <c r="N38" s="1032"/>
      <c r="O38" s="1027"/>
      <c r="P38" s="1027"/>
      <c r="Q38" s="1027"/>
      <c r="R38" s="1027"/>
      <c r="S38" s="1027"/>
      <c r="T38" s="1027"/>
      <c r="U38" s="1027"/>
      <c r="V38" s="1027"/>
      <c r="W38" s="1027"/>
      <c r="X38" s="1023"/>
      <c r="Y38" s="1023"/>
      <c r="Z38" s="1023"/>
      <c r="AA38" s="1023"/>
      <c r="AB38" s="1023"/>
      <c r="AC38" s="1023"/>
      <c r="AD38" s="1023"/>
      <c r="AE38" s="1023"/>
      <c r="AF38" s="1023"/>
      <c r="AG38" s="1023"/>
      <c r="AH38" s="1023"/>
      <c r="AI38" s="1023"/>
      <c r="AJ38" s="1023"/>
      <c r="AK38" s="1023"/>
      <c r="AL38" s="1023"/>
      <c r="AM38" s="1023"/>
      <c r="AN38" s="1023"/>
      <c r="AO38" s="154"/>
      <c r="AP38" s="154"/>
      <c r="AQ38" s="154"/>
      <c r="AR38" s="154"/>
      <c r="AS38" s="154"/>
      <c r="AT38" s="154"/>
      <c r="AU38" s="154"/>
      <c r="AV38" s="154"/>
      <c r="AW38" s="154"/>
      <c r="AX38" s="154"/>
      <c r="AY38" s="154"/>
    </row>
    <row r="39" spans="1:51">
      <c r="A39" s="154"/>
      <c r="B39" s="1025" t="s">
        <v>537</v>
      </c>
      <c r="C39" s="1027"/>
      <c r="D39" s="1027"/>
      <c r="E39" s="1032"/>
      <c r="F39" s="1032"/>
      <c r="G39" s="1032"/>
      <c r="H39" s="1032"/>
      <c r="I39" s="1032"/>
      <c r="J39" s="1032"/>
      <c r="K39" s="1032"/>
      <c r="L39" s="1032"/>
      <c r="M39" s="1032"/>
      <c r="N39" s="1032"/>
      <c r="O39" s="1027"/>
      <c r="P39" s="1027"/>
      <c r="Q39" s="1027"/>
      <c r="R39" s="1027"/>
      <c r="S39" s="1027"/>
      <c r="T39" s="1027"/>
      <c r="U39" s="1027"/>
      <c r="V39" s="1027"/>
      <c r="W39" s="1027"/>
      <c r="X39" s="1023"/>
      <c r="Y39" s="1023"/>
      <c r="Z39" s="1023"/>
      <c r="AA39" s="1023"/>
      <c r="AB39" s="1023"/>
      <c r="AC39" s="1023"/>
      <c r="AD39" s="1023"/>
      <c r="AE39" s="1023"/>
      <c r="AF39" s="1023"/>
      <c r="AG39" s="1023"/>
      <c r="AH39" s="1023"/>
      <c r="AI39" s="1023"/>
      <c r="AJ39" s="1023"/>
      <c r="AK39" s="1023"/>
      <c r="AL39" s="1023"/>
      <c r="AM39" s="1023"/>
      <c r="AN39" s="1023"/>
      <c r="AO39" s="154"/>
      <c r="AP39" s="154"/>
      <c r="AQ39" s="154"/>
      <c r="AR39" s="154"/>
      <c r="AS39" s="154"/>
      <c r="AT39" s="154"/>
      <c r="AU39" s="154"/>
      <c r="AV39" s="154"/>
      <c r="AW39" s="154"/>
      <c r="AX39" s="154"/>
      <c r="AY39" s="154"/>
    </row>
    <row r="40" spans="1:51">
      <c r="A40" s="154"/>
      <c r="B40" s="1025" t="s">
        <v>538</v>
      </c>
      <c r="C40" s="1027"/>
      <c r="D40" s="1027"/>
      <c r="E40" s="1032"/>
      <c r="F40" s="1032"/>
      <c r="G40" s="1032"/>
      <c r="H40" s="1032"/>
      <c r="I40" s="1032"/>
      <c r="J40" s="1032"/>
      <c r="K40" s="1032"/>
      <c r="L40" s="1032"/>
      <c r="M40" s="1032"/>
      <c r="N40" s="1032"/>
      <c r="O40" s="1027"/>
      <c r="P40" s="1027"/>
      <c r="Q40" s="1027"/>
      <c r="R40" s="1027"/>
      <c r="S40" s="1027"/>
      <c r="T40" s="1027"/>
      <c r="U40" s="1027"/>
      <c r="V40" s="1027"/>
      <c r="W40" s="1027"/>
      <c r="X40" s="1023"/>
      <c r="Y40" s="1023"/>
      <c r="Z40" s="1023"/>
      <c r="AA40" s="1023"/>
      <c r="AB40" s="1023"/>
      <c r="AC40" s="1023"/>
      <c r="AD40" s="1023"/>
      <c r="AE40" s="1023"/>
      <c r="AF40" s="1023"/>
      <c r="AG40" s="1023"/>
      <c r="AH40" s="1023"/>
      <c r="AI40" s="1023"/>
      <c r="AJ40" s="1023"/>
      <c r="AK40" s="1023"/>
      <c r="AL40" s="1023"/>
      <c r="AM40" s="1023"/>
      <c r="AN40" s="1023"/>
      <c r="AO40" s="154"/>
      <c r="AP40" s="154"/>
      <c r="AQ40" s="154"/>
      <c r="AR40" s="154"/>
      <c r="AS40" s="154"/>
      <c r="AT40" s="154"/>
      <c r="AU40" s="154"/>
      <c r="AV40" s="154"/>
      <c r="AW40" s="154"/>
      <c r="AX40" s="154"/>
      <c r="AY40" s="154"/>
    </row>
    <row r="41" spans="1:51">
      <c r="A41" s="154"/>
      <c r="B41" s="1025" t="s">
        <v>539</v>
      </c>
      <c r="C41" s="1027"/>
      <c r="D41" s="1027"/>
      <c r="E41" s="1032"/>
      <c r="F41" s="1032"/>
      <c r="G41" s="1032"/>
      <c r="H41" s="1032"/>
      <c r="I41" s="1032"/>
      <c r="J41" s="1032"/>
      <c r="K41" s="1032"/>
      <c r="L41" s="1032"/>
      <c r="M41" s="1032"/>
      <c r="N41" s="1032"/>
      <c r="O41" s="1027"/>
      <c r="P41" s="1027"/>
      <c r="Q41" s="1027"/>
      <c r="R41" s="1027"/>
      <c r="S41" s="1027"/>
      <c r="T41" s="1027"/>
      <c r="U41" s="1027"/>
      <c r="V41" s="1027"/>
      <c r="W41" s="1027"/>
      <c r="X41" s="1023"/>
      <c r="Y41" s="1023"/>
      <c r="Z41" s="1023"/>
      <c r="AA41" s="1023"/>
      <c r="AB41" s="1023"/>
      <c r="AC41" s="1023"/>
      <c r="AD41" s="1023"/>
      <c r="AE41" s="1023"/>
      <c r="AF41" s="1023"/>
      <c r="AG41" s="1023"/>
      <c r="AH41" s="1023"/>
      <c r="AI41" s="1023"/>
      <c r="AJ41" s="1023"/>
      <c r="AK41" s="1023"/>
      <c r="AL41" s="1023"/>
      <c r="AM41" s="1023"/>
      <c r="AN41" s="1023"/>
      <c r="AO41" s="154"/>
      <c r="AP41" s="154"/>
      <c r="AQ41" s="154"/>
      <c r="AR41" s="154"/>
      <c r="AS41" s="154"/>
      <c r="AT41" s="154"/>
      <c r="AU41" s="154"/>
      <c r="AV41" s="154"/>
      <c r="AW41" s="154"/>
      <c r="AX41" s="154"/>
      <c r="AY41" s="154"/>
    </row>
    <row r="42" spans="1:51">
      <c r="A42" s="154"/>
      <c r="B42" s="1025" t="s">
        <v>540</v>
      </c>
      <c r="C42" s="1027"/>
      <c r="D42" s="1027"/>
      <c r="E42" s="1032"/>
      <c r="F42" s="1032"/>
      <c r="G42" s="1032"/>
      <c r="H42" s="1032"/>
      <c r="I42" s="1032"/>
      <c r="J42" s="1032"/>
      <c r="K42" s="1032"/>
      <c r="L42" s="1032"/>
      <c r="M42" s="1032"/>
      <c r="N42" s="1032"/>
      <c r="O42" s="1027"/>
      <c r="P42" s="1027"/>
      <c r="Q42" s="1027"/>
      <c r="R42" s="1027"/>
      <c r="S42" s="1027"/>
      <c r="T42" s="1027"/>
      <c r="U42" s="1027"/>
      <c r="V42" s="1027"/>
      <c r="W42" s="1027"/>
      <c r="X42" s="1023"/>
      <c r="Y42" s="1023"/>
      <c r="Z42" s="1023"/>
      <c r="AA42" s="1023"/>
      <c r="AB42" s="1023"/>
      <c r="AC42" s="1023"/>
      <c r="AD42" s="1023"/>
      <c r="AE42" s="1023"/>
      <c r="AF42" s="1023"/>
      <c r="AG42" s="1023"/>
      <c r="AH42" s="1023"/>
      <c r="AI42" s="1023"/>
      <c r="AJ42" s="1023"/>
      <c r="AK42" s="1023"/>
      <c r="AL42" s="1023"/>
      <c r="AM42" s="1023"/>
      <c r="AN42" s="1023"/>
      <c r="AO42" s="154"/>
      <c r="AP42" s="154"/>
      <c r="AQ42" s="154"/>
      <c r="AR42" s="154"/>
      <c r="AS42" s="154"/>
      <c r="AT42" s="154"/>
      <c r="AU42" s="154"/>
      <c r="AV42" s="154"/>
      <c r="AW42" s="154"/>
      <c r="AX42" s="154"/>
      <c r="AY42" s="154"/>
    </row>
    <row r="43" spans="1:51">
      <c r="A43" s="154"/>
      <c r="B43" s="1025" t="s">
        <v>541</v>
      </c>
      <c r="C43" s="1027"/>
      <c r="D43" s="1027"/>
      <c r="E43" s="1032"/>
      <c r="F43" s="1032"/>
      <c r="G43" s="1032"/>
      <c r="H43" s="1032"/>
      <c r="I43" s="1032"/>
      <c r="J43" s="1032"/>
      <c r="K43" s="1032"/>
      <c r="L43" s="1032"/>
      <c r="M43" s="1032"/>
      <c r="N43" s="1032"/>
      <c r="O43" s="1027"/>
      <c r="P43" s="1027"/>
      <c r="Q43" s="1027"/>
      <c r="R43" s="1027"/>
      <c r="S43" s="1027"/>
      <c r="T43" s="1027"/>
      <c r="U43" s="1027"/>
      <c r="V43" s="1027"/>
      <c r="W43" s="1027"/>
      <c r="X43" s="1023"/>
      <c r="Y43" s="1023"/>
      <c r="Z43" s="1023"/>
      <c r="AA43" s="1023"/>
      <c r="AB43" s="1023"/>
      <c r="AC43" s="1023"/>
      <c r="AD43" s="1023"/>
      <c r="AE43" s="1023"/>
      <c r="AF43" s="1023"/>
      <c r="AG43" s="1023"/>
      <c r="AH43" s="1023"/>
      <c r="AI43" s="1023"/>
      <c r="AJ43" s="1023"/>
      <c r="AK43" s="1023"/>
      <c r="AL43" s="1023"/>
      <c r="AM43" s="1023"/>
      <c r="AN43" s="1023"/>
      <c r="AO43" s="154"/>
      <c r="AP43" s="154"/>
      <c r="AQ43" s="154"/>
      <c r="AR43" s="154"/>
      <c r="AS43" s="154"/>
      <c r="AT43" s="154"/>
      <c r="AU43" s="154"/>
      <c r="AV43" s="154"/>
      <c r="AW43" s="154"/>
      <c r="AX43" s="154"/>
      <c r="AY43" s="154"/>
    </row>
    <row r="44" spans="1:51">
      <c r="A44" s="154"/>
      <c r="B44" s="1025" t="s">
        <v>542</v>
      </c>
      <c r="C44" s="1027"/>
      <c r="D44" s="1027"/>
      <c r="E44" s="1032"/>
      <c r="F44" s="1032"/>
      <c r="G44" s="1032"/>
      <c r="H44" s="1032"/>
      <c r="I44" s="1032"/>
      <c r="J44" s="1032"/>
      <c r="K44" s="1032"/>
      <c r="L44" s="1032"/>
      <c r="M44" s="1032"/>
      <c r="N44" s="1032"/>
      <c r="O44" s="1027"/>
      <c r="P44" s="1027"/>
      <c r="Q44" s="1027"/>
      <c r="R44" s="1027"/>
      <c r="S44" s="1027"/>
      <c r="T44" s="1027"/>
      <c r="U44" s="1027"/>
      <c r="V44" s="1027"/>
      <c r="W44" s="1027"/>
      <c r="X44" s="1023"/>
      <c r="Y44" s="1023"/>
      <c r="Z44" s="1023"/>
      <c r="AA44" s="1023"/>
      <c r="AB44" s="1023"/>
      <c r="AC44" s="1023"/>
      <c r="AD44" s="1023"/>
      <c r="AE44" s="1023"/>
      <c r="AF44" s="1023"/>
      <c r="AG44" s="1023"/>
      <c r="AH44" s="1023"/>
      <c r="AI44" s="1023"/>
      <c r="AJ44" s="1023"/>
      <c r="AK44" s="1023"/>
      <c r="AL44" s="1023"/>
      <c r="AM44" s="1023"/>
      <c r="AN44" s="1023"/>
      <c r="AO44" s="154"/>
      <c r="AP44" s="154"/>
      <c r="AQ44" s="154"/>
      <c r="AR44" s="154"/>
      <c r="AS44" s="154"/>
      <c r="AT44" s="154"/>
      <c r="AU44" s="154"/>
      <c r="AV44" s="154"/>
      <c r="AW44" s="154"/>
      <c r="AX44" s="154"/>
      <c r="AY44" s="154"/>
    </row>
    <row r="45" spans="1:51">
      <c r="A45" s="154"/>
      <c r="B45" s="1025" t="s">
        <v>543</v>
      </c>
      <c r="C45" s="1027"/>
      <c r="D45" s="1027"/>
      <c r="E45" s="1032"/>
      <c r="F45" s="1032"/>
      <c r="G45" s="1032"/>
      <c r="H45" s="1032"/>
      <c r="I45" s="1032"/>
      <c r="J45" s="1032"/>
      <c r="K45" s="1032"/>
      <c r="L45" s="1032"/>
      <c r="M45" s="1032"/>
      <c r="N45" s="1032"/>
      <c r="O45" s="1027"/>
      <c r="P45" s="1027"/>
      <c r="Q45" s="1027"/>
      <c r="R45" s="1027"/>
      <c r="S45" s="1027"/>
      <c r="T45" s="1027"/>
      <c r="U45" s="1027"/>
      <c r="V45" s="1027"/>
      <c r="W45" s="1027"/>
      <c r="X45" s="1023"/>
      <c r="Y45" s="1023"/>
      <c r="Z45" s="1023"/>
      <c r="AA45" s="1023"/>
      <c r="AB45" s="1023"/>
      <c r="AC45" s="1023"/>
      <c r="AD45" s="1023"/>
      <c r="AE45" s="1023"/>
      <c r="AF45" s="1023"/>
      <c r="AG45" s="1023"/>
      <c r="AH45" s="1023"/>
      <c r="AI45" s="1023"/>
      <c r="AJ45" s="1023"/>
      <c r="AK45" s="1023"/>
      <c r="AL45" s="1023"/>
      <c r="AM45" s="1023"/>
      <c r="AN45" s="1023"/>
      <c r="AO45" s="154"/>
      <c r="AP45" s="154"/>
      <c r="AQ45" s="154"/>
      <c r="AR45" s="154"/>
      <c r="AS45" s="154"/>
      <c r="AT45" s="154"/>
      <c r="AU45" s="154"/>
      <c r="AV45" s="154"/>
      <c r="AW45" s="154"/>
      <c r="AX45" s="154"/>
      <c r="AY45" s="154"/>
    </row>
    <row r="46" spans="1:51">
      <c r="A46" s="154"/>
      <c r="B46" s="1025" t="s">
        <v>544</v>
      </c>
      <c r="C46" s="1027"/>
      <c r="D46" s="1027"/>
      <c r="E46" s="1032"/>
      <c r="F46" s="1032"/>
      <c r="G46" s="1032"/>
      <c r="H46" s="1032"/>
      <c r="I46" s="1032"/>
      <c r="J46" s="1032"/>
      <c r="K46" s="1032"/>
      <c r="L46" s="1032"/>
      <c r="M46" s="1032"/>
      <c r="N46" s="1032"/>
      <c r="O46" s="1027"/>
      <c r="P46" s="1027"/>
      <c r="Q46" s="1027"/>
      <c r="R46" s="1027"/>
      <c r="S46" s="1027"/>
      <c r="T46" s="1027"/>
      <c r="U46" s="1027"/>
      <c r="V46" s="1027"/>
      <c r="W46" s="1027"/>
      <c r="X46" s="1023"/>
      <c r="Y46" s="1023"/>
      <c r="Z46" s="1023"/>
      <c r="AA46" s="1023"/>
      <c r="AB46" s="1023"/>
      <c r="AC46" s="1023"/>
      <c r="AD46" s="1023"/>
      <c r="AE46" s="1023"/>
      <c r="AF46" s="1023"/>
      <c r="AG46" s="1023"/>
      <c r="AH46" s="1023"/>
      <c r="AI46" s="1023"/>
      <c r="AJ46" s="1023"/>
      <c r="AK46" s="1023"/>
      <c r="AL46" s="1023"/>
      <c r="AM46" s="1023"/>
      <c r="AN46" s="1023"/>
      <c r="AO46" s="154"/>
      <c r="AP46" s="154"/>
      <c r="AQ46" s="154"/>
      <c r="AR46" s="154"/>
      <c r="AS46" s="154"/>
      <c r="AT46" s="154"/>
      <c r="AU46" s="154"/>
      <c r="AV46" s="154"/>
      <c r="AW46" s="154"/>
      <c r="AX46" s="154"/>
      <c r="AY46" s="154"/>
    </row>
    <row r="47" spans="1:51">
      <c r="A47" s="154"/>
      <c r="B47" s="1025" t="s">
        <v>545</v>
      </c>
      <c r="C47" s="1027"/>
      <c r="D47" s="1027"/>
      <c r="E47" s="1032"/>
      <c r="F47" s="1032"/>
      <c r="G47" s="1032"/>
      <c r="H47" s="1032"/>
      <c r="I47" s="1032"/>
      <c r="J47" s="1032"/>
      <c r="K47" s="1032"/>
      <c r="L47" s="1032"/>
      <c r="M47" s="1032"/>
      <c r="N47" s="1032"/>
      <c r="O47" s="1027"/>
      <c r="P47" s="1027"/>
      <c r="Q47" s="1027"/>
      <c r="R47" s="1027"/>
      <c r="S47" s="1027"/>
      <c r="T47" s="1027"/>
      <c r="U47" s="1027"/>
      <c r="V47" s="1027"/>
      <c r="W47" s="1027"/>
      <c r="X47" s="1023"/>
      <c r="Y47" s="1023"/>
      <c r="Z47" s="1023"/>
      <c r="AA47" s="1023"/>
      <c r="AB47" s="1023"/>
      <c r="AC47" s="1023"/>
      <c r="AD47" s="1023"/>
      <c r="AE47" s="1023"/>
      <c r="AF47" s="1023"/>
      <c r="AG47" s="1023"/>
      <c r="AH47" s="1023"/>
      <c r="AI47" s="1023"/>
      <c r="AJ47" s="1023"/>
      <c r="AK47" s="1023"/>
      <c r="AL47" s="1023"/>
      <c r="AM47" s="1023"/>
      <c r="AN47" s="1023"/>
      <c r="AO47" s="154"/>
      <c r="AP47" s="154"/>
      <c r="AQ47" s="154"/>
      <c r="AR47" s="154"/>
      <c r="AS47" s="154"/>
      <c r="AT47" s="154"/>
      <c r="AU47" s="154"/>
      <c r="AV47" s="154"/>
      <c r="AW47" s="154"/>
      <c r="AX47" s="154"/>
      <c r="AY47" s="154"/>
    </row>
    <row r="48" spans="1:51">
      <c r="A48" s="154"/>
      <c r="B48" s="1025" t="s">
        <v>546</v>
      </c>
      <c r="C48" s="1027"/>
      <c r="D48" s="1027"/>
      <c r="E48" s="1032"/>
      <c r="F48" s="1032"/>
      <c r="G48" s="1032"/>
      <c r="H48" s="1032"/>
      <c r="I48" s="1032"/>
      <c r="J48" s="1032"/>
      <c r="K48" s="1032"/>
      <c r="L48" s="1032"/>
      <c r="M48" s="1032"/>
      <c r="N48" s="1032"/>
      <c r="O48" s="1027"/>
      <c r="P48" s="1027"/>
      <c r="Q48" s="1027"/>
      <c r="R48" s="1027"/>
      <c r="S48" s="1027"/>
      <c r="T48" s="1027"/>
      <c r="U48" s="1027"/>
      <c r="V48" s="1027"/>
      <c r="W48" s="1027"/>
      <c r="X48" s="1023"/>
      <c r="Y48" s="1023"/>
      <c r="Z48" s="1023"/>
      <c r="AA48" s="1023"/>
      <c r="AB48" s="1023"/>
      <c r="AC48" s="1023"/>
      <c r="AD48" s="1023"/>
      <c r="AE48" s="1023"/>
      <c r="AF48" s="1023"/>
      <c r="AG48" s="1023"/>
      <c r="AH48" s="1023"/>
      <c r="AI48" s="1023"/>
      <c r="AJ48" s="1023"/>
      <c r="AK48" s="1023"/>
      <c r="AL48" s="1023"/>
      <c r="AM48" s="1023"/>
      <c r="AN48" s="1023"/>
      <c r="AO48" s="154"/>
      <c r="AP48" s="154"/>
      <c r="AQ48" s="154"/>
      <c r="AR48" s="154"/>
      <c r="AS48" s="154"/>
      <c r="AT48" s="154"/>
      <c r="AU48" s="154"/>
      <c r="AV48" s="154"/>
      <c r="AW48" s="154"/>
      <c r="AX48" s="154"/>
      <c r="AY48" s="154"/>
    </row>
    <row r="49" spans="1:51">
      <c r="A49" s="154"/>
      <c r="B49" s="1025" t="s">
        <v>547</v>
      </c>
      <c r="C49" s="1027"/>
      <c r="D49" s="1027"/>
      <c r="E49" s="1032"/>
      <c r="F49" s="1032"/>
      <c r="G49" s="1032"/>
      <c r="H49" s="1032"/>
      <c r="I49" s="1032"/>
      <c r="J49" s="1032"/>
      <c r="K49" s="1032"/>
      <c r="L49" s="1032"/>
      <c r="M49" s="1032"/>
      <c r="N49" s="1032"/>
      <c r="O49" s="1027"/>
      <c r="P49" s="1027"/>
      <c r="Q49" s="1027"/>
      <c r="R49" s="1027"/>
      <c r="S49" s="1027"/>
      <c r="T49" s="1027"/>
      <c r="U49" s="1027"/>
      <c r="V49" s="1027"/>
      <c r="W49" s="1027"/>
      <c r="X49" s="1023"/>
      <c r="Y49" s="1023"/>
      <c r="Z49" s="1023"/>
      <c r="AA49" s="1023"/>
      <c r="AB49" s="1023"/>
      <c r="AC49" s="1023"/>
      <c r="AD49" s="1023"/>
      <c r="AE49" s="1023"/>
      <c r="AF49" s="1023"/>
      <c r="AG49" s="1023"/>
      <c r="AH49" s="1023"/>
      <c r="AI49" s="1023"/>
      <c r="AJ49" s="1023"/>
      <c r="AK49" s="1023"/>
      <c r="AL49" s="1023"/>
      <c r="AM49" s="1023"/>
      <c r="AN49" s="1023"/>
      <c r="AO49" s="154"/>
      <c r="AP49" s="154"/>
      <c r="AQ49" s="154"/>
      <c r="AR49" s="154"/>
      <c r="AS49" s="154"/>
      <c r="AT49" s="154"/>
      <c r="AU49" s="154"/>
      <c r="AV49" s="154"/>
      <c r="AW49" s="154"/>
      <c r="AX49" s="154"/>
      <c r="AY49" s="154"/>
    </row>
    <row r="50" spans="1:51">
      <c r="A50" s="154"/>
      <c r="B50" s="1025" t="s">
        <v>548</v>
      </c>
      <c r="C50" s="1027"/>
      <c r="D50" s="1027"/>
      <c r="E50" s="1032"/>
      <c r="F50" s="1032"/>
      <c r="G50" s="1032"/>
      <c r="H50" s="1032"/>
      <c r="I50" s="1032"/>
      <c r="J50" s="1032"/>
      <c r="K50" s="1032"/>
      <c r="L50" s="1032"/>
      <c r="M50" s="1032"/>
      <c r="N50" s="1032"/>
      <c r="O50" s="1027"/>
      <c r="P50" s="1027"/>
      <c r="Q50" s="1027"/>
      <c r="R50" s="1027"/>
      <c r="S50" s="1027"/>
      <c r="T50" s="1027"/>
      <c r="U50" s="1027"/>
      <c r="V50" s="1027"/>
      <c r="W50" s="1027"/>
      <c r="X50" s="1023"/>
      <c r="Y50" s="1023"/>
      <c r="Z50" s="1023"/>
      <c r="AA50" s="1023"/>
      <c r="AB50" s="1023"/>
      <c r="AC50" s="1023"/>
      <c r="AD50" s="1023"/>
      <c r="AE50" s="1023"/>
      <c r="AF50" s="1023"/>
      <c r="AG50" s="1023"/>
      <c r="AH50" s="1023"/>
      <c r="AI50" s="1023"/>
      <c r="AJ50" s="1023"/>
      <c r="AK50" s="1023"/>
      <c r="AL50" s="1023"/>
      <c r="AM50" s="1023"/>
      <c r="AN50" s="1023"/>
      <c r="AO50" s="154"/>
      <c r="AP50" s="154"/>
      <c r="AQ50" s="154"/>
      <c r="AR50" s="154"/>
      <c r="AS50" s="154"/>
      <c r="AT50" s="154"/>
      <c r="AU50" s="154"/>
      <c r="AV50" s="154"/>
      <c r="AW50" s="154"/>
      <c r="AX50" s="154"/>
      <c r="AY50" s="154"/>
    </row>
    <row r="51" spans="1:51">
      <c r="A51" s="154"/>
      <c r="B51" s="1025" t="s">
        <v>549</v>
      </c>
      <c r="C51" s="1027"/>
      <c r="D51" s="1027"/>
      <c r="E51" s="1032"/>
      <c r="F51" s="1032"/>
      <c r="G51" s="1032"/>
      <c r="H51" s="1032"/>
      <c r="I51" s="1032"/>
      <c r="J51" s="1032"/>
      <c r="K51" s="1032"/>
      <c r="L51" s="1032"/>
      <c r="M51" s="1032"/>
      <c r="N51" s="1032"/>
      <c r="O51" s="1027"/>
      <c r="P51" s="1027"/>
      <c r="Q51" s="1027"/>
      <c r="R51" s="1027"/>
      <c r="S51" s="1027"/>
      <c r="T51" s="1027"/>
      <c r="U51" s="1027"/>
      <c r="V51" s="1027"/>
      <c r="W51" s="1027"/>
      <c r="X51" s="1023"/>
      <c r="Y51" s="1023"/>
      <c r="Z51" s="1023"/>
      <c r="AA51" s="1023"/>
      <c r="AB51" s="1023"/>
      <c r="AC51" s="1023"/>
      <c r="AD51" s="1023"/>
      <c r="AE51" s="1023"/>
      <c r="AF51" s="1023"/>
      <c r="AG51" s="1023"/>
      <c r="AH51" s="1023"/>
      <c r="AI51" s="1023"/>
      <c r="AJ51" s="1023"/>
      <c r="AK51" s="1023"/>
      <c r="AL51" s="1023"/>
      <c r="AM51" s="1023"/>
      <c r="AN51" s="1023"/>
      <c r="AO51" s="154"/>
      <c r="AP51" s="154"/>
      <c r="AQ51" s="154"/>
      <c r="AR51" s="154"/>
      <c r="AS51" s="154"/>
      <c r="AT51" s="154"/>
      <c r="AU51" s="154"/>
      <c r="AV51" s="154"/>
      <c r="AW51" s="154"/>
      <c r="AX51" s="154"/>
      <c r="AY51" s="154"/>
    </row>
    <row r="52" spans="1:51">
      <c r="A52" s="154"/>
      <c r="B52" s="1025" t="s">
        <v>550</v>
      </c>
      <c r="C52" s="1027"/>
      <c r="D52" s="1027"/>
      <c r="E52" s="1032"/>
      <c r="F52" s="1032"/>
      <c r="G52" s="1032"/>
      <c r="H52" s="1032"/>
      <c r="I52" s="1032"/>
      <c r="J52" s="1032"/>
      <c r="K52" s="1032"/>
      <c r="L52" s="1032"/>
      <c r="M52" s="1032"/>
      <c r="N52" s="1032"/>
      <c r="O52" s="1027"/>
      <c r="P52" s="1027"/>
      <c r="Q52" s="1027"/>
      <c r="R52" s="1027"/>
      <c r="S52" s="1027"/>
      <c r="T52" s="1027"/>
      <c r="U52" s="1027"/>
      <c r="V52" s="1027"/>
      <c r="W52" s="1027"/>
      <c r="X52" s="1023"/>
      <c r="Y52" s="1023"/>
      <c r="Z52" s="1023"/>
      <c r="AA52" s="1023"/>
      <c r="AB52" s="1023"/>
      <c r="AC52" s="1023"/>
      <c r="AD52" s="1023"/>
      <c r="AE52" s="1023"/>
      <c r="AF52" s="1023"/>
      <c r="AG52" s="1023"/>
      <c r="AH52" s="1023"/>
      <c r="AI52" s="1023"/>
      <c r="AJ52" s="1023"/>
      <c r="AK52" s="1023"/>
      <c r="AL52" s="1023"/>
      <c r="AM52" s="1023"/>
      <c r="AN52" s="1023"/>
      <c r="AO52" s="154"/>
      <c r="AP52" s="154"/>
      <c r="AQ52" s="154"/>
      <c r="AR52" s="154"/>
      <c r="AS52" s="154"/>
      <c r="AT52" s="154"/>
      <c r="AU52" s="154"/>
      <c r="AV52" s="154"/>
      <c r="AW52" s="154"/>
      <c r="AX52" s="154"/>
      <c r="AY52" s="154"/>
    </row>
    <row r="53" spans="1:51">
      <c r="A53" s="154"/>
      <c r="B53" s="1025" t="s">
        <v>551</v>
      </c>
      <c r="C53" s="1027"/>
      <c r="D53" s="1027"/>
      <c r="E53" s="1032"/>
      <c r="F53" s="1032"/>
      <c r="G53" s="1032"/>
      <c r="H53" s="1032"/>
      <c r="I53" s="1032"/>
      <c r="J53" s="1032"/>
      <c r="K53" s="1032"/>
      <c r="L53" s="1032"/>
      <c r="M53" s="1032"/>
      <c r="N53" s="1032"/>
      <c r="O53" s="1027"/>
      <c r="P53" s="1027"/>
      <c r="Q53" s="1027"/>
      <c r="R53" s="1027"/>
      <c r="S53" s="1027"/>
      <c r="T53" s="1027"/>
      <c r="U53" s="1027"/>
      <c r="V53" s="1027"/>
      <c r="W53" s="1027"/>
      <c r="X53" s="1023"/>
      <c r="Y53" s="1023"/>
      <c r="Z53" s="1023"/>
      <c r="AA53" s="1023"/>
      <c r="AB53" s="1023"/>
      <c r="AC53" s="1023"/>
      <c r="AD53" s="1023"/>
      <c r="AE53" s="1023"/>
      <c r="AF53" s="1023"/>
      <c r="AG53" s="1023"/>
      <c r="AH53" s="1023"/>
      <c r="AI53" s="1023"/>
      <c r="AJ53" s="1023"/>
      <c r="AK53" s="1023"/>
      <c r="AL53" s="1023"/>
      <c r="AM53" s="1023"/>
      <c r="AN53" s="1023"/>
      <c r="AO53" s="154"/>
      <c r="AP53" s="154"/>
      <c r="AQ53" s="154"/>
      <c r="AR53" s="154"/>
      <c r="AS53" s="154"/>
      <c r="AT53" s="154"/>
      <c r="AU53" s="154"/>
      <c r="AV53" s="154"/>
      <c r="AW53" s="154"/>
      <c r="AX53" s="154"/>
      <c r="AY53" s="154"/>
    </row>
    <row r="54" spans="1:51">
      <c r="A54" s="154"/>
      <c r="B54" s="1025" t="s">
        <v>552</v>
      </c>
      <c r="C54" s="1027"/>
      <c r="D54" s="1027"/>
      <c r="E54" s="1032"/>
      <c r="F54" s="1032"/>
      <c r="G54" s="1032"/>
      <c r="H54" s="1032"/>
      <c r="I54" s="1032"/>
      <c r="J54" s="1032"/>
      <c r="K54" s="1032"/>
      <c r="L54" s="1032"/>
      <c r="M54" s="1032"/>
      <c r="N54" s="1032"/>
      <c r="O54" s="1027"/>
      <c r="P54" s="1027"/>
      <c r="Q54" s="1027"/>
      <c r="R54" s="1027"/>
      <c r="S54" s="1027"/>
      <c r="T54" s="1027"/>
      <c r="U54" s="1027"/>
      <c r="V54" s="1027"/>
      <c r="W54" s="1027"/>
      <c r="X54" s="1023"/>
      <c r="Y54" s="1023"/>
      <c r="Z54" s="1023"/>
      <c r="AA54" s="1023"/>
      <c r="AB54" s="1023"/>
      <c r="AC54" s="1023"/>
      <c r="AD54" s="1023"/>
      <c r="AE54" s="1023"/>
      <c r="AF54" s="1023"/>
      <c r="AG54" s="1023"/>
      <c r="AH54" s="1023"/>
      <c r="AI54" s="1023"/>
      <c r="AJ54" s="1023"/>
      <c r="AK54" s="1023"/>
      <c r="AL54" s="1023"/>
      <c r="AM54" s="1023"/>
      <c r="AN54" s="1023"/>
      <c r="AO54" s="154"/>
      <c r="AP54" s="154"/>
      <c r="AQ54" s="154"/>
      <c r="AR54" s="154"/>
      <c r="AS54" s="154"/>
      <c r="AT54" s="154"/>
      <c r="AU54" s="154"/>
      <c r="AV54" s="154"/>
      <c r="AW54" s="154"/>
      <c r="AX54" s="154"/>
      <c r="AY54" s="154"/>
    </row>
    <row r="55" spans="1:51">
      <c r="A55" s="154"/>
      <c r="B55" s="1022" t="s">
        <v>553</v>
      </c>
      <c r="C55" s="1027"/>
      <c r="D55" s="1028"/>
      <c r="E55" s="1028"/>
      <c r="F55" s="1028"/>
      <c r="G55" s="1028"/>
      <c r="H55" s="1028"/>
      <c r="I55" s="1028"/>
      <c r="J55" s="1028"/>
      <c r="K55" s="1028"/>
      <c r="L55" s="1028"/>
      <c r="M55" s="1028"/>
      <c r="N55" s="1028"/>
      <c r="O55" s="1028"/>
      <c r="P55" s="1028"/>
      <c r="Q55" s="1028"/>
      <c r="R55" s="1028"/>
      <c r="S55" s="1028"/>
      <c r="T55" s="1028"/>
      <c r="U55" s="1028"/>
      <c r="V55" s="1028"/>
      <c r="W55" s="1028"/>
      <c r="X55" s="1023"/>
      <c r="Y55" s="1023"/>
      <c r="Z55" s="1023"/>
      <c r="AA55" s="1023"/>
      <c r="AB55" s="1023"/>
      <c r="AC55" s="1023"/>
      <c r="AD55" s="1023"/>
      <c r="AE55" s="1023"/>
      <c r="AF55" s="1023"/>
      <c r="AG55" s="1023"/>
      <c r="AH55" s="1023"/>
      <c r="AI55" s="1023"/>
      <c r="AJ55" s="1023"/>
      <c r="AK55" s="1023"/>
      <c r="AL55" s="1023"/>
      <c r="AM55" s="1023"/>
      <c r="AN55" s="1023"/>
      <c r="AO55" s="154"/>
      <c r="AP55" s="154"/>
      <c r="AQ55" s="154"/>
      <c r="AR55" s="154"/>
      <c r="AS55" s="154"/>
      <c r="AT55" s="154"/>
      <c r="AU55" s="154"/>
      <c r="AV55" s="154"/>
      <c r="AW55" s="154"/>
      <c r="AX55" s="154"/>
      <c r="AY55" s="154"/>
    </row>
    <row r="56" spans="1:51">
      <c r="A56" s="154"/>
      <c r="B56" s="1025" t="s">
        <v>554</v>
      </c>
      <c r="C56" s="1027"/>
      <c r="D56" s="1027"/>
      <c r="E56" s="1032"/>
      <c r="F56" s="1032"/>
      <c r="G56" s="1032"/>
      <c r="H56" s="1032"/>
      <c r="I56" s="1032"/>
      <c r="J56" s="1032"/>
      <c r="K56" s="1032"/>
      <c r="L56" s="1032"/>
      <c r="M56" s="1032"/>
      <c r="N56" s="1032"/>
      <c r="O56" s="1032"/>
      <c r="P56" s="1032"/>
      <c r="Q56" s="1032"/>
      <c r="R56" s="1027"/>
      <c r="S56" s="1027"/>
      <c r="T56" s="1027"/>
      <c r="U56" s="1027"/>
      <c r="V56" s="1027"/>
      <c r="W56" s="1027"/>
      <c r="X56" s="1023"/>
      <c r="Y56" s="1023"/>
      <c r="Z56" s="1023"/>
      <c r="AA56" s="1023"/>
      <c r="AB56" s="1023"/>
      <c r="AC56" s="1023"/>
      <c r="AD56" s="1023"/>
      <c r="AE56" s="1023"/>
      <c r="AF56" s="1023"/>
      <c r="AG56" s="1023"/>
      <c r="AH56" s="1023"/>
      <c r="AI56" s="1023"/>
      <c r="AJ56" s="1023"/>
      <c r="AK56" s="1023"/>
      <c r="AL56" s="1023"/>
      <c r="AM56" s="1023"/>
      <c r="AN56" s="1023"/>
      <c r="AO56" s="154"/>
      <c r="AP56" s="154"/>
      <c r="AQ56" s="154"/>
      <c r="AR56" s="154"/>
      <c r="AS56" s="154"/>
      <c r="AT56" s="154"/>
      <c r="AU56" s="154"/>
      <c r="AV56" s="154"/>
      <c r="AW56" s="154"/>
      <c r="AX56" s="154"/>
      <c r="AY56" s="154"/>
    </row>
    <row r="57" spans="1:51">
      <c r="A57" s="154"/>
      <c r="B57" s="1025" t="s">
        <v>555</v>
      </c>
      <c r="C57" s="1027"/>
      <c r="D57" s="1027"/>
      <c r="E57" s="1032"/>
      <c r="F57" s="1032"/>
      <c r="G57" s="1032"/>
      <c r="H57" s="1032"/>
      <c r="I57" s="1032"/>
      <c r="J57" s="1032"/>
      <c r="K57" s="1032"/>
      <c r="L57" s="1032"/>
      <c r="M57" s="1032"/>
      <c r="N57" s="1032"/>
      <c r="O57" s="1032"/>
      <c r="P57" s="1032"/>
      <c r="Q57" s="1032"/>
      <c r="R57" s="1027"/>
      <c r="S57" s="1027"/>
      <c r="T57" s="1027"/>
      <c r="U57" s="1027"/>
      <c r="V57" s="1027"/>
      <c r="W57" s="1027"/>
      <c r="X57" s="1023"/>
      <c r="Y57" s="1023"/>
      <c r="Z57" s="1023"/>
      <c r="AA57" s="1023"/>
      <c r="AB57" s="1023"/>
      <c r="AC57" s="1023"/>
      <c r="AD57" s="1023"/>
      <c r="AE57" s="1023"/>
      <c r="AF57" s="1023"/>
      <c r="AG57" s="1023"/>
      <c r="AH57" s="1023"/>
      <c r="AI57" s="1023"/>
      <c r="AJ57" s="1023"/>
      <c r="AK57" s="1023"/>
      <c r="AL57" s="1023"/>
      <c r="AM57" s="1023"/>
      <c r="AN57" s="1023"/>
      <c r="AO57" s="154"/>
      <c r="AP57" s="154"/>
      <c r="AQ57" s="154"/>
      <c r="AR57" s="154"/>
      <c r="AS57" s="154"/>
      <c r="AT57" s="154"/>
      <c r="AU57" s="154"/>
      <c r="AV57" s="154"/>
      <c r="AW57" s="154"/>
      <c r="AX57" s="154"/>
      <c r="AY57" s="154"/>
    </row>
    <row r="58" spans="1:51">
      <c r="A58" s="154"/>
      <c r="B58" s="1025" t="s">
        <v>556</v>
      </c>
      <c r="C58" s="1027"/>
      <c r="D58" s="1027"/>
      <c r="E58" s="1032"/>
      <c r="F58" s="1032"/>
      <c r="G58" s="1032"/>
      <c r="H58" s="1032"/>
      <c r="I58" s="1032"/>
      <c r="J58" s="1032"/>
      <c r="K58" s="1032"/>
      <c r="L58" s="1032"/>
      <c r="M58" s="1032"/>
      <c r="N58" s="1032"/>
      <c r="O58" s="1032"/>
      <c r="P58" s="1032"/>
      <c r="Q58" s="1032"/>
      <c r="R58" s="1027"/>
      <c r="S58" s="1027"/>
      <c r="T58" s="1027"/>
      <c r="U58" s="1027"/>
      <c r="V58" s="1027"/>
      <c r="W58" s="1027"/>
      <c r="X58" s="1023"/>
      <c r="Y58" s="1023"/>
      <c r="Z58" s="1023"/>
      <c r="AA58" s="1023"/>
      <c r="AB58" s="1023"/>
      <c r="AC58" s="1023"/>
      <c r="AD58" s="1023"/>
      <c r="AE58" s="1023"/>
      <c r="AF58" s="1023"/>
      <c r="AG58" s="1023"/>
      <c r="AH58" s="1023"/>
      <c r="AI58" s="1023"/>
      <c r="AJ58" s="1023"/>
      <c r="AK58" s="1023"/>
      <c r="AL58" s="1023"/>
      <c r="AM58" s="1023"/>
      <c r="AN58" s="1023"/>
      <c r="AO58" s="154"/>
      <c r="AP58" s="154"/>
      <c r="AQ58" s="154"/>
      <c r="AR58" s="154"/>
      <c r="AS58" s="154"/>
      <c r="AT58" s="154"/>
      <c r="AU58" s="154"/>
      <c r="AV58" s="154"/>
      <c r="AW58" s="154"/>
      <c r="AX58" s="154"/>
      <c r="AY58" s="154"/>
    </row>
    <row r="59" spans="1:51">
      <c r="A59" s="154"/>
      <c r="B59" s="1022" t="s">
        <v>557</v>
      </c>
      <c r="C59" s="1027"/>
      <c r="D59" s="1028"/>
      <c r="E59" s="1028"/>
      <c r="F59" s="1028"/>
      <c r="G59" s="1028"/>
      <c r="H59" s="1028"/>
      <c r="I59" s="1028"/>
      <c r="J59" s="1028"/>
      <c r="K59" s="1028"/>
      <c r="L59" s="1028"/>
      <c r="M59" s="1028"/>
      <c r="N59" s="1028"/>
      <c r="O59" s="1028"/>
      <c r="P59" s="1028"/>
      <c r="Q59" s="1028"/>
      <c r="R59" s="1028"/>
      <c r="S59" s="1028"/>
      <c r="T59" s="1028"/>
      <c r="U59" s="1028"/>
      <c r="V59" s="1028"/>
      <c r="W59" s="1028"/>
      <c r="X59" s="1023"/>
      <c r="Y59" s="1023"/>
      <c r="Z59" s="1023"/>
      <c r="AA59" s="1023"/>
      <c r="AB59" s="1023"/>
      <c r="AC59" s="1023"/>
      <c r="AD59" s="1023"/>
      <c r="AE59" s="1023"/>
      <c r="AF59" s="1023"/>
      <c r="AG59" s="1023"/>
      <c r="AH59" s="1023"/>
      <c r="AI59" s="1023"/>
      <c r="AJ59" s="1023"/>
      <c r="AK59" s="1023"/>
      <c r="AL59" s="1023"/>
      <c r="AM59" s="1023"/>
      <c r="AN59" s="1023"/>
      <c r="AO59" s="154"/>
      <c r="AP59" s="154"/>
      <c r="AQ59" s="154"/>
      <c r="AR59" s="154"/>
      <c r="AS59" s="154"/>
      <c r="AT59" s="154"/>
      <c r="AU59" s="154"/>
      <c r="AV59" s="154"/>
      <c r="AW59" s="154"/>
      <c r="AX59" s="154"/>
      <c r="AY59" s="154"/>
    </row>
    <row r="60" spans="1:51">
      <c r="A60" s="154"/>
      <c r="B60" s="1025" t="s">
        <v>558</v>
      </c>
      <c r="C60" s="1027"/>
      <c r="D60" s="1027"/>
      <c r="E60" s="1032"/>
      <c r="F60" s="1032"/>
      <c r="G60" s="1032"/>
      <c r="H60" s="1028"/>
      <c r="I60" s="1028"/>
      <c r="J60" s="1028"/>
      <c r="K60" s="1028"/>
      <c r="L60" s="1028"/>
      <c r="M60" s="1028"/>
      <c r="N60" s="1028"/>
      <c r="O60" s="1028"/>
      <c r="P60" s="1028"/>
      <c r="Q60" s="1028"/>
      <c r="R60" s="1028"/>
      <c r="S60" s="1028"/>
      <c r="T60" s="1028"/>
      <c r="U60" s="1028"/>
      <c r="V60" s="1028"/>
      <c r="W60" s="1028"/>
      <c r="X60" s="1023"/>
      <c r="Y60" s="1023"/>
      <c r="Z60" s="1023"/>
      <c r="AA60" s="1023"/>
      <c r="AB60" s="1023"/>
      <c r="AC60" s="1023"/>
      <c r="AD60" s="1023"/>
      <c r="AE60" s="1023"/>
      <c r="AF60" s="1023"/>
      <c r="AG60" s="1023"/>
      <c r="AH60" s="1023"/>
      <c r="AI60" s="1023"/>
      <c r="AJ60" s="1023"/>
      <c r="AK60" s="1023"/>
      <c r="AL60" s="1023"/>
      <c r="AM60" s="1023"/>
      <c r="AN60" s="1023"/>
      <c r="AO60" s="154"/>
      <c r="AP60" s="154"/>
      <c r="AQ60" s="154"/>
      <c r="AR60" s="154"/>
      <c r="AS60" s="154"/>
      <c r="AT60" s="154"/>
      <c r="AU60" s="154"/>
      <c r="AV60" s="154"/>
      <c r="AW60" s="154"/>
      <c r="AX60" s="154"/>
      <c r="AY60" s="154"/>
    </row>
    <row r="61" spans="1:51">
      <c r="A61" s="154"/>
      <c r="B61" s="1025" t="s">
        <v>559</v>
      </c>
      <c r="C61" s="1027"/>
      <c r="D61" s="1027"/>
      <c r="E61" s="1032"/>
      <c r="F61" s="1032"/>
      <c r="G61" s="1032"/>
      <c r="H61" s="1032"/>
      <c r="I61" s="1032"/>
      <c r="J61" s="1032"/>
      <c r="K61" s="1032"/>
      <c r="L61" s="1032"/>
      <c r="M61" s="1032"/>
      <c r="N61" s="1032"/>
      <c r="O61" s="1027"/>
      <c r="P61" s="1027"/>
      <c r="Q61" s="1027"/>
      <c r="R61" s="1027"/>
      <c r="S61" s="1027"/>
      <c r="T61" s="1027"/>
      <c r="U61" s="1027"/>
      <c r="V61" s="1027"/>
      <c r="W61" s="1027"/>
      <c r="X61" s="1023"/>
      <c r="Y61" s="1023"/>
      <c r="Z61" s="1023"/>
      <c r="AA61" s="1023"/>
      <c r="AB61" s="1023"/>
      <c r="AC61" s="1023"/>
      <c r="AD61" s="1023"/>
      <c r="AE61" s="1023"/>
      <c r="AF61" s="1023"/>
      <c r="AG61" s="1023"/>
      <c r="AH61" s="1023"/>
      <c r="AI61" s="1023"/>
      <c r="AJ61" s="1023"/>
      <c r="AK61" s="1023"/>
      <c r="AL61" s="1023"/>
      <c r="AM61" s="1023"/>
      <c r="AN61" s="1023"/>
      <c r="AO61" s="154"/>
      <c r="AP61" s="154"/>
      <c r="AQ61" s="154"/>
      <c r="AR61" s="154"/>
      <c r="AS61" s="154"/>
      <c r="AT61" s="154"/>
      <c r="AU61" s="154"/>
      <c r="AV61" s="154"/>
      <c r="AW61" s="154"/>
      <c r="AX61" s="154"/>
      <c r="AY61" s="154"/>
    </row>
    <row r="62" spans="1:51">
      <c r="A62" s="154"/>
      <c r="B62" s="1025" t="s">
        <v>560</v>
      </c>
      <c r="C62" s="1027"/>
      <c r="D62" s="1027"/>
      <c r="E62" s="1032"/>
      <c r="F62" s="1032"/>
      <c r="G62" s="1032"/>
      <c r="H62" s="1032"/>
      <c r="I62" s="1032"/>
      <c r="J62" s="1032"/>
      <c r="K62" s="1032"/>
      <c r="L62" s="1032"/>
      <c r="M62" s="1032"/>
      <c r="N62" s="1032"/>
      <c r="O62" s="1027"/>
      <c r="P62" s="1027"/>
      <c r="Q62" s="1027"/>
      <c r="R62" s="1027"/>
      <c r="S62" s="1027"/>
      <c r="T62" s="1027"/>
      <c r="U62" s="1027"/>
      <c r="V62" s="1027"/>
      <c r="W62" s="1027"/>
      <c r="X62" s="1023"/>
      <c r="Y62" s="1023"/>
      <c r="Z62" s="1023"/>
      <c r="AA62" s="1023"/>
      <c r="AB62" s="1023"/>
      <c r="AC62" s="1023"/>
      <c r="AD62" s="1023"/>
      <c r="AE62" s="1023"/>
      <c r="AF62" s="1023"/>
      <c r="AG62" s="1023"/>
      <c r="AH62" s="1023"/>
      <c r="AI62" s="1023"/>
      <c r="AJ62" s="1023"/>
      <c r="AK62" s="1023"/>
      <c r="AL62" s="1023"/>
      <c r="AM62" s="1023"/>
      <c r="AN62" s="1023"/>
      <c r="AO62" s="154"/>
      <c r="AP62" s="154"/>
      <c r="AQ62" s="154"/>
      <c r="AR62" s="154"/>
      <c r="AS62" s="154"/>
      <c r="AT62" s="154"/>
      <c r="AU62" s="154"/>
      <c r="AV62" s="154"/>
      <c r="AW62" s="154"/>
      <c r="AX62" s="154"/>
      <c r="AY62" s="154"/>
    </row>
    <row r="63" spans="1:51">
      <c r="A63" s="154"/>
      <c r="B63" s="1025" t="s">
        <v>561</v>
      </c>
      <c r="C63" s="1027"/>
      <c r="D63" s="1027"/>
      <c r="E63" s="1032"/>
      <c r="F63" s="1032"/>
      <c r="G63" s="1032"/>
      <c r="H63" s="1032"/>
      <c r="I63" s="1032"/>
      <c r="J63" s="1032"/>
      <c r="K63" s="1032"/>
      <c r="L63" s="1032"/>
      <c r="M63" s="1032"/>
      <c r="N63" s="1032"/>
      <c r="O63" s="1027"/>
      <c r="P63" s="1027"/>
      <c r="Q63" s="1027"/>
      <c r="R63" s="1027"/>
      <c r="S63" s="1027"/>
      <c r="T63" s="1027"/>
      <c r="U63" s="1027"/>
      <c r="V63" s="1027"/>
      <c r="W63" s="1027"/>
      <c r="X63" s="1023"/>
      <c r="Y63" s="1023"/>
      <c r="Z63" s="1023"/>
      <c r="AA63" s="1023"/>
      <c r="AB63" s="1023"/>
      <c r="AC63" s="1023"/>
      <c r="AD63" s="1023"/>
      <c r="AE63" s="1023"/>
      <c r="AF63" s="1023"/>
      <c r="AG63" s="1023"/>
      <c r="AH63" s="1023"/>
      <c r="AI63" s="1023"/>
      <c r="AJ63" s="1023"/>
      <c r="AK63" s="1023"/>
      <c r="AL63" s="1023"/>
      <c r="AM63" s="1023"/>
      <c r="AN63" s="1023"/>
      <c r="AO63" s="154"/>
      <c r="AP63" s="154"/>
      <c r="AQ63" s="154"/>
      <c r="AR63" s="154"/>
      <c r="AS63" s="154"/>
      <c r="AT63" s="154"/>
      <c r="AU63" s="154"/>
      <c r="AV63" s="154"/>
      <c r="AW63" s="154"/>
      <c r="AX63" s="154"/>
      <c r="AY63" s="154"/>
    </row>
    <row r="64" spans="1:51">
      <c r="A64" s="154"/>
      <c r="B64" s="1025" t="s">
        <v>562</v>
      </c>
      <c r="C64" s="1027"/>
      <c r="D64" s="1027"/>
      <c r="E64" s="1032"/>
      <c r="F64" s="1032"/>
      <c r="G64" s="1032"/>
      <c r="H64" s="1032"/>
      <c r="I64" s="1032"/>
      <c r="J64" s="1032"/>
      <c r="K64" s="1032"/>
      <c r="L64" s="1032"/>
      <c r="M64" s="1032"/>
      <c r="N64" s="1032"/>
      <c r="O64" s="1027"/>
      <c r="P64" s="1027"/>
      <c r="Q64" s="1027"/>
      <c r="R64" s="1027"/>
      <c r="S64" s="1027"/>
      <c r="T64" s="1027"/>
      <c r="U64" s="1027"/>
      <c r="V64" s="1027"/>
      <c r="W64" s="1027"/>
      <c r="X64" s="1023"/>
      <c r="Y64" s="1023"/>
      <c r="Z64" s="1023"/>
      <c r="AA64" s="1023"/>
      <c r="AB64" s="1023"/>
      <c r="AC64" s="1023"/>
      <c r="AD64" s="1023"/>
      <c r="AE64" s="1023"/>
      <c r="AF64" s="1023"/>
      <c r="AG64" s="1023"/>
      <c r="AH64" s="1023"/>
      <c r="AI64" s="1023"/>
      <c r="AJ64" s="1023"/>
      <c r="AK64" s="1023"/>
      <c r="AL64" s="1023"/>
      <c r="AM64" s="1023"/>
      <c r="AN64" s="1023"/>
      <c r="AO64" s="154"/>
      <c r="AP64" s="154"/>
      <c r="AQ64" s="154"/>
      <c r="AR64" s="154"/>
      <c r="AS64" s="154"/>
      <c r="AT64" s="154"/>
      <c r="AU64" s="154"/>
      <c r="AV64" s="154"/>
      <c r="AW64" s="154"/>
      <c r="AX64" s="154"/>
      <c r="AY64" s="154"/>
    </row>
    <row r="65" spans="1:51">
      <c r="A65" s="154"/>
      <c r="B65" s="1025" t="s">
        <v>563</v>
      </c>
      <c r="C65" s="1027"/>
      <c r="D65" s="1027"/>
      <c r="E65" s="1032"/>
      <c r="F65" s="1032"/>
      <c r="G65" s="1032"/>
      <c r="H65" s="1032"/>
      <c r="I65" s="1032"/>
      <c r="J65" s="1032"/>
      <c r="K65" s="1032"/>
      <c r="L65" s="1032"/>
      <c r="M65" s="1032"/>
      <c r="N65" s="1032"/>
      <c r="O65" s="1027"/>
      <c r="P65" s="1027"/>
      <c r="Q65" s="1027"/>
      <c r="R65" s="1027"/>
      <c r="S65" s="1027"/>
      <c r="T65" s="1027"/>
      <c r="U65" s="1027"/>
      <c r="V65" s="1027"/>
      <c r="W65" s="1027"/>
      <c r="X65" s="1023"/>
      <c r="Y65" s="1023"/>
      <c r="Z65" s="1023"/>
      <c r="AA65" s="1023"/>
      <c r="AB65" s="1023"/>
      <c r="AC65" s="1023"/>
      <c r="AD65" s="1023"/>
      <c r="AE65" s="1023"/>
      <c r="AF65" s="1023"/>
      <c r="AG65" s="1023"/>
      <c r="AH65" s="1023"/>
      <c r="AI65" s="1023"/>
      <c r="AJ65" s="1023"/>
      <c r="AK65" s="1023"/>
      <c r="AL65" s="1023"/>
      <c r="AM65" s="1023"/>
      <c r="AN65" s="1023"/>
      <c r="AO65" s="154"/>
      <c r="AP65" s="154"/>
      <c r="AQ65" s="154"/>
      <c r="AR65" s="154"/>
      <c r="AS65" s="154"/>
      <c r="AT65" s="154"/>
      <c r="AU65" s="154"/>
      <c r="AV65" s="154"/>
      <c r="AW65" s="154"/>
      <c r="AX65" s="154"/>
      <c r="AY65" s="154"/>
    </row>
    <row r="66" spans="1:51">
      <c r="A66" s="154"/>
      <c r="B66" s="1025" t="s">
        <v>564</v>
      </c>
      <c r="C66" s="1027"/>
      <c r="D66" s="1027"/>
      <c r="E66" s="1033"/>
      <c r="F66" s="1033"/>
      <c r="G66" s="1033"/>
      <c r="H66" s="1033"/>
      <c r="I66" s="1033"/>
      <c r="J66" s="1033"/>
      <c r="K66" s="1033"/>
      <c r="L66" s="1033"/>
      <c r="M66" s="1033"/>
      <c r="N66" s="1033"/>
      <c r="O66" s="1027"/>
      <c r="P66" s="1027"/>
      <c r="Q66" s="1027"/>
      <c r="R66" s="1027"/>
      <c r="S66" s="1027"/>
      <c r="T66" s="1027"/>
      <c r="U66" s="1027"/>
      <c r="V66" s="1027"/>
      <c r="W66" s="1027"/>
      <c r="X66" s="1023"/>
      <c r="Y66" s="1023"/>
      <c r="Z66" s="1023"/>
      <c r="AA66" s="1023"/>
      <c r="AB66" s="1023"/>
      <c r="AC66" s="1023"/>
      <c r="AD66" s="1023"/>
      <c r="AE66" s="1023"/>
      <c r="AF66" s="1023"/>
      <c r="AG66" s="1023"/>
      <c r="AH66" s="1023"/>
      <c r="AI66" s="1023"/>
      <c r="AJ66" s="1023"/>
      <c r="AK66" s="1023"/>
      <c r="AL66" s="1023"/>
      <c r="AM66" s="1023"/>
      <c r="AN66" s="1023"/>
      <c r="AO66" s="154"/>
      <c r="AP66" s="154"/>
      <c r="AQ66" s="154"/>
      <c r="AR66" s="154"/>
      <c r="AS66" s="154"/>
      <c r="AT66" s="154"/>
      <c r="AU66" s="154"/>
      <c r="AV66" s="154"/>
      <c r="AW66" s="154"/>
      <c r="AX66" s="154"/>
      <c r="AY66" s="154"/>
    </row>
    <row r="67" spans="1:51">
      <c r="A67" s="154"/>
      <c r="B67" s="1025" t="s">
        <v>565</v>
      </c>
      <c r="C67" s="1027"/>
      <c r="D67" s="1027"/>
      <c r="E67" s="1032"/>
      <c r="F67" s="1032"/>
      <c r="G67" s="1032"/>
      <c r="H67" s="1032"/>
      <c r="I67" s="1032"/>
      <c r="J67" s="1032"/>
      <c r="K67" s="1032"/>
      <c r="L67" s="1032"/>
      <c r="M67" s="1032"/>
      <c r="N67" s="1032"/>
      <c r="O67" s="1027"/>
      <c r="P67" s="1027"/>
      <c r="Q67" s="1027"/>
      <c r="R67" s="1027"/>
      <c r="S67" s="1027"/>
      <c r="T67" s="1027"/>
      <c r="U67" s="1027"/>
      <c r="V67" s="1027"/>
      <c r="W67" s="1027"/>
      <c r="X67" s="1023"/>
      <c r="Y67" s="1023"/>
      <c r="Z67" s="1023"/>
      <c r="AA67" s="1023"/>
      <c r="AB67" s="1023"/>
      <c r="AC67" s="1023"/>
      <c r="AD67" s="1023"/>
      <c r="AE67" s="1023"/>
      <c r="AF67" s="1023"/>
      <c r="AG67" s="1023"/>
      <c r="AH67" s="1023"/>
      <c r="AI67" s="1023"/>
      <c r="AJ67" s="1023"/>
      <c r="AK67" s="1023"/>
      <c r="AL67" s="1023"/>
      <c r="AM67" s="1023"/>
      <c r="AN67" s="1023"/>
      <c r="AO67" s="154"/>
      <c r="AP67" s="154"/>
      <c r="AQ67" s="154"/>
      <c r="AR67" s="154"/>
      <c r="AS67" s="154"/>
      <c r="AT67" s="154"/>
      <c r="AU67" s="154"/>
      <c r="AV67" s="154"/>
      <c r="AW67" s="154"/>
      <c r="AX67" s="154"/>
      <c r="AY67" s="154"/>
    </row>
    <row r="68" spans="1:51">
      <c r="A68" s="154"/>
      <c r="B68" s="1025" t="s">
        <v>566</v>
      </c>
      <c r="C68" s="1027"/>
      <c r="D68" s="1027"/>
      <c r="E68" s="1032"/>
      <c r="F68" s="1032"/>
      <c r="G68" s="1032"/>
      <c r="H68" s="1032"/>
      <c r="I68" s="1032"/>
      <c r="J68" s="1032"/>
      <c r="K68" s="1032"/>
      <c r="L68" s="1032"/>
      <c r="M68" s="1032"/>
      <c r="N68" s="1032"/>
      <c r="O68" s="1027"/>
      <c r="P68" s="1027"/>
      <c r="Q68" s="1027"/>
      <c r="R68" s="1027"/>
      <c r="S68" s="1027"/>
      <c r="T68" s="1027"/>
      <c r="U68" s="1027"/>
      <c r="V68" s="1027"/>
      <c r="W68" s="1027"/>
      <c r="X68" s="1023"/>
      <c r="Y68" s="1023"/>
      <c r="Z68" s="1023"/>
      <c r="AA68" s="1023"/>
      <c r="AB68" s="1023"/>
      <c r="AC68" s="1023"/>
      <c r="AD68" s="1023"/>
      <c r="AE68" s="1023"/>
      <c r="AF68" s="1023"/>
      <c r="AG68" s="1023"/>
      <c r="AH68" s="1023"/>
      <c r="AI68" s="1023"/>
      <c r="AJ68" s="1023"/>
      <c r="AK68" s="1023"/>
      <c r="AL68" s="1023"/>
      <c r="AM68" s="1023"/>
      <c r="AN68" s="1023"/>
      <c r="AO68" s="154"/>
      <c r="AP68" s="154"/>
      <c r="AQ68" s="154"/>
      <c r="AR68" s="154"/>
      <c r="AS68" s="154"/>
      <c r="AT68" s="154"/>
      <c r="AU68" s="154"/>
      <c r="AV68" s="154"/>
      <c r="AW68" s="154"/>
      <c r="AX68" s="154"/>
      <c r="AY68" s="154"/>
    </row>
    <row r="69" spans="1:51">
      <c r="A69" s="154"/>
      <c r="B69" s="1025" t="s">
        <v>567</v>
      </c>
      <c r="C69" s="1027"/>
      <c r="D69" s="1027"/>
      <c r="E69" s="1032"/>
      <c r="F69" s="1032"/>
      <c r="G69" s="1032"/>
      <c r="H69" s="1032"/>
      <c r="I69" s="1032"/>
      <c r="J69" s="1032"/>
      <c r="K69" s="1032"/>
      <c r="L69" s="1032"/>
      <c r="M69" s="1032"/>
      <c r="N69" s="1032"/>
      <c r="O69" s="1027"/>
      <c r="P69" s="1027"/>
      <c r="Q69" s="1027"/>
      <c r="R69" s="1027"/>
      <c r="S69" s="1027"/>
      <c r="T69" s="1027"/>
      <c r="U69" s="1027"/>
      <c r="V69" s="1027"/>
      <c r="W69" s="1027"/>
      <c r="X69" s="1023"/>
      <c r="Y69" s="1023"/>
      <c r="Z69" s="1023"/>
      <c r="AA69" s="1023"/>
      <c r="AB69" s="1023"/>
      <c r="AC69" s="1023"/>
      <c r="AD69" s="1023"/>
      <c r="AE69" s="1023"/>
      <c r="AF69" s="1023"/>
      <c r="AG69" s="1023"/>
      <c r="AH69" s="1023"/>
      <c r="AI69" s="1023"/>
      <c r="AJ69" s="1023"/>
      <c r="AK69" s="1023"/>
      <c r="AL69" s="1023"/>
      <c r="AM69" s="1023"/>
      <c r="AN69" s="1023"/>
      <c r="AO69" s="154"/>
      <c r="AP69" s="154"/>
      <c r="AQ69" s="154"/>
      <c r="AR69" s="154"/>
      <c r="AS69" s="154"/>
      <c r="AT69" s="154"/>
      <c r="AU69" s="154"/>
      <c r="AV69" s="154"/>
      <c r="AW69" s="154"/>
      <c r="AX69" s="154"/>
      <c r="AY69" s="154"/>
    </row>
    <row r="70" spans="1:51">
      <c r="A70" s="154"/>
      <c r="B70" s="1025" t="s">
        <v>568</v>
      </c>
      <c r="C70" s="1027"/>
      <c r="D70" s="1027"/>
      <c r="E70" s="1032"/>
      <c r="F70" s="1032"/>
      <c r="G70" s="1032"/>
      <c r="H70" s="1032"/>
      <c r="I70" s="1032"/>
      <c r="J70" s="1032"/>
      <c r="K70" s="1032"/>
      <c r="L70" s="1032"/>
      <c r="M70" s="1032"/>
      <c r="N70" s="1032"/>
      <c r="O70" s="1027"/>
      <c r="P70" s="1027"/>
      <c r="Q70" s="1027"/>
      <c r="R70" s="1027"/>
      <c r="S70" s="1027"/>
      <c r="T70" s="1027"/>
      <c r="U70" s="1027"/>
      <c r="V70" s="1027"/>
      <c r="W70" s="1027"/>
      <c r="X70" s="1023"/>
      <c r="Y70" s="1023"/>
      <c r="Z70" s="1023"/>
      <c r="AA70" s="1023"/>
      <c r="AB70" s="1023"/>
      <c r="AC70" s="1023"/>
      <c r="AD70" s="1023"/>
      <c r="AE70" s="1023"/>
      <c r="AF70" s="1023"/>
      <c r="AG70" s="1023"/>
      <c r="AH70" s="1023"/>
      <c r="AI70" s="1023"/>
      <c r="AJ70" s="1023"/>
      <c r="AK70" s="1023"/>
      <c r="AL70" s="1023"/>
      <c r="AM70" s="1023"/>
      <c r="AN70" s="1023"/>
      <c r="AO70" s="154"/>
      <c r="AP70" s="154"/>
      <c r="AQ70" s="154"/>
      <c r="AR70" s="154"/>
      <c r="AS70" s="154"/>
      <c r="AT70" s="154"/>
      <c r="AU70" s="154"/>
      <c r="AV70" s="154"/>
      <c r="AW70" s="154"/>
      <c r="AX70" s="154"/>
      <c r="AY70" s="154"/>
    </row>
    <row r="71" spans="1:51">
      <c r="A71" s="154"/>
      <c r="B71" s="1025" t="s">
        <v>569</v>
      </c>
      <c r="C71" s="1027"/>
      <c r="D71" s="1027"/>
      <c r="E71" s="1032"/>
      <c r="F71" s="1032"/>
      <c r="G71" s="1032"/>
      <c r="H71" s="1032"/>
      <c r="I71" s="1032"/>
      <c r="J71" s="1032"/>
      <c r="K71" s="1032"/>
      <c r="L71" s="1032"/>
      <c r="M71" s="1032"/>
      <c r="N71" s="1032"/>
      <c r="O71" s="1027"/>
      <c r="P71" s="1027"/>
      <c r="Q71" s="1027"/>
      <c r="R71" s="1027"/>
      <c r="S71" s="1027"/>
      <c r="T71" s="1027"/>
      <c r="U71" s="1027"/>
      <c r="V71" s="1027"/>
      <c r="W71" s="1027"/>
      <c r="X71" s="1023"/>
      <c r="Y71" s="1023"/>
      <c r="Z71" s="1023"/>
      <c r="AA71" s="1023"/>
      <c r="AB71" s="1023"/>
      <c r="AC71" s="1023"/>
      <c r="AD71" s="1023"/>
      <c r="AE71" s="1023"/>
      <c r="AF71" s="1023"/>
      <c r="AG71" s="1023"/>
      <c r="AH71" s="1023"/>
      <c r="AI71" s="1023"/>
      <c r="AJ71" s="1023"/>
      <c r="AK71" s="1023"/>
      <c r="AL71" s="1023"/>
      <c r="AM71" s="1023"/>
      <c r="AN71" s="1023"/>
      <c r="AO71" s="154"/>
      <c r="AP71" s="154"/>
      <c r="AQ71" s="154"/>
      <c r="AR71" s="154"/>
      <c r="AS71" s="154"/>
      <c r="AT71" s="154"/>
      <c r="AU71" s="154"/>
      <c r="AV71" s="154"/>
      <c r="AW71" s="154"/>
      <c r="AX71" s="154"/>
      <c r="AY71" s="154"/>
    </row>
    <row r="72" spans="1:51">
      <c r="A72" s="154"/>
      <c r="B72" s="1025" t="s">
        <v>570</v>
      </c>
      <c r="C72" s="1027"/>
      <c r="D72" s="1027"/>
      <c r="E72" s="1032"/>
      <c r="F72" s="1032"/>
      <c r="G72" s="1032"/>
      <c r="H72" s="1032"/>
      <c r="I72" s="1032"/>
      <c r="J72" s="1032"/>
      <c r="K72" s="1032"/>
      <c r="L72" s="1032"/>
      <c r="M72" s="1032"/>
      <c r="N72" s="1032"/>
      <c r="O72" s="1027"/>
      <c r="P72" s="1027"/>
      <c r="Q72" s="1027"/>
      <c r="R72" s="1027"/>
      <c r="S72" s="1027"/>
      <c r="T72" s="1027"/>
      <c r="U72" s="1027"/>
      <c r="V72" s="1027"/>
      <c r="W72" s="1027"/>
      <c r="X72" s="1023"/>
      <c r="Y72" s="1023"/>
      <c r="Z72" s="1023"/>
      <c r="AA72" s="1023"/>
      <c r="AB72" s="1023"/>
      <c r="AC72" s="1023"/>
      <c r="AD72" s="1023"/>
      <c r="AE72" s="1023"/>
      <c r="AF72" s="1023"/>
      <c r="AG72" s="1023"/>
      <c r="AH72" s="1023"/>
      <c r="AI72" s="1023"/>
      <c r="AJ72" s="1023"/>
      <c r="AK72" s="1023"/>
      <c r="AL72" s="1023"/>
      <c r="AM72" s="1023"/>
      <c r="AN72" s="1023"/>
      <c r="AO72" s="154"/>
      <c r="AP72" s="154"/>
      <c r="AQ72" s="154"/>
      <c r="AR72" s="154"/>
      <c r="AS72" s="154"/>
      <c r="AT72" s="154"/>
      <c r="AU72" s="154"/>
      <c r="AV72" s="154"/>
      <c r="AW72" s="154"/>
      <c r="AX72" s="154"/>
      <c r="AY72" s="154"/>
    </row>
    <row r="73" spans="1:51">
      <c r="A73" s="154"/>
      <c r="B73" s="1025" t="s">
        <v>571</v>
      </c>
      <c r="C73" s="1027"/>
      <c r="D73" s="1027"/>
      <c r="E73" s="1032"/>
      <c r="F73" s="1032"/>
      <c r="G73" s="1032"/>
      <c r="H73" s="1032"/>
      <c r="I73" s="1032"/>
      <c r="J73" s="1032"/>
      <c r="K73" s="1032"/>
      <c r="L73" s="1032"/>
      <c r="M73" s="1032"/>
      <c r="N73" s="1032"/>
      <c r="O73" s="1027"/>
      <c r="P73" s="1027"/>
      <c r="Q73" s="1027"/>
      <c r="R73" s="1027"/>
      <c r="S73" s="1027"/>
      <c r="T73" s="1027"/>
      <c r="U73" s="1027"/>
      <c r="V73" s="1027"/>
      <c r="W73" s="1027"/>
      <c r="X73" s="1023"/>
      <c r="Y73" s="1023"/>
      <c r="Z73" s="1023"/>
      <c r="AA73" s="1023"/>
      <c r="AB73" s="1023"/>
      <c r="AC73" s="1023"/>
      <c r="AD73" s="1023"/>
      <c r="AE73" s="1023"/>
      <c r="AF73" s="1023"/>
      <c r="AG73" s="1023"/>
      <c r="AH73" s="1023"/>
      <c r="AI73" s="1023"/>
      <c r="AJ73" s="1023"/>
      <c r="AK73" s="1023"/>
      <c r="AL73" s="1023"/>
      <c r="AM73" s="1023"/>
      <c r="AN73" s="1023"/>
      <c r="AO73" s="154"/>
      <c r="AP73" s="154"/>
      <c r="AQ73" s="154"/>
      <c r="AR73" s="154"/>
      <c r="AS73" s="154"/>
      <c r="AT73" s="154"/>
      <c r="AU73" s="154"/>
      <c r="AV73" s="154"/>
      <c r="AW73" s="154"/>
      <c r="AX73" s="154"/>
      <c r="AY73" s="154"/>
    </row>
    <row r="74" spans="1:51">
      <c r="A74" s="154"/>
      <c r="B74" s="1025"/>
      <c r="C74" s="1025"/>
      <c r="D74" s="1025"/>
      <c r="E74" s="1025"/>
      <c r="F74" s="1025"/>
      <c r="G74" s="1025"/>
      <c r="H74" s="1025"/>
      <c r="I74" s="1025"/>
      <c r="J74" s="1025"/>
      <c r="K74" s="1025"/>
      <c r="L74" s="1025"/>
      <c r="M74" s="1025"/>
      <c r="N74" s="1025"/>
      <c r="O74" s="1025"/>
      <c r="P74" s="1025"/>
      <c r="Q74" s="1025"/>
      <c r="R74" s="1025"/>
      <c r="S74" s="1025"/>
      <c r="T74" s="1025"/>
      <c r="U74" s="1025"/>
      <c r="V74" s="1025"/>
      <c r="W74" s="1025"/>
      <c r="X74" s="1025"/>
      <c r="Y74" s="1025"/>
      <c r="Z74" s="1025"/>
      <c r="AA74" s="1025"/>
      <c r="AB74" s="1025"/>
      <c r="AC74" s="1025"/>
      <c r="AD74" s="1025"/>
      <c r="AE74" s="1025"/>
      <c r="AF74" s="1025"/>
      <c r="AG74" s="1025"/>
      <c r="AH74" s="1025"/>
      <c r="AI74" s="1025"/>
      <c r="AJ74" s="1025"/>
      <c r="AK74" s="1025"/>
      <c r="AL74" s="1025"/>
      <c r="AM74" s="1025"/>
      <c r="AN74" s="1025"/>
      <c r="AO74" s="154"/>
      <c r="AP74" s="154"/>
      <c r="AQ74" s="154"/>
      <c r="AR74" s="154"/>
      <c r="AS74" s="154"/>
      <c r="AT74" s="154"/>
      <c r="AU74" s="154"/>
      <c r="AV74" s="154"/>
      <c r="AW74" s="154"/>
      <c r="AX74" s="154"/>
      <c r="AY74" s="154"/>
    </row>
    <row r="75" spans="1:51">
      <c r="A75" s="154"/>
      <c r="B75" s="961" t="s">
        <v>572</v>
      </c>
      <c r="C75" s="961">
        <v>1998</v>
      </c>
      <c r="D75" s="961">
        <v>1999</v>
      </c>
      <c r="E75" s="961">
        <v>2000</v>
      </c>
      <c r="F75" s="961">
        <v>2001</v>
      </c>
      <c r="G75" s="961">
        <v>2002</v>
      </c>
      <c r="H75" s="961">
        <v>2003</v>
      </c>
      <c r="I75" s="961">
        <v>2004</v>
      </c>
      <c r="J75" s="961">
        <v>2005</v>
      </c>
      <c r="K75" s="961">
        <v>2006</v>
      </c>
      <c r="L75" s="961">
        <v>2007</v>
      </c>
      <c r="M75" s="961">
        <v>2008</v>
      </c>
      <c r="N75" s="961">
        <v>2009</v>
      </c>
      <c r="O75" s="961">
        <v>2010</v>
      </c>
      <c r="P75" s="961">
        <v>2011</v>
      </c>
      <c r="Q75" s="961">
        <v>2012</v>
      </c>
      <c r="R75" s="961">
        <v>2013</v>
      </c>
      <c r="S75" s="961">
        <v>2014</v>
      </c>
      <c r="T75" s="961">
        <v>2015</v>
      </c>
      <c r="U75" s="961">
        <v>2016</v>
      </c>
      <c r="V75" s="961">
        <v>2017</v>
      </c>
      <c r="W75" s="961">
        <v>2018</v>
      </c>
      <c r="X75" s="961">
        <v>2019</v>
      </c>
      <c r="Y75" s="961">
        <v>2020</v>
      </c>
      <c r="Z75" s="961">
        <v>2021</v>
      </c>
      <c r="AA75" s="961">
        <v>2022</v>
      </c>
      <c r="AB75" s="961">
        <v>2023</v>
      </c>
      <c r="AC75" s="961">
        <v>2024</v>
      </c>
      <c r="AD75" s="961">
        <v>2025</v>
      </c>
      <c r="AE75" s="961">
        <v>2026</v>
      </c>
      <c r="AF75" s="961">
        <v>2027</v>
      </c>
      <c r="AG75" s="961">
        <v>2028</v>
      </c>
      <c r="AH75" s="961">
        <v>2029</v>
      </c>
      <c r="AI75" s="961">
        <v>2030</v>
      </c>
      <c r="AJ75" s="961">
        <v>2030</v>
      </c>
      <c r="AK75" s="961">
        <v>2030</v>
      </c>
      <c r="AL75" s="961">
        <v>2030</v>
      </c>
      <c r="AM75" s="961">
        <v>2030</v>
      </c>
      <c r="AN75" s="961">
        <v>2030</v>
      </c>
      <c r="AO75" s="154"/>
      <c r="AP75" s="154"/>
      <c r="AQ75" s="154"/>
      <c r="AR75" s="154"/>
      <c r="AS75" s="154"/>
      <c r="AT75" s="154"/>
      <c r="AU75" s="154"/>
      <c r="AV75" s="154"/>
      <c r="AW75" s="154"/>
      <c r="AX75" s="154"/>
      <c r="AY75" s="154"/>
    </row>
    <row r="76" spans="1:51">
      <c r="A76" s="154"/>
      <c r="B76" s="1034" t="s">
        <v>573</v>
      </c>
      <c r="C76" s="1035"/>
      <c r="D76" s="1035"/>
      <c r="E76" s="1032"/>
      <c r="F76" s="1032"/>
      <c r="G76" s="1032"/>
      <c r="H76" s="1032"/>
      <c r="I76" s="1032"/>
      <c r="J76" s="1032"/>
      <c r="K76" s="1032"/>
      <c r="L76" s="1032"/>
      <c r="M76" s="1032"/>
      <c r="N76" s="1032"/>
      <c r="O76" s="1027"/>
      <c r="P76" s="1027"/>
      <c r="Q76" s="1027"/>
      <c r="R76" s="1027"/>
      <c r="S76" s="1027"/>
      <c r="T76" s="1027"/>
      <c r="U76" s="1027"/>
      <c r="V76" s="1027"/>
      <c r="W76" s="1027"/>
      <c r="X76" s="1027"/>
      <c r="Y76" s="1027"/>
      <c r="Z76" s="1027"/>
      <c r="AA76" s="1027"/>
      <c r="AB76" s="1027"/>
      <c r="AC76" s="1027"/>
      <c r="AD76" s="1027"/>
      <c r="AE76" s="1027"/>
      <c r="AF76" s="1027"/>
      <c r="AG76" s="1027"/>
      <c r="AH76" s="1027"/>
      <c r="AI76" s="1027"/>
      <c r="AJ76" s="1027"/>
      <c r="AK76" s="1027"/>
      <c r="AL76" s="1027"/>
      <c r="AM76" s="1027"/>
      <c r="AN76" s="1027"/>
      <c r="AO76" s="154"/>
      <c r="AP76" s="154"/>
      <c r="AQ76" s="154"/>
      <c r="AR76" s="154"/>
      <c r="AS76" s="154"/>
      <c r="AT76" s="154"/>
      <c r="AU76" s="154"/>
      <c r="AV76" s="154"/>
      <c r="AW76" s="154"/>
      <c r="AX76" s="154"/>
      <c r="AY76" s="154"/>
    </row>
    <row r="77" spans="1:51">
      <c r="A77" s="154"/>
      <c r="B77" s="1034" t="s">
        <v>574</v>
      </c>
      <c r="C77" s="1035"/>
      <c r="D77" s="1035"/>
      <c r="E77" s="1032"/>
      <c r="F77" s="1032"/>
      <c r="G77" s="1032"/>
      <c r="H77" s="1032"/>
      <c r="I77" s="1032"/>
      <c r="J77" s="1032"/>
      <c r="K77" s="1032"/>
      <c r="L77" s="1032"/>
      <c r="M77" s="1032"/>
      <c r="N77" s="1032"/>
      <c r="O77" s="1027"/>
      <c r="P77" s="1027"/>
      <c r="Q77" s="1027"/>
      <c r="R77" s="1027"/>
      <c r="S77" s="1027"/>
      <c r="T77" s="1027"/>
      <c r="U77" s="1027"/>
      <c r="V77" s="1027"/>
      <c r="W77" s="1027"/>
      <c r="X77" s="1027"/>
      <c r="Y77" s="1027"/>
      <c r="Z77" s="1027"/>
      <c r="AA77" s="1027"/>
      <c r="AB77" s="1027"/>
      <c r="AC77" s="1027"/>
      <c r="AD77" s="1027"/>
      <c r="AE77" s="1027"/>
      <c r="AF77" s="1027"/>
      <c r="AG77" s="1027"/>
      <c r="AH77" s="1027"/>
      <c r="AI77" s="1027"/>
      <c r="AJ77" s="1027"/>
      <c r="AK77" s="1027"/>
      <c r="AL77" s="1027"/>
      <c r="AM77" s="1027"/>
      <c r="AN77" s="1027"/>
      <c r="AO77" s="154"/>
      <c r="AP77" s="154"/>
      <c r="AQ77" s="154"/>
      <c r="AR77" s="154"/>
      <c r="AS77" s="154"/>
      <c r="AT77" s="154"/>
      <c r="AU77" s="154"/>
      <c r="AV77" s="154"/>
      <c r="AW77" s="154"/>
      <c r="AX77" s="154"/>
      <c r="AY77" s="154"/>
    </row>
    <row r="78" spans="1:51">
      <c r="A78" s="154"/>
      <c r="B78" s="1034" t="s">
        <v>575</v>
      </c>
      <c r="C78" s="1035"/>
      <c r="D78" s="1035"/>
      <c r="E78" s="1032"/>
      <c r="F78" s="1032"/>
      <c r="G78" s="1032"/>
      <c r="H78" s="1032"/>
      <c r="I78" s="1032"/>
      <c r="J78" s="1032"/>
      <c r="K78" s="1032"/>
      <c r="L78" s="1032"/>
      <c r="M78" s="1032"/>
      <c r="N78" s="1032"/>
      <c r="O78" s="1027"/>
      <c r="P78" s="1027"/>
      <c r="Q78" s="1027"/>
      <c r="R78" s="1027"/>
      <c r="S78" s="1027"/>
      <c r="T78" s="1027"/>
      <c r="U78" s="1027"/>
      <c r="V78" s="1027"/>
      <c r="W78" s="1027"/>
      <c r="X78" s="1027"/>
      <c r="Y78" s="1027"/>
      <c r="Z78" s="1027"/>
      <c r="AA78" s="1027"/>
      <c r="AB78" s="1027"/>
      <c r="AC78" s="1027"/>
      <c r="AD78" s="1027"/>
      <c r="AE78" s="1027"/>
      <c r="AF78" s="1027"/>
      <c r="AG78" s="1027"/>
      <c r="AH78" s="1027"/>
      <c r="AI78" s="1027"/>
      <c r="AJ78" s="1027"/>
      <c r="AK78" s="1027"/>
      <c r="AL78" s="1027"/>
      <c r="AM78" s="1027"/>
      <c r="AN78" s="1027"/>
      <c r="AO78" s="154"/>
      <c r="AP78" s="154"/>
      <c r="AQ78" s="154"/>
      <c r="AR78" s="154"/>
      <c r="AS78" s="154"/>
      <c r="AT78" s="154"/>
      <c r="AU78" s="154"/>
      <c r="AV78" s="154"/>
      <c r="AW78" s="154"/>
      <c r="AX78" s="154"/>
      <c r="AY78" s="154"/>
    </row>
    <row r="79" spans="1:51">
      <c r="A79" s="154"/>
      <c r="B79" s="1034" t="s">
        <v>576</v>
      </c>
      <c r="C79" s="1035"/>
      <c r="D79" s="1035"/>
      <c r="E79" s="1032"/>
      <c r="F79" s="1032"/>
      <c r="G79" s="1032"/>
      <c r="H79" s="1032"/>
      <c r="I79" s="1032"/>
      <c r="J79" s="1032"/>
      <c r="K79" s="1032"/>
      <c r="L79" s="1032"/>
      <c r="M79" s="1032"/>
      <c r="N79" s="1032"/>
      <c r="O79" s="1027"/>
      <c r="P79" s="1027"/>
      <c r="Q79" s="1027"/>
      <c r="R79" s="1027"/>
      <c r="S79" s="1027"/>
      <c r="T79" s="1027"/>
      <c r="U79" s="1027"/>
      <c r="V79" s="1027"/>
      <c r="W79" s="1027"/>
      <c r="X79" s="1027"/>
      <c r="Y79" s="1027"/>
      <c r="Z79" s="1027"/>
      <c r="AA79" s="1027"/>
      <c r="AB79" s="1027"/>
      <c r="AC79" s="1027"/>
      <c r="AD79" s="1027"/>
      <c r="AE79" s="1027"/>
      <c r="AF79" s="1027"/>
      <c r="AG79" s="1027"/>
      <c r="AH79" s="1027"/>
      <c r="AI79" s="1027"/>
      <c r="AJ79" s="1027"/>
      <c r="AK79" s="1027"/>
      <c r="AL79" s="1027"/>
      <c r="AM79" s="1027"/>
      <c r="AN79" s="1027"/>
      <c r="AO79" s="154"/>
      <c r="AP79" s="154"/>
      <c r="AQ79" s="154"/>
      <c r="AR79" s="154"/>
      <c r="AS79" s="154"/>
      <c r="AT79" s="154"/>
      <c r="AU79" s="154"/>
      <c r="AV79" s="154"/>
      <c r="AW79" s="154"/>
      <c r="AX79" s="154"/>
      <c r="AY79" s="154"/>
    </row>
    <row r="80" spans="1:51">
      <c r="A80" s="154"/>
      <c r="B80" s="1034" t="s">
        <v>577</v>
      </c>
      <c r="C80" s="1035"/>
      <c r="D80" s="1035"/>
      <c r="E80" s="1032"/>
      <c r="F80" s="1032"/>
      <c r="G80" s="1032"/>
      <c r="H80" s="1032"/>
      <c r="I80" s="1032"/>
      <c r="J80" s="1032"/>
      <c r="K80" s="1032"/>
      <c r="L80" s="1032"/>
      <c r="M80" s="1032"/>
      <c r="N80" s="1032"/>
      <c r="O80" s="1027"/>
      <c r="P80" s="1027"/>
      <c r="Q80" s="1027"/>
      <c r="R80" s="1027"/>
      <c r="S80" s="1027"/>
      <c r="T80" s="1027"/>
      <c r="U80" s="1027"/>
      <c r="V80" s="1027"/>
      <c r="W80" s="1027"/>
      <c r="X80" s="1027"/>
      <c r="Y80" s="1027"/>
      <c r="Z80" s="1027"/>
      <c r="AA80" s="1027"/>
      <c r="AB80" s="1027"/>
      <c r="AC80" s="1027"/>
      <c r="AD80" s="1027"/>
      <c r="AE80" s="1027"/>
      <c r="AF80" s="1027"/>
      <c r="AG80" s="1027"/>
      <c r="AH80" s="1027"/>
      <c r="AI80" s="1027"/>
      <c r="AJ80" s="1027"/>
      <c r="AK80" s="1027"/>
      <c r="AL80" s="1027"/>
      <c r="AM80" s="1027"/>
      <c r="AN80" s="1027"/>
      <c r="AO80" s="154"/>
      <c r="AP80" s="154"/>
      <c r="AQ80" s="154"/>
      <c r="AR80" s="154"/>
      <c r="AS80" s="154"/>
      <c r="AT80" s="154"/>
      <c r="AU80" s="154"/>
      <c r="AV80" s="154"/>
      <c r="AW80" s="154"/>
      <c r="AX80" s="154"/>
      <c r="AY80" s="154"/>
    </row>
    <row r="81" spans="1:51">
      <c r="A81" s="154"/>
      <c r="B81" s="1034" t="s">
        <v>578</v>
      </c>
      <c r="C81" s="1035"/>
      <c r="D81" s="1035"/>
      <c r="E81" s="1032"/>
      <c r="F81" s="1032"/>
      <c r="G81" s="1032"/>
      <c r="H81" s="1032"/>
      <c r="I81" s="1032"/>
      <c r="J81" s="1032"/>
      <c r="K81" s="1032"/>
      <c r="L81" s="1032"/>
      <c r="M81" s="1032"/>
      <c r="N81" s="1032"/>
      <c r="O81" s="1027"/>
      <c r="P81" s="1027"/>
      <c r="Q81" s="1027"/>
      <c r="R81" s="1027"/>
      <c r="S81" s="1027"/>
      <c r="T81" s="1027"/>
      <c r="U81" s="1027"/>
      <c r="V81" s="1027"/>
      <c r="W81" s="1027"/>
      <c r="X81" s="1027"/>
      <c r="Y81" s="1027"/>
      <c r="Z81" s="1027"/>
      <c r="AA81" s="1027"/>
      <c r="AB81" s="1027"/>
      <c r="AC81" s="1027"/>
      <c r="AD81" s="1027"/>
      <c r="AE81" s="1027"/>
      <c r="AF81" s="1027"/>
      <c r="AG81" s="1027"/>
      <c r="AH81" s="1027"/>
      <c r="AI81" s="1027"/>
      <c r="AJ81" s="1027"/>
      <c r="AK81" s="1027"/>
      <c r="AL81" s="1027"/>
      <c r="AM81" s="1027"/>
      <c r="AN81" s="1027"/>
      <c r="AO81" s="154"/>
      <c r="AP81" s="154"/>
      <c r="AQ81" s="154"/>
      <c r="AR81" s="154"/>
      <c r="AS81" s="154"/>
      <c r="AT81" s="154"/>
      <c r="AU81" s="154"/>
      <c r="AV81" s="154"/>
      <c r="AW81" s="154"/>
      <c r="AX81" s="154"/>
      <c r="AY81" s="154"/>
    </row>
    <row r="82" spans="1:51">
      <c r="A82" s="154"/>
      <c r="B82" s="1034" t="s">
        <v>579</v>
      </c>
      <c r="C82" s="1035"/>
      <c r="D82" s="1035"/>
      <c r="E82" s="1032"/>
      <c r="F82" s="1032"/>
      <c r="G82" s="1032"/>
      <c r="H82" s="1032"/>
      <c r="I82" s="1032"/>
      <c r="J82" s="1032"/>
      <c r="K82" s="1032"/>
      <c r="L82" s="1032"/>
      <c r="M82" s="1032"/>
      <c r="N82" s="1032"/>
      <c r="O82" s="1027"/>
      <c r="P82" s="1027"/>
      <c r="Q82" s="1027"/>
      <c r="R82" s="1027"/>
      <c r="S82" s="1027"/>
      <c r="T82" s="1027"/>
      <c r="U82" s="1027"/>
      <c r="V82" s="1027"/>
      <c r="W82" s="1027"/>
      <c r="X82" s="1027"/>
      <c r="Y82" s="1027"/>
      <c r="Z82" s="1027"/>
      <c r="AA82" s="1027"/>
      <c r="AB82" s="1027"/>
      <c r="AC82" s="1027"/>
      <c r="AD82" s="1027"/>
      <c r="AE82" s="1027"/>
      <c r="AF82" s="1027"/>
      <c r="AG82" s="1027"/>
      <c r="AH82" s="1027"/>
      <c r="AI82" s="1027"/>
      <c r="AJ82" s="1027"/>
      <c r="AK82" s="1027"/>
      <c r="AL82" s="1027"/>
      <c r="AM82" s="1027"/>
      <c r="AN82" s="1027"/>
      <c r="AO82" s="154"/>
      <c r="AP82" s="154"/>
      <c r="AQ82" s="154"/>
      <c r="AR82" s="154"/>
      <c r="AS82" s="154"/>
      <c r="AT82" s="154"/>
      <c r="AU82" s="154"/>
      <c r="AV82" s="154"/>
      <c r="AW82" s="154"/>
      <c r="AX82" s="154"/>
      <c r="AY82" s="154"/>
    </row>
    <row r="83" spans="1:51">
      <c r="A83" s="154"/>
      <c r="B83" s="1034" t="s">
        <v>580</v>
      </c>
      <c r="C83" s="1035"/>
      <c r="D83" s="1035"/>
      <c r="E83" s="1032"/>
      <c r="F83" s="1032"/>
      <c r="G83" s="1032"/>
      <c r="H83" s="1032"/>
      <c r="I83" s="1032"/>
      <c r="J83" s="1032"/>
      <c r="K83" s="1032"/>
      <c r="L83" s="1032"/>
      <c r="M83" s="1032"/>
      <c r="N83" s="1032"/>
      <c r="O83" s="1027"/>
      <c r="P83" s="1027"/>
      <c r="Q83" s="1027"/>
      <c r="R83" s="1027"/>
      <c r="S83" s="1027"/>
      <c r="T83" s="1027"/>
      <c r="U83" s="1027"/>
      <c r="V83" s="1027"/>
      <c r="W83" s="1027"/>
      <c r="X83" s="1027"/>
      <c r="Y83" s="1027"/>
      <c r="Z83" s="1027"/>
      <c r="AA83" s="1027"/>
      <c r="AB83" s="1027"/>
      <c r="AC83" s="1027"/>
      <c r="AD83" s="1027"/>
      <c r="AE83" s="1027"/>
      <c r="AF83" s="1027"/>
      <c r="AG83" s="1027"/>
      <c r="AH83" s="1027"/>
      <c r="AI83" s="1027"/>
      <c r="AJ83" s="1027"/>
      <c r="AK83" s="1027"/>
      <c r="AL83" s="1027"/>
      <c r="AM83" s="1027"/>
      <c r="AN83" s="1027"/>
      <c r="AO83" s="154"/>
      <c r="AP83" s="154"/>
      <c r="AQ83" s="154"/>
      <c r="AR83" s="154"/>
      <c r="AS83" s="154"/>
      <c r="AT83" s="154"/>
      <c r="AU83" s="154"/>
      <c r="AV83" s="154"/>
      <c r="AW83" s="154"/>
      <c r="AX83" s="154"/>
      <c r="AY83" s="154"/>
    </row>
    <row r="84" spans="1:51">
      <c r="A84" s="154"/>
      <c r="B84" s="1034" t="s">
        <v>581</v>
      </c>
      <c r="C84" s="1035"/>
      <c r="D84" s="1035"/>
      <c r="E84" s="1032"/>
      <c r="F84" s="1032"/>
      <c r="G84" s="1032"/>
      <c r="H84" s="1032"/>
      <c r="I84" s="1032"/>
      <c r="J84" s="1032"/>
      <c r="K84" s="1032"/>
      <c r="L84" s="1032"/>
      <c r="M84" s="1032"/>
      <c r="N84" s="1032"/>
      <c r="O84" s="1027"/>
      <c r="P84" s="1027"/>
      <c r="Q84" s="1027"/>
      <c r="R84" s="1027"/>
      <c r="S84" s="1027"/>
      <c r="T84" s="1027"/>
      <c r="U84" s="1027"/>
      <c r="V84" s="1027"/>
      <c r="W84" s="1027"/>
      <c r="X84" s="1027"/>
      <c r="Y84" s="1027"/>
      <c r="Z84" s="1027"/>
      <c r="AA84" s="1027"/>
      <c r="AB84" s="1027"/>
      <c r="AC84" s="1027"/>
      <c r="AD84" s="1027"/>
      <c r="AE84" s="1027"/>
      <c r="AF84" s="1027"/>
      <c r="AG84" s="1027"/>
      <c r="AH84" s="1027"/>
      <c r="AI84" s="1027"/>
      <c r="AJ84" s="1027"/>
      <c r="AK84" s="1027"/>
      <c r="AL84" s="1027"/>
      <c r="AM84" s="1027"/>
      <c r="AN84" s="1027"/>
      <c r="AO84" s="154"/>
      <c r="AP84" s="154"/>
      <c r="AQ84" s="154"/>
      <c r="AR84" s="154"/>
      <c r="AS84" s="154"/>
      <c r="AT84" s="154"/>
      <c r="AU84" s="154"/>
      <c r="AV84" s="154"/>
      <c r="AW84" s="154"/>
      <c r="AX84" s="154"/>
      <c r="AY84" s="154"/>
    </row>
    <row r="85" spans="1:51">
      <c r="A85" s="154"/>
      <c r="B85" s="1034" t="s">
        <v>582</v>
      </c>
      <c r="C85" s="1035"/>
      <c r="D85" s="1035"/>
      <c r="E85" s="1032"/>
      <c r="F85" s="1032"/>
      <c r="G85" s="1032"/>
      <c r="H85" s="1032"/>
      <c r="I85" s="1032"/>
      <c r="J85" s="1032"/>
      <c r="K85" s="1032"/>
      <c r="L85" s="1032"/>
      <c r="M85" s="1032"/>
      <c r="N85" s="1032"/>
      <c r="O85" s="1027"/>
      <c r="P85" s="1027"/>
      <c r="Q85" s="1027"/>
      <c r="R85" s="1027"/>
      <c r="S85" s="1027"/>
      <c r="T85" s="1027"/>
      <c r="U85" s="1027"/>
      <c r="V85" s="1027"/>
      <c r="W85" s="1027"/>
      <c r="X85" s="1027"/>
      <c r="Y85" s="1027"/>
      <c r="Z85" s="1027"/>
      <c r="AA85" s="1027"/>
      <c r="AB85" s="1027"/>
      <c r="AC85" s="1027"/>
      <c r="AD85" s="1027"/>
      <c r="AE85" s="1027"/>
      <c r="AF85" s="1027"/>
      <c r="AG85" s="1027"/>
      <c r="AH85" s="1027"/>
      <c r="AI85" s="1027"/>
      <c r="AJ85" s="1027"/>
      <c r="AK85" s="1027"/>
      <c r="AL85" s="1027"/>
      <c r="AM85" s="1027"/>
      <c r="AN85" s="1027"/>
      <c r="AO85" s="154"/>
      <c r="AP85" s="154"/>
      <c r="AQ85" s="154"/>
      <c r="AR85" s="154"/>
      <c r="AS85" s="154"/>
      <c r="AT85" s="154"/>
      <c r="AU85" s="154"/>
      <c r="AV85" s="154"/>
      <c r="AW85" s="154"/>
      <c r="AX85" s="154"/>
      <c r="AY85" s="154"/>
    </row>
    <row r="86" spans="1:51">
      <c r="A86" s="154"/>
      <c r="B86" s="1034" t="s">
        <v>583</v>
      </c>
      <c r="C86" s="1035"/>
      <c r="D86" s="1035"/>
      <c r="E86" s="1032"/>
      <c r="F86" s="1032"/>
      <c r="G86" s="1032"/>
      <c r="H86" s="1032"/>
      <c r="I86" s="1032"/>
      <c r="J86" s="1032"/>
      <c r="K86" s="1032"/>
      <c r="L86" s="1032"/>
      <c r="M86" s="1032"/>
      <c r="N86" s="1032"/>
      <c r="O86" s="1027"/>
      <c r="P86" s="1027"/>
      <c r="Q86" s="1027"/>
      <c r="R86" s="1027"/>
      <c r="S86" s="1027"/>
      <c r="T86" s="1027"/>
      <c r="U86" s="1027"/>
      <c r="V86" s="1027"/>
      <c r="W86" s="1027"/>
      <c r="X86" s="1027"/>
      <c r="Y86" s="1027"/>
      <c r="Z86" s="1027"/>
      <c r="AA86" s="1027"/>
      <c r="AB86" s="1027"/>
      <c r="AC86" s="1027"/>
      <c r="AD86" s="1027"/>
      <c r="AE86" s="1027"/>
      <c r="AF86" s="1027"/>
      <c r="AG86" s="1027"/>
      <c r="AH86" s="1027"/>
      <c r="AI86" s="1027"/>
      <c r="AJ86" s="1027"/>
      <c r="AK86" s="1027"/>
      <c r="AL86" s="1027"/>
      <c r="AM86" s="1027"/>
      <c r="AN86" s="1027"/>
      <c r="AO86" s="154"/>
      <c r="AP86" s="154"/>
      <c r="AQ86" s="154"/>
      <c r="AR86" s="154"/>
      <c r="AS86" s="154"/>
      <c r="AT86" s="154"/>
      <c r="AU86" s="154"/>
      <c r="AV86" s="154"/>
      <c r="AW86" s="154"/>
      <c r="AX86" s="154"/>
      <c r="AY86" s="154"/>
    </row>
    <row r="87" spans="1:51">
      <c r="A87" s="154"/>
      <c r="B87" s="1034" t="s">
        <v>92</v>
      </c>
      <c r="C87" s="1035"/>
      <c r="D87" s="1035"/>
      <c r="E87" s="1032"/>
      <c r="F87" s="1032"/>
      <c r="G87" s="1032"/>
      <c r="H87" s="1032"/>
      <c r="I87" s="1032"/>
      <c r="J87" s="1032"/>
      <c r="K87" s="1032"/>
      <c r="L87" s="1032"/>
      <c r="M87" s="1032"/>
      <c r="N87" s="1032"/>
      <c r="O87" s="1027"/>
      <c r="P87" s="1027"/>
      <c r="Q87" s="1027"/>
      <c r="R87" s="1027"/>
      <c r="S87" s="1027"/>
      <c r="T87" s="1027"/>
      <c r="U87" s="1027"/>
      <c r="V87" s="1027"/>
      <c r="W87" s="1027"/>
      <c r="X87" s="1027"/>
      <c r="Y87" s="1027"/>
      <c r="Z87" s="1027"/>
      <c r="AA87" s="1027"/>
      <c r="AB87" s="1027"/>
      <c r="AC87" s="1027"/>
      <c r="AD87" s="1027"/>
      <c r="AE87" s="1027"/>
      <c r="AF87" s="1027"/>
      <c r="AG87" s="1027"/>
      <c r="AH87" s="1027"/>
      <c r="AI87" s="1027"/>
      <c r="AJ87" s="1027"/>
      <c r="AK87" s="1027"/>
      <c r="AL87" s="1027"/>
      <c r="AM87" s="1027"/>
      <c r="AN87" s="1027"/>
      <c r="AO87" s="154"/>
      <c r="AP87" s="154"/>
      <c r="AQ87" s="154"/>
      <c r="AR87" s="154"/>
      <c r="AS87" s="154"/>
      <c r="AT87" s="154"/>
      <c r="AU87" s="154"/>
      <c r="AV87" s="154"/>
      <c r="AW87" s="154"/>
      <c r="AX87" s="154"/>
      <c r="AY87" s="154"/>
    </row>
    <row r="88" spans="1:51">
      <c r="A88" s="154"/>
      <c r="B88" s="1034" t="s">
        <v>584</v>
      </c>
      <c r="C88" s="1035"/>
      <c r="D88" s="1035"/>
      <c r="E88" s="1032"/>
      <c r="F88" s="1032"/>
      <c r="G88" s="1032"/>
      <c r="H88" s="1032"/>
      <c r="I88" s="1032"/>
      <c r="J88" s="1032"/>
      <c r="K88" s="1032"/>
      <c r="L88" s="1032"/>
      <c r="M88" s="1032"/>
      <c r="N88" s="1032"/>
      <c r="O88" s="1027"/>
      <c r="P88" s="1027"/>
      <c r="Q88" s="1027"/>
      <c r="R88" s="1027"/>
      <c r="S88" s="1027"/>
      <c r="T88" s="1027"/>
      <c r="U88" s="1027"/>
      <c r="V88" s="1027"/>
      <c r="W88" s="1027"/>
      <c r="X88" s="1027"/>
      <c r="Y88" s="1027"/>
      <c r="Z88" s="1027"/>
      <c r="AA88" s="1027"/>
      <c r="AB88" s="1027"/>
      <c r="AC88" s="1027"/>
      <c r="AD88" s="1027"/>
      <c r="AE88" s="1027"/>
      <c r="AF88" s="1027"/>
      <c r="AG88" s="1027"/>
      <c r="AH88" s="1027"/>
      <c r="AI88" s="1027"/>
      <c r="AJ88" s="1027"/>
      <c r="AK88" s="1027"/>
      <c r="AL88" s="1027"/>
      <c r="AM88" s="1027"/>
      <c r="AN88" s="1027"/>
      <c r="AO88" s="154"/>
      <c r="AP88" s="154"/>
      <c r="AQ88" s="154"/>
      <c r="AR88" s="154"/>
      <c r="AS88" s="154"/>
      <c r="AT88" s="154"/>
      <c r="AU88" s="154"/>
      <c r="AV88" s="154"/>
      <c r="AW88" s="154"/>
      <c r="AX88" s="154"/>
      <c r="AY88" s="154"/>
    </row>
    <row r="89" spans="1:51">
      <c r="A89" s="154"/>
      <c r="B89" s="1034" t="s">
        <v>94</v>
      </c>
      <c r="C89" s="1035"/>
      <c r="D89" s="1035"/>
      <c r="E89" s="1032"/>
      <c r="F89" s="1032"/>
      <c r="G89" s="1032"/>
      <c r="H89" s="1032"/>
      <c r="I89" s="1032"/>
      <c r="J89" s="1032"/>
      <c r="K89" s="1032"/>
      <c r="L89" s="1032"/>
      <c r="M89" s="1032"/>
      <c r="N89" s="1032"/>
      <c r="O89" s="1027"/>
      <c r="P89" s="1027"/>
      <c r="Q89" s="1027"/>
      <c r="R89" s="1027"/>
      <c r="S89" s="1027"/>
      <c r="T89" s="1027"/>
      <c r="U89" s="1027"/>
      <c r="V89" s="1027"/>
      <c r="W89" s="1027"/>
      <c r="X89" s="1027"/>
      <c r="Y89" s="1027"/>
      <c r="Z89" s="1027"/>
      <c r="AA89" s="1027"/>
      <c r="AB89" s="1027"/>
      <c r="AC89" s="1027"/>
      <c r="AD89" s="1027"/>
      <c r="AE89" s="1027"/>
      <c r="AF89" s="1027"/>
      <c r="AG89" s="1027"/>
      <c r="AH89" s="1027"/>
      <c r="AI89" s="1027"/>
      <c r="AJ89" s="1027"/>
      <c r="AK89" s="1027"/>
      <c r="AL89" s="1027"/>
      <c r="AM89" s="1027"/>
      <c r="AN89" s="1027"/>
      <c r="AO89" s="154"/>
      <c r="AP89" s="154"/>
      <c r="AQ89" s="154"/>
      <c r="AR89" s="154"/>
      <c r="AS89" s="154"/>
      <c r="AT89" s="154"/>
      <c r="AU89" s="154"/>
      <c r="AV89" s="154"/>
      <c r="AW89" s="154"/>
      <c r="AX89" s="154"/>
      <c r="AY89" s="154"/>
    </row>
    <row r="90" spans="1:51">
      <c r="A90" s="154"/>
      <c r="B90" s="1034" t="s">
        <v>585</v>
      </c>
      <c r="C90" s="1035"/>
      <c r="D90" s="1035"/>
      <c r="E90" s="1032"/>
      <c r="F90" s="1032"/>
      <c r="G90" s="1032"/>
      <c r="H90" s="1032"/>
      <c r="I90" s="1032"/>
      <c r="J90" s="1032"/>
      <c r="K90" s="1032"/>
      <c r="L90" s="1032"/>
      <c r="M90" s="1032"/>
      <c r="N90" s="1032"/>
      <c r="O90" s="1027"/>
      <c r="P90" s="1027"/>
      <c r="Q90" s="1027"/>
      <c r="R90" s="1027"/>
      <c r="S90" s="1027"/>
      <c r="T90" s="1027"/>
      <c r="U90" s="1027"/>
      <c r="V90" s="1027"/>
      <c r="W90" s="1027"/>
      <c r="X90" s="1027"/>
      <c r="Y90" s="1027"/>
      <c r="Z90" s="1027"/>
      <c r="AA90" s="1027"/>
      <c r="AB90" s="1027"/>
      <c r="AC90" s="1027"/>
      <c r="AD90" s="1027"/>
      <c r="AE90" s="1027"/>
      <c r="AF90" s="1027"/>
      <c r="AG90" s="1027"/>
      <c r="AH90" s="1027"/>
      <c r="AI90" s="1027"/>
      <c r="AJ90" s="1027"/>
      <c r="AK90" s="1027"/>
      <c r="AL90" s="1027"/>
      <c r="AM90" s="1027"/>
      <c r="AN90" s="1027"/>
      <c r="AO90" s="154"/>
      <c r="AP90" s="154"/>
      <c r="AQ90" s="154"/>
      <c r="AR90" s="154"/>
      <c r="AS90" s="154"/>
      <c r="AT90" s="154"/>
      <c r="AU90" s="154"/>
      <c r="AV90" s="154"/>
      <c r="AW90" s="154"/>
      <c r="AX90" s="154"/>
      <c r="AY90" s="154"/>
    </row>
    <row r="91" spans="1:51">
      <c r="A91" s="154"/>
      <c r="B91" s="1034" t="s">
        <v>586</v>
      </c>
      <c r="C91" s="1035"/>
      <c r="D91" s="1035"/>
      <c r="E91" s="1032"/>
      <c r="F91" s="1032"/>
      <c r="G91" s="1032"/>
      <c r="H91" s="1032"/>
      <c r="I91" s="1032"/>
      <c r="J91" s="1032"/>
      <c r="K91" s="1032"/>
      <c r="L91" s="1032"/>
      <c r="M91" s="1032"/>
      <c r="N91" s="1032"/>
      <c r="O91" s="1027"/>
      <c r="P91" s="1027"/>
      <c r="Q91" s="1027"/>
      <c r="R91" s="1027"/>
      <c r="S91" s="1027"/>
      <c r="T91" s="1027"/>
      <c r="U91" s="1027"/>
      <c r="V91" s="1027"/>
      <c r="W91" s="1027"/>
      <c r="X91" s="1027"/>
      <c r="Y91" s="1027"/>
      <c r="Z91" s="1027"/>
      <c r="AA91" s="1027"/>
      <c r="AB91" s="1027"/>
      <c r="AC91" s="1027"/>
      <c r="AD91" s="1027"/>
      <c r="AE91" s="1027"/>
      <c r="AF91" s="1027"/>
      <c r="AG91" s="1027"/>
      <c r="AH91" s="1027"/>
      <c r="AI91" s="1027"/>
      <c r="AJ91" s="1027"/>
      <c r="AK91" s="1027"/>
      <c r="AL91" s="1027"/>
      <c r="AM91" s="1027"/>
      <c r="AN91" s="1027"/>
      <c r="AO91" s="154"/>
      <c r="AP91" s="154"/>
      <c r="AQ91" s="154"/>
      <c r="AR91" s="154"/>
      <c r="AS91" s="154"/>
      <c r="AT91" s="154"/>
      <c r="AU91" s="154"/>
      <c r="AV91" s="154"/>
      <c r="AW91" s="154"/>
      <c r="AX91" s="154"/>
      <c r="AY91" s="154"/>
    </row>
    <row r="92" spans="1:51">
      <c r="A92" s="154"/>
      <c r="B92" s="1034" t="s">
        <v>9</v>
      </c>
      <c r="C92" s="1035"/>
      <c r="D92" s="1035"/>
      <c r="E92" s="1032"/>
      <c r="F92" s="1032"/>
      <c r="G92" s="1032"/>
      <c r="H92" s="1032"/>
      <c r="I92" s="1032"/>
      <c r="J92" s="1032"/>
      <c r="K92" s="1032"/>
      <c r="L92" s="1032"/>
      <c r="M92" s="1032"/>
      <c r="N92" s="1032"/>
      <c r="O92" s="1027"/>
      <c r="P92" s="1027"/>
      <c r="Q92" s="1027"/>
      <c r="R92" s="1027"/>
      <c r="S92" s="1027"/>
      <c r="T92" s="1027"/>
      <c r="U92" s="1027"/>
      <c r="V92" s="1027"/>
      <c r="W92" s="1027"/>
      <c r="X92" s="1027"/>
      <c r="Y92" s="1027"/>
      <c r="Z92" s="1027"/>
      <c r="AA92" s="1027"/>
      <c r="AB92" s="1027"/>
      <c r="AC92" s="1027"/>
      <c r="AD92" s="1027"/>
      <c r="AE92" s="1027"/>
      <c r="AF92" s="1027"/>
      <c r="AG92" s="1027"/>
      <c r="AH92" s="1027"/>
      <c r="AI92" s="1027"/>
      <c r="AJ92" s="1027"/>
      <c r="AK92" s="1027"/>
      <c r="AL92" s="1027"/>
      <c r="AM92" s="1027"/>
      <c r="AN92" s="1027"/>
      <c r="AO92" s="154"/>
      <c r="AP92" s="154"/>
      <c r="AQ92" s="154"/>
      <c r="AR92" s="154"/>
      <c r="AS92" s="154"/>
      <c r="AT92" s="154"/>
      <c r="AU92" s="154"/>
      <c r="AV92" s="154"/>
      <c r="AW92" s="154"/>
      <c r="AX92" s="154"/>
      <c r="AY92" s="154"/>
    </row>
    <row r="93" spans="1:51">
      <c r="A93" s="154"/>
      <c r="B93" s="1034" t="s">
        <v>587</v>
      </c>
      <c r="C93" s="1035"/>
      <c r="D93" s="1035"/>
      <c r="E93" s="1032"/>
      <c r="F93" s="1032"/>
      <c r="G93" s="1032"/>
      <c r="H93" s="1032"/>
      <c r="I93" s="1032"/>
      <c r="J93" s="1032"/>
      <c r="K93" s="1032"/>
      <c r="L93" s="1032"/>
      <c r="M93" s="1032"/>
      <c r="N93" s="1032"/>
      <c r="O93" s="1027"/>
      <c r="P93" s="1027"/>
      <c r="Q93" s="1027"/>
      <c r="R93" s="1027"/>
      <c r="S93" s="1027"/>
      <c r="T93" s="1027"/>
      <c r="U93" s="1027"/>
      <c r="V93" s="1027"/>
      <c r="W93" s="1027"/>
      <c r="X93" s="1027"/>
      <c r="Y93" s="1027"/>
      <c r="Z93" s="1027"/>
      <c r="AA93" s="1027"/>
      <c r="AB93" s="1027"/>
      <c r="AC93" s="1027"/>
      <c r="AD93" s="1027"/>
      <c r="AE93" s="1027"/>
      <c r="AF93" s="1027"/>
      <c r="AG93" s="1027"/>
      <c r="AH93" s="1027"/>
      <c r="AI93" s="1027"/>
      <c r="AJ93" s="1027"/>
      <c r="AK93" s="1027"/>
      <c r="AL93" s="1027"/>
      <c r="AM93" s="1027"/>
      <c r="AN93" s="1027"/>
      <c r="AO93" s="154"/>
      <c r="AP93" s="154"/>
      <c r="AQ93" s="154"/>
      <c r="AR93" s="154"/>
      <c r="AS93" s="154"/>
      <c r="AT93" s="154"/>
      <c r="AU93" s="154"/>
      <c r="AV93" s="154"/>
      <c r="AW93" s="154"/>
      <c r="AX93" s="154"/>
      <c r="AY93" s="154"/>
    </row>
    <row r="94" spans="1:51">
      <c r="A94" s="154"/>
      <c r="B94" s="1034" t="s">
        <v>588</v>
      </c>
      <c r="C94" s="1035"/>
      <c r="D94" s="1035"/>
      <c r="E94" s="1032"/>
      <c r="F94" s="1032"/>
      <c r="G94" s="1032"/>
      <c r="H94" s="1032"/>
      <c r="I94" s="1032"/>
      <c r="J94" s="1032"/>
      <c r="K94" s="1032"/>
      <c r="L94" s="1032"/>
      <c r="M94" s="1032"/>
      <c r="N94" s="1032"/>
      <c r="O94" s="1027"/>
      <c r="P94" s="1027"/>
      <c r="Q94" s="1027"/>
      <c r="R94" s="1027"/>
      <c r="S94" s="1027"/>
      <c r="T94" s="1027"/>
      <c r="U94" s="1027"/>
      <c r="V94" s="1027"/>
      <c r="W94" s="1027"/>
      <c r="X94" s="1027"/>
      <c r="Y94" s="1027"/>
      <c r="Z94" s="1027"/>
      <c r="AA94" s="1027"/>
      <c r="AB94" s="1027"/>
      <c r="AC94" s="1027"/>
      <c r="AD94" s="1027"/>
      <c r="AE94" s="1027"/>
      <c r="AF94" s="1027"/>
      <c r="AG94" s="1027"/>
      <c r="AH94" s="1027"/>
      <c r="AI94" s="1027"/>
      <c r="AJ94" s="1027"/>
      <c r="AK94" s="1027"/>
      <c r="AL94" s="1027"/>
      <c r="AM94" s="1027"/>
      <c r="AN94" s="1027"/>
      <c r="AO94" s="154"/>
      <c r="AP94" s="154"/>
      <c r="AQ94" s="154"/>
      <c r="AR94" s="154"/>
      <c r="AS94" s="154"/>
      <c r="AT94" s="154"/>
      <c r="AU94" s="154"/>
      <c r="AV94" s="154"/>
      <c r="AW94" s="154"/>
      <c r="AX94" s="154"/>
      <c r="AY94" s="154"/>
    </row>
    <row r="95" spans="1:51">
      <c r="A95" s="154"/>
      <c r="B95" s="1034" t="s">
        <v>589</v>
      </c>
      <c r="C95" s="1035"/>
      <c r="D95" s="1035"/>
      <c r="E95" s="1032"/>
      <c r="F95" s="1032"/>
      <c r="G95" s="1032"/>
      <c r="H95" s="1032"/>
      <c r="I95" s="1032"/>
      <c r="J95" s="1032"/>
      <c r="K95" s="1032"/>
      <c r="L95" s="1032"/>
      <c r="M95" s="1032"/>
      <c r="N95" s="1032"/>
      <c r="O95" s="1027"/>
      <c r="P95" s="1027"/>
      <c r="Q95" s="1027"/>
      <c r="R95" s="1027"/>
      <c r="S95" s="1027"/>
      <c r="T95" s="1027"/>
      <c r="U95" s="1027"/>
      <c r="V95" s="1027"/>
      <c r="W95" s="1027"/>
      <c r="X95" s="1027"/>
      <c r="Y95" s="1027"/>
      <c r="Z95" s="1027"/>
      <c r="AA95" s="1027"/>
      <c r="AB95" s="1027"/>
      <c r="AC95" s="1027"/>
      <c r="AD95" s="1027"/>
      <c r="AE95" s="1027"/>
      <c r="AF95" s="1027"/>
      <c r="AG95" s="1027"/>
      <c r="AH95" s="1027"/>
      <c r="AI95" s="1027"/>
      <c r="AJ95" s="1027"/>
      <c r="AK95" s="1027"/>
      <c r="AL95" s="1027"/>
      <c r="AM95" s="1027"/>
      <c r="AN95" s="1027"/>
      <c r="AO95" s="154"/>
      <c r="AP95" s="154"/>
      <c r="AQ95" s="154"/>
      <c r="AR95" s="154"/>
      <c r="AS95" s="154"/>
      <c r="AT95" s="154"/>
      <c r="AU95" s="154"/>
      <c r="AV95" s="154"/>
      <c r="AW95" s="154"/>
      <c r="AX95" s="154"/>
      <c r="AY95" s="154"/>
    </row>
    <row r="96" spans="1:51">
      <c r="A96" s="154"/>
      <c r="B96" s="1034" t="s">
        <v>590</v>
      </c>
      <c r="C96" s="1035"/>
      <c r="D96" s="1035"/>
      <c r="E96" s="1032"/>
      <c r="F96" s="1032"/>
      <c r="G96" s="1032"/>
      <c r="H96" s="1032"/>
      <c r="I96" s="1032"/>
      <c r="J96" s="1032"/>
      <c r="K96" s="1032"/>
      <c r="L96" s="1032"/>
      <c r="M96" s="1032"/>
      <c r="N96" s="1032"/>
      <c r="O96" s="1027"/>
      <c r="P96" s="1027"/>
      <c r="Q96" s="1027"/>
      <c r="R96" s="1027"/>
      <c r="S96" s="1027"/>
      <c r="T96" s="1027"/>
      <c r="U96" s="1027"/>
      <c r="V96" s="1027"/>
      <c r="W96" s="1027"/>
      <c r="X96" s="1027"/>
      <c r="Y96" s="1027"/>
      <c r="Z96" s="1027"/>
      <c r="AA96" s="1027"/>
      <c r="AB96" s="1027"/>
      <c r="AC96" s="1027"/>
      <c r="AD96" s="1027"/>
      <c r="AE96" s="1027"/>
      <c r="AF96" s="1027"/>
      <c r="AG96" s="1027"/>
      <c r="AH96" s="1027"/>
      <c r="AI96" s="1027"/>
      <c r="AJ96" s="1027"/>
      <c r="AK96" s="1027"/>
      <c r="AL96" s="1027"/>
      <c r="AM96" s="1027"/>
      <c r="AN96" s="1027"/>
      <c r="AO96" s="154"/>
      <c r="AP96" s="154"/>
      <c r="AQ96" s="154"/>
      <c r="AR96" s="154"/>
      <c r="AS96" s="154"/>
      <c r="AT96" s="154"/>
      <c r="AU96" s="154"/>
      <c r="AV96" s="154"/>
      <c r="AW96" s="154"/>
      <c r="AX96" s="154"/>
      <c r="AY96" s="154"/>
    </row>
    <row r="97" spans="1:51">
      <c r="A97" s="154"/>
      <c r="B97" s="1034" t="s">
        <v>591</v>
      </c>
      <c r="C97" s="1035"/>
      <c r="D97" s="1035"/>
      <c r="E97" s="1032"/>
      <c r="F97" s="1032"/>
      <c r="G97" s="1032"/>
      <c r="H97" s="1032"/>
      <c r="I97" s="1032"/>
      <c r="J97" s="1032"/>
      <c r="K97" s="1032"/>
      <c r="L97" s="1032"/>
      <c r="M97" s="1032"/>
      <c r="N97" s="1032"/>
      <c r="O97" s="1027"/>
      <c r="P97" s="1027"/>
      <c r="Q97" s="1027"/>
      <c r="R97" s="1027"/>
      <c r="S97" s="1027"/>
      <c r="T97" s="1027"/>
      <c r="U97" s="1027"/>
      <c r="V97" s="1027"/>
      <c r="W97" s="1027"/>
      <c r="X97" s="1027"/>
      <c r="Y97" s="1027"/>
      <c r="Z97" s="1027"/>
      <c r="AA97" s="1027"/>
      <c r="AB97" s="1027"/>
      <c r="AC97" s="1027"/>
      <c r="AD97" s="1027"/>
      <c r="AE97" s="1027"/>
      <c r="AF97" s="1027"/>
      <c r="AG97" s="1027"/>
      <c r="AH97" s="1027"/>
      <c r="AI97" s="1027"/>
      <c r="AJ97" s="1027"/>
      <c r="AK97" s="1027"/>
      <c r="AL97" s="1027"/>
      <c r="AM97" s="1027"/>
      <c r="AN97" s="1027"/>
      <c r="AO97" s="154"/>
      <c r="AP97" s="154"/>
      <c r="AQ97" s="154"/>
      <c r="AR97" s="154"/>
      <c r="AS97" s="154"/>
      <c r="AT97" s="154"/>
      <c r="AU97" s="154"/>
      <c r="AV97" s="154"/>
      <c r="AW97" s="154"/>
      <c r="AX97" s="154"/>
      <c r="AY97" s="154"/>
    </row>
    <row r="98" spans="1:51">
      <c r="A98" s="154"/>
      <c r="B98" s="1034" t="s">
        <v>592</v>
      </c>
      <c r="C98" s="1035"/>
      <c r="D98" s="1035"/>
      <c r="E98" s="1032"/>
      <c r="F98" s="1032"/>
      <c r="G98" s="1032"/>
      <c r="H98" s="1032"/>
      <c r="I98" s="1032"/>
      <c r="J98" s="1032"/>
      <c r="K98" s="1032"/>
      <c r="L98" s="1032"/>
      <c r="M98" s="1032"/>
      <c r="N98" s="1032"/>
      <c r="O98" s="1027"/>
      <c r="P98" s="1027"/>
      <c r="Q98" s="1027"/>
      <c r="R98" s="1027"/>
      <c r="S98" s="1027"/>
      <c r="T98" s="1027"/>
      <c r="U98" s="1027"/>
      <c r="V98" s="1027"/>
      <c r="W98" s="1027"/>
      <c r="X98" s="1027"/>
      <c r="Y98" s="1027"/>
      <c r="Z98" s="1027"/>
      <c r="AA98" s="1027"/>
      <c r="AB98" s="1027"/>
      <c r="AC98" s="1027"/>
      <c r="AD98" s="1027"/>
      <c r="AE98" s="1027"/>
      <c r="AF98" s="1027"/>
      <c r="AG98" s="1027"/>
      <c r="AH98" s="1027"/>
      <c r="AI98" s="1027"/>
      <c r="AJ98" s="1027"/>
      <c r="AK98" s="1027"/>
      <c r="AL98" s="1027"/>
      <c r="AM98" s="1027"/>
      <c r="AN98" s="1027"/>
      <c r="AO98" s="154"/>
      <c r="AP98" s="154"/>
      <c r="AQ98" s="154"/>
      <c r="AR98" s="154"/>
      <c r="AS98" s="154"/>
      <c r="AT98" s="154"/>
      <c r="AU98" s="154"/>
      <c r="AV98" s="154"/>
      <c r="AW98" s="154"/>
      <c r="AX98" s="154"/>
      <c r="AY98" s="154"/>
    </row>
    <row r="99" spans="1:51">
      <c r="A99" s="154"/>
      <c r="B99" s="1034" t="s">
        <v>593</v>
      </c>
      <c r="C99" s="1035"/>
      <c r="D99" s="1035"/>
      <c r="E99" s="1032"/>
      <c r="F99" s="1032"/>
      <c r="G99" s="1032"/>
      <c r="H99" s="1032"/>
      <c r="I99" s="1032"/>
      <c r="J99" s="1032"/>
      <c r="K99" s="1032"/>
      <c r="L99" s="1032"/>
      <c r="M99" s="1032"/>
      <c r="N99" s="1032"/>
      <c r="O99" s="1027"/>
      <c r="P99" s="1027"/>
      <c r="Q99" s="1027"/>
      <c r="R99" s="1027"/>
      <c r="S99" s="1027"/>
      <c r="T99" s="1027"/>
      <c r="U99" s="1027"/>
      <c r="V99" s="1027"/>
      <c r="W99" s="1027"/>
      <c r="X99" s="1027"/>
      <c r="Y99" s="1027"/>
      <c r="Z99" s="1027"/>
      <c r="AA99" s="1027"/>
      <c r="AB99" s="1027"/>
      <c r="AC99" s="1027"/>
      <c r="AD99" s="1027"/>
      <c r="AE99" s="1027"/>
      <c r="AF99" s="1027"/>
      <c r="AG99" s="1027"/>
      <c r="AH99" s="1027"/>
      <c r="AI99" s="1027"/>
      <c r="AJ99" s="1027"/>
      <c r="AK99" s="1027"/>
      <c r="AL99" s="1027"/>
      <c r="AM99" s="1027"/>
      <c r="AN99" s="1027"/>
      <c r="AO99" s="154"/>
      <c r="AP99" s="154"/>
      <c r="AQ99" s="154"/>
      <c r="AR99" s="154"/>
      <c r="AS99" s="154"/>
      <c r="AT99" s="154"/>
      <c r="AU99" s="154"/>
      <c r="AV99" s="154"/>
      <c r="AW99" s="154"/>
      <c r="AX99" s="154"/>
      <c r="AY99" s="154"/>
    </row>
    <row r="100" spans="1:51">
      <c r="A100" s="154"/>
      <c r="B100" s="1034" t="s">
        <v>594</v>
      </c>
      <c r="C100" s="1035"/>
      <c r="D100" s="1035"/>
      <c r="E100" s="1032"/>
      <c r="F100" s="1032"/>
      <c r="G100" s="1032"/>
      <c r="H100" s="1032"/>
      <c r="I100" s="1032"/>
      <c r="J100" s="1032"/>
      <c r="K100" s="1032"/>
      <c r="L100" s="1032"/>
      <c r="M100" s="1032"/>
      <c r="N100" s="1032"/>
      <c r="O100" s="1027"/>
      <c r="P100" s="1027"/>
      <c r="Q100" s="1027"/>
      <c r="R100" s="1027"/>
      <c r="S100" s="1027"/>
      <c r="T100" s="1027"/>
      <c r="U100" s="1027"/>
      <c r="V100" s="1027"/>
      <c r="W100" s="1027"/>
      <c r="X100" s="1027"/>
      <c r="Y100" s="1027"/>
      <c r="Z100" s="1027"/>
      <c r="AA100" s="1027"/>
      <c r="AB100" s="1027"/>
      <c r="AC100" s="1027"/>
      <c r="AD100" s="1027"/>
      <c r="AE100" s="1027"/>
      <c r="AF100" s="1027"/>
      <c r="AG100" s="1027"/>
      <c r="AH100" s="1027"/>
      <c r="AI100" s="1027"/>
      <c r="AJ100" s="1027"/>
      <c r="AK100" s="1027"/>
      <c r="AL100" s="1027"/>
      <c r="AM100" s="1027"/>
      <c r="AN100" s="1027"/>
      <c r="AO100" s="154"/>
      <c r="AP100" s="154"/>
      <c r="AQ100" s="154"/>
      <c r="AR100" s="154"/>
      <c r="AS100" s="154"/>
      <c r="AT100" s="154"/>
      <c r="AU100" s="154"/>
      <c r="AV100" s="154"/>
      <c r="AW100" s="154"/>
      <c r="AX100" s="154"/>
      <c r="AY100" s="154"/>
    </row>
    <row r="101" spans="1:51">
      <c r="A101" s="154"/>
      <c r="B101" s="1034" t="s">
        <v>10</v>
      </c>
      <c r="C101" s="1035"/>
      <c r="D101" s="1035"/>
      <c r="E101" s="1032"/>
      <c r="F101" s="1032"/>
      <c r="G101" s="1032"/>
      <c r="H101" s="1032"/>
      <c r="I101" s="1032"/>
      <c r="J101" s="1032"/>
      <c r="K101" s="1032"/>
      <c r="L101" s="1032"/>
      <c r="M101" s="1032"/>
      <c r="N101" s="1032"/>
      <c r="O101" s="1027"/>
      <c r="P101" s="1027"/>
      <c r="Q101" s="1027"/>
      <c r="R101" s="1027"/>
      <c r="S101" s="1027"/>
      <c r="T101" s="1027"/>
      <c r="U101" s="1027"/>
      <c r="V101" s="1027"/>
      <c r="W101" s="1027"/>
      <c r="X101" s="1027"/>
      <c r="Y101" s="1027"/>
      <c r="Z101" s="1027"/>
      <c r="AA101" s="1027"/>
      <c r="AB101" s="1027"/>
      <c r="AC101" s="1027"/>
      <c r="AD101" s="1027"/>
      <c r="AE101" s="1027"/>
      <c r="AF101" s="1027"/>
      <c r="AG101" s="1027"/>
      <c r="AH101" s="1027"/>
      <c r="AI101" s="1027"/>
      <c r="AJ101" s="1027"/>
      <c r="AK101" s="1027"/>
      <c r="AL101" s="1027"/>
      <c r="AM101" s="1027"/>
      <c r="AN101" s="1027"/>
      <c r="AO101" s="154"/>
      <c r="AP101" s="154"/>
      <c r="AQ101" s="154"/>
      <c r="AR101" s="154"/>
      <c r="AS101" s="154"/>
      <c r="AT101" s="154"/>
      <c r="AU101" s="154"/>
      <c r="AV101" s="154"/>
      <c r="AW101" s="154"/>
      <c r="AX101" s="154"/>
      <c r="AY101" s="154"/>
    </row>
    <row r="102" spans="1:51">
      <c r="A102" s="154"/>
      <c r="B102" s="1034" t="s">
        <v>595</v>
      </c>
      <c r="C102" s="1035"/>
      <c r="D102" s="1035"/>
      <c r="E102" s="1032"/>
      <c r="F102" s="1032"/>
      <c r="G102" s="1032"/>
      <c r="H102" s="1032"/>
      <c r="I102" s="1032"/>
      <c r="J102" s="1032"/>
      <c r="K102" s="1032"/>
      <c r="L102" s="1032"/>
      <c r="M102" s="1032"/>
      <c r="N102" s="1032"/>
      <c r="O102" s="1027"/>
      <c r="P102" s="1027"/>
      <c r="Q102" s="1027"/>
      <c r="R102" s="1027"/>
      <c r="S102" s="1027"/>
      <c r="T102" s="1027"/>
      <c r="U102" s="1027"/>
      <c r="V102" s="1027"/>
      <c r="W102" s="1027"/>
      <c r="X102" s="1027"/>
      <c r="Y102" s="1027"/>
      <c r="Z102" s="1027"/>
      <c r="AA102" s="1027"/>
      <c r="AB102" s="1027"/>
      <c r="AC102" s="1027"/>
      <c r="AD102" s="1027"/>
      <c r="AE102" s="1027"/>
      <c r="AF102" s="1027"/>
      <c r="AG102" s="1027"/>
      <c r="AH102" s="1027"/>
      <c r="AI102" s="1027"/>
      <c r="AJ102" s="1027"/>
      <c r="AK102" s="1027"/>
      <c r="AL102" s="1027"/>
      <c r="AM102" s="1027"/>
      <c r="AN102" s="1027"/>
      <c r="AO102" s="154"/>
      <c r="AP102" s="154"/>
      <c r="AQ102" s="154"/>
      <c r="AR102" s="154"/>
      <c r="AS102" s="154"/>
      <c r="AT102" s="154"/>
      <c r="AU102" s="154"/>
      <c r="AV102" s="154"/>
      <c r="AW102" s="154"/>
      <c r="AX102" s="154"/>
      <c r="AY102" s="154"/>
    </row>
    <row r="103" spans="1:51">
      <c r="A103" s="154"/>
      <c r="B103" s="1034" t="s">
        <v>596</v>
      </c>
      <c r="C103" s="1035"/>
      <c r="D103" s="1035"/>
      <c r="E103" s="1032"/>
      <c r="F103" s="1032"/>
      <c r="G103" s="1032"/>
      <c r="H103" s="1032"/>
      <c r="I103" s="1032"/>
      <c r="J103" s="1032"/>
      <c r="K103" s="1032"/>
      <c r="L103" s="1032"/>
      <c r="M103" s="1032"/>
      <c r="N103" s="1032"/>
      <c r="O103" s="1027"/>
      <c r="P103" s="1027"/>
      <c r="Q103" s="1027"/>
      <c r="R103" s="1027"/>
      <c r="S103" s="1027"/>
      <c r="T103" s="1027"/>
      <c r="U103" s="1027"/>
      <c r="V103" s="1027"/>
      <c r="W103" s="1027"/>
      <c r="X103" s="1027"/>
      <c r="Y103" s="1027"/>
      <c r="Z103" s="1027"/>
      <c r="AA103" s="1027"/>
      <c r="AB103" s="1027"/>
      <c r="AC103" s="1027"/>
      <c r="AD103" s="1027"/>
      <c r="AE103" s="1027"/>
      <c r="AF103" s="1027"/>
      <c r="AG103" s="1027"/>
      <c r="AH103" s="1027"/>
      <c r="AI103" s="1027"/>
      <c r="AJ103" s="1027"/>
      <c r="AK103" s="1027"/>
      <c r="AL103" s="1027"/>
      <c r="AM103" s="1027"/>
      <c r="AN103" s="1027"/>
      <c r="AO103" s="154"/>
      <c r="AP103" s="154"/>
      <c r="AQ103" s="154"/>
      <c r="AR103" s="154"/>
      <c r="AS103" s="154"/>
      <c r="AT103" s="154"/>
      <c r="AU103" s="154"/>
      <c r="AV103" s="154"/>
      <c r="AW103" s="154"/>
      <c r="AX103" s="154"/>
      <c r="AY103" s="154"/>
    </row>
    <row r="104" spans="1:51">
      <c r="A104" s="154"/>
      <c r="B104" s="1034" t="s">
        <v>597</v>
      </c>
      <c r="C104" s="1035"/>
      <c r="D104" s="1035"/>
      <c r="E104" s="1032"/>
      <c r="F104" s="1032"/>
      <c r="G104" s="1032"/>
      <c r="H104" s="1032"/>
      <c r="I104" s="1032"/>
      <c r="J104" s="1032"/>
      <c r="K104" s="1032"/>
      <c r="L104" s="1032"/>
      <c r="M104" s="1032"/>
      <c r="N104" s="1032"/>
      <c r="O104" s="1027"/>
      <c r="P104" s="1027"/>
      <c r="Q104" s="1027"/>
      <c r="R104" s="1027"/>
      <c r="S104" s="1027"/>
      <c r="T104" s="1027"/>
      <c r="U104" s="1027"/>
      <c r="V104" s="1027"/>
      <c r="W104" s="1027"/>
      <c r="X104" s="1027"/>
      <c r="Y104" s="1027"/>
      <c r="Z104" s="1027"/>
      <c r="AA104" s="1027"/>
      <c r="AB104" s="1027"/>
      <c r="AC104" s="1027"/>
      <c r="AD104" s="1027"/>
      <c r="AE104" s="1027"/>
      <c r="AF104" s="1027"/>
      <c r="AG104" s="1027"/>
      <c r="AH104" s="1027"/>
      <c r="AI104" s="1027"/>
      <c r="AJ104" s="1027"/>
      <c r="AK104" s="1027"/>
      <c r="AL104" s="1027"/>
      <c r="AM104" s="1027"/>
      <c r="AN104" s="1027"/>
      <c r="AO104" s="154"/>
      <c r="AP104" s="154"/>
      <c r="AQ104" s="154"/>
      <c r="AR104" s="154"/>
      <c r="AS104" s="154"/>
      <c r="AT104" s="154"/>
      <c r="AU104" s="154"/>
      <c r="AV104" s="154"/>
      <c r="AW104" s="154"/>
      <c r="AX104" s="154"/>
      <c r="AY104" s="154"/>
    </row>
    <row r="105" spans="1:51">
      <c r="A105" s="154"/>
      <c r="B105" s="1034" t="s">
        <v>598</v>
      </c>
      <c r="C105" s="1035"/>
      <c r="D105" s="1035"/>
      <c r="E105" s="1032"/>
      <c r="F105" s="1032"/>
      <c r="G105" s="1032"/>
      <c r="H105" s="1032"/>
      <c r="I105" s="1032"/>
      <c r="J105" s="1032"/>
      <c r="K105" s="1032"/>
      <c r="L105" s="1032"/>
      <c r="M105" s="1032"/>
      <c r="N105" s="1032"/>
      <c r="O105" s="1027"/>
      <c r="P105" s="1027"/>
      <c r="Q105" s="1027"/>
      <c r="R105" s="1027"/>
      <c r="S105" s="1027"/>
      <c r="T105" s="1027"/>
      <c r="U105" s="1027"/>
      <c r="V105" s="1027"/>
      <c r="W105" s="1027"/>
      <c r="X105" s="1027"/>
      <c r="Y105" s="1027"/>
      <c r="Z105" s="1027"/>
      <c r="AA105" s="1027"/>
      <c r="AB105" s="1027"/>
      <c r="AC105" s="1027"/>
      <c r="AD105" s="1027"/>
      <c r="AE105" s="1027"/>
      <c r="AF105" s="1027"/>
      <c r="AG105" s="1027"/>
      <c r="AH105" s="1027"/>
      <c r="AI105" s="1027"/>
      <c r="AJ105" s="1027"/>
      <c r="AK105" s="1027"/>
      <c r="AL105" s="1027"/>
      <c r="AM105" s="1027"/>
      <c r="AN105" s="1027"/>
      <c r="AO105" s="154"/>
      <c r="AP105" s="154"/>
      <c r="AQ105" s="154"/>
      <c r="AR105" s="154"/>
      <c r="AS105" s="154"/>
      <c r="AT105" s="154"/>
      <c r="AU105" s="154"/>
      <c r="AV105" s="154"/>
      <c r="AW105" s="154"/>
      <c r="AX105" s="154"/>
      <c r="AY105" s="154"/>
    </row>
    <row r="106" spans="1:51">
      <c r="A106" s="154"/>
      <c r="B106" s="1034" t="s">
        <v>599</v>
      </c>
      <c r="C106" s="1035"/>
      <c r="D106" s="1035"/>
      <c r="E106" s="1032"/>
      <c r="F106" s="1032"/>
      <c r="G106" s="1032"/>
      <c r="H106" s="1032"/>
      <c r="I106" s="1032"/>
      <c r="J106" s="1032"/>
      <c r="K106" s="1032"/>
      <c r="L106" s="1032"/>
      <c r="M106" s="1032"/>
      <c r="N106" s="1032"/>
      <c r="O106" s="1027"/>
      <c r="P106" s="1027"/>
      <c r="Q106" s="1027"/>
      <c r="R106" s="1027"/>
      <c r="S106" s="1027"/>
      <c r="T106" s="1027"/>
      <c r="U106" s="1027"/>
      <c r="V106" s="1027"/>
      <c r="W106" s="1027"/>
      <c r="X106" s="1027"/>
      <c r="Y106" s="1027"/>
      <c r="Z106" s="1027"/>
      <c r="AA106" s="1027"/>
      <c r="AB106" s="1027"/>
      <c r="AC106" s="1027"/>
      <c r="AD106" s="1027"/>
      <c r="AE106" s="1027"/>
      <c r="AF106" s="1027"/>
      <c r="AG106" s="1027"/>
      <c r="AH106" s="1027"/>
      <c r="AI106" s="1027"/>
      <c r="AJ106" s="1027"/>
      <c r="AK106" s="1027"/>
      <c r="AL106" s="1027"/>
      <c r="AM106" s="1027"/>
      <c r="AN106" s="1027"/>
      <c r="AO106" s="154"/>
      <c r="AP106" s="154"/>
      <c r="AQ106" s="154"/>
      <c r="AR106" s="154"/>
      <c r="AS106" s="154"/>
      <c r="AT106" s="154"/>
      <c r="AU106" s="154"/>
      <c r="AV106" s="154"/>
      <c r="AW106" s="154"/>
      <c r="AX106" s="154"/>
      <c r="AY106" s="154"/>
    </row>
    <row r="107" spans="1:51">
      <c r="A107" s="154"/>
      <c r="B107" s="1034" t="s">
        <v>600</v>
      </c>
      <c r="C107" s="1035"/>
      <c r="D107" s="1035"/>
      <c r="E107" s="1032"/>
      <c r="F107" s="1032"/>
      <c r="G107" s="1032"/>
      <c r="H107" s="1032"/>
      <c r="I107" s="1032"/>
      <c r="J107" s="1032"/>
      <c r="K107" s="1032"/>
      <c r="L107" s="1032"/>
      <c r="M107" s="1032"/>
      <c r="N107" s="1032"/>
      <c r="O107" s="1027"/>
      <c r="P107" s="1027"/>
      <c r="Q107" s="1027"/>
      <c r="R107" s="1027"/>
      <c r="S107" s="1027"/>
      <c r="T107" s="1027"/>
      <c r="U107" s="1027"/>
      <c r="V107" s="1027"/>
      <c r="W107" s="1027"/>
      <c r="X107" s="1027"/>
      <c r="Y107" s="1027"/>
      <c r="Z107" s="1027"/>
      <c r="AA107" s="1027"/>
      <c r="AB107" s="1027"/>
      <c r="AC107" s="1027"/>
      <c r="AD107" s="1027"/>
      <c r="AE107" s="1027"/>
      <c r="AF107" s="1027"/>
      <c r="AG107" s="1027"/>
      <c r="AH107" s="1027"/>
      <c r="AI107" s="1027"/>
      <c r="AJ107" s="1027"/>
      <c r="AK107" s="1027"/>
      <c r="AL107" s="1027"/>
      <c r="AM107" s="1027"/>
      <c r="AN107" s="1027"/>
      <c r="AO107" s="154"/>
      <c r="AP107" s="154"/>
      <c r="AQ107" s="154"/>
      <c r="AR107" s="154"/>
      <c r="AS107" s="154"/>
      <c r="AT107" s="154"/>
      <c r="AU107" s="154"/>
      <c r="AV107" s="154"/>
      <c r="AW107" s="154"/>
      <c r="AX107" s="154"/>
      <c r="AY107" s="154"/>
    </row>
    <row r="108" spans="1:51">
      <c r="A108" s="154"/>
      <c r="B108" s="1034" t="s">
        <v>601</v>
      </c>
      <c r="C108" s="1035"/>
      <c r="D108" s="1035"/>
      <c r="E108" s="1032"/>
      <c r="F108" s="1032"/>
      <c r="G108" s="1032"/>
      <c r="H108" s="1032"/>
      <c r="I108" s="1032"/>
      <c r="J108" s="1032"/>
      <c r="K108" s="1032"/>
      <c r="L108" s="1032"/>
      <c r="M108" s="1032"/>
      <c r="N108" s="1032"/>
      <c r="O108" s="1027"/>
      <c r="P108" s="1027"/>
      <c r="Q108" s="1027"/>
      <c r="R108" s="1027"/>
      <c r="S108" s="1027"/>
      <c r="T108" s="1027"/>
      <c r="U108" s="1027"/>
      <c r="V108" s="1027"/>
      <c r="W108" s="1027"/>
      <c r="X108" s="1027"/>
      <c r="Y108" s="1027"/>
      <c r="Z108" s="1027"/>
      <c r="AA108" s="1027"/>
      <c r="AB108" s="1027"/>
      <c r="AC108" s="1027"/>
      <c r="AD108" s="1027"/>
      <c r="AE108" s="1027"/>
      <c r="AF108" s="1027"/>
      <c r="AG108" s="1027"/>
      <c r="AH108" s="1027"/>
      <c r="AI108" s="1027"/>
      <c r="AJ108" s="1027"/>
      <c r="AK108" s="1027"/>
      <c r="AL108" s="1027"/>
      <c r="AM108" s="1027"/>
      <c r="AN108" s="1027"/>
      <c r="AO108" s="154"/>
      <c r="AP108" s="154"/>
      <c r="AQ108" s="154"/>
      <c r="AR108" s="154"/>
      <c r="AS108" s="154"/>
      <c r="AT108" s="154"/>
      <c r="AU108" s="154"/>
      <c r="AV108" s="154"/>
      <c r="AW108" s="154"/>
      <c r="AX108" s="154"/>
      <c r="AY108" s="154"/>
    </row>
    <row r="109" spans="1:51">
      <c r="A109" s="154"/>
      <c r="B109" s="1034" t="s">
        <v>602</v>
      </c>
      <c r="C109" s="1035"/>
      <c r="D109" s="1035"/>
      <c r="E109" s="1032"/>
      <c r="F109" s="1032"/>
      <c r="G109" s="1032"/>
      <c r="H109" s="1032"/>
      <c r="I109" s="1032"/>
      <c r="J109" s="1032"/>
      <c r="K109" s="1032"/>
      <c r="L109" s="1032"/>
      <c r="M109" s="1032"/>
      <c r="N109" s="1032"/>
      <c r="O109" s="1027"/>
      <c r="P109" s="1027"/>
      <c r="Q109" s="1027"/>
      <c r="R109" s="1027"/>
      <c r="S109" s="1027"/>
      <c r="T109" s="1027"/>
      <c r="U109" s="1027"/>
      <c r="V109" s="1027"/>
      <c r="W109" s="1027"/>
      <c r="X109" s="1027"/>
      <c r="Y109" s="1027"/>
      <c r="Z109" s="1027"/>
      <c r="AA109" s="1027"/>
      <c r="AB109" s="1027"/>
      <c r="AC109" s="1027"/>
      <c r="AD109" s="1027"/>
      <c r="AE109" s="1027"/>
      <c r="AF109" s="1027"/>
      <c r="AG109" s="1027"/>
      <c r="AH109" s="1027"/>
      <c r="AI109" s="1027"/>
      <c r="AJ109" s="1027"/>
      <c r="AK109" s="1027"/>
      <c r="AL109" s="1027"/>
      <c r="AM109" s="1027"/>
      <c r="AN109" s="1027"/>
      <c r="AO109" s="154"/>
      <c r="AP109" s="154"/>
      <c r="AQ109" s="154"/>
      <c r="AR109" s="154"/>
      <c r="AS109" s="154"/>
      <c r="AT109" s="154"/>
      <c r="AU109" s="154"/>
      <c r="AV109" s="154"/>
      <c r="AW109" s="154"/>
      <c r="AX109" s="154"/>
      <c r="AY109" s="154"/>
    </row>
    <row r="110" spans="1:51">
      <c r="A110" s="154"/>
      <c r="B110" s="1034" t="s">
        <v>181</v>
      </c>
      <c r="C110" s="1035"/>
      <c r="D110" s="1035"/>
      <c r="E110" s="1032"/>
      <c r="F110" s="1032"/>
      <c r="G110" s="1032"/>
      <c r="H110" s="1032"/>
      <c r="I110" s="1032"/>
      <c r="J110" s="1032"/>
      <c r="K110" s="1032"/>
      <c r="L110" s="1032"/>
      <c r="M110" s="1032"/>
      <c r="N110" s="1032"/>
      <c r="O110" s="1027"/>
      <c r="P110" s="1027"/>
      <c r="Q110" s="1027"/>
      <c r="R110" s="1027"/>
      <c r="S110" s="1027"/>
      <c r="T110" s="1027"/>
      <c r="U110" s="1027"/>
      <c r="V110" s="1027"/>
      <c r="W110" s="1027"/>
      <c r="X110" s="1027"/>
      <c r="Y110" s="1027"/>
      <c r="Z110" s="1027"/>
      <c r="AA110" s="1027"/>
      <c r="AB110" s="1027"/>
      <c r="AC110" s="1027"/>
      <c r="AD110" s="1027"/>
      <c r="AE110" s="1027"/>
      <c r="AF110" s="1027"/>
      <c r="AG110" s="1027"/>
      <c r="AH110" s="1027"/>
      <c r="AI110" s="1027"/>
      <c r="AJ110" s="1027"/>
      <c r="AK110" s="1027"/>
      <c r="AL110" s="1027"/>
      <c r="AM110" s="1027"/>
      <c r="AN110" s="1027"/>
      <c r="AO110" s="154"/>
      <c r="AP110" s="154"/>
      <c r="AQ110" s="154"/>
      <c r="AR110" s="154"/>
      <c r="AS110" s="154"/>
      <c r="AT110" s="154"/>
      <c r="AU110" s="154"/>
      <c r="AV110" s="154"/>
      <c r="AW110" s="154"/>
      <c r="AX110" s="154"/>
      <c r="AY110" s="154"/>
    </row>
    <row r="111" spans="1:51">
      <c r="A111" s="154"/>
      <c r="B111" s="1036"/>
      <c r="C111" s="1036"/>
      <c r="D111" s="1036"/>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5"/>
      <c r="AA111" s="1025"/>
      <c r="AB111" s="1025"/>
      <c r="AC111" s="1025"/>
      <c r="AD111" s="1025"/>
      <c r="AE111" s="1025"/>
      <c r="AF111" s="1025"/>
      <c r="AG111" s="1025"/>
      <c r="AH111" s="1025"/>
      <c r="AI111" s="1025"/>
      <c r="AJ111" s="1025"/>
      <c r="AK111" s="1025"/>
      <c r="AL111" s="1025"/>
      <c r="AM111" s="1025"/>
      <c r="AN111" s="1025"/>
      <c r="AO111" s="154"/>
      <c r="AP111" s="154"/>
      <c r="AQ111" s="154"/>
      <c r="AR111" s="154"/>
      <c r="AS111" s="154"/>
      <c r="AT111" s="154"/>
      <c r="AU111" s="154"/>
      <c r="AV111" s="154"/>
      <c r="AW111" s="154"/>
      <c r="AX111" s="154"/>
      <c r="AY111" s="154"/>
    </row>
    <row r="112" spans="1:51">
      <c r="A112" s="154"/>
      <c r="B112" s="961" t="s">
        <v>603</v>
      </c>
      <c r="C112" s="961">
        <v>1998</v>
      </c>
      <c r="D112" s="961">
        <v>1999</v>
      </c>
      <c r="E112" s="961">
        <v>2000</v>
      </c>
      <c r="F112" s="961">
        <v>2001</v>
      </c>
      <c r="G112" s="961">
        <v>2002</v>
      </c>
      <c r="H112" s="961">
        <v>2003</v>
      </c>
      <c r="I112" s="961">
        <v>2004</v>
      </c>
      <c r="J112" s="961">
        <v>2005</v>
      </c>
      <c r="K112" s="961">
        <v>2006</v>
      </c>
      <c r="L112" s="961">
        <v>2007</v>
      </c>
      <c r="M112" s="961">
        <v>2008</v>
      </c>
      <c r="N112" s="961">
        <v>2009</v>
      </c>
      <c r="O112" s="961">
        <v>2010</v>
      </c>
      <c r="P112" s="961">
        <v>2011</v>
      </c>
      <c r="Q112" s="961">
        <v>2012</v>
      </c>
      <c r="R112" s="961">
        <v>2013</v>
      </c>
      <c r="S112" s="961">
        <v>2014</v>
      </c>
      <c r="T112" s="961">
        <v>2015</v>
      </c>
      <c r="U112" s="961">
        <v>2016</v>
      </c>
      <c r="V112" s="961">
        <v>2017</v>
      </c>
      <c r="W112" s="961">
        <v>2018</v>
      </c>
      <c r="X112" s="961">
        <v>2019</v>
      </c>
      <c r="Y112" s="961">
        <v>2020</v>
      </c>
      <c r="Z112" s="961">
        <v>2021</v>
      </c>
      <c r="AA112" s="961">
        <v>2022</v>
      </c>
      <c r="AB112" s="961">
        <v>2023</v>
      </c>
      <c r="AC112" s="961">
        <v>2024</v>
      </c>
      <c r="AD112" s="961">
        <v>2025</v>
      </c>
      <c r="AE112" s="961">
        <v>2026</v>
      </c>
      <c r="AF112" s="961">
        <v>2027</v>
      </c>
      <c r="AG112" s="961">
        <v>2028</v>
      </c>
      <c r="AH112" s="961">
        <v>2029</v>
      </c>
      <c r="AI112" s="961">
        <v>2030</v>
      </c>
      <c r="AJ112" s="961">
        <v>2030</v>
      </c>
      <c r="AK112" s="961">
        <v>2030</v>
      </c>
      <c r="AL112" s="961">
        <v>2030</v>
      </c>
      <c r="AM112" s="961">
        <v>2030</v>
      </c>
      <c r="AN112" s="961">
        <v>2030</v>
      </c>
      <c r="AO112" s="154"/>
      <c r="AP112" s="154"/>
      <c r="AQ112" s="154"/>
      <c r="AR112" s="154"/>
      <c r="AS112" s="154"/>
      <c r="AT112" s="154"/>
      <c r="AU112" s="154"/>
      <c r="AV112" s="154"/>
      <c r="AW112" s="154"/>
      <c r="AX112" s="154"/>
      <c r="AY112" s="154"/>
    </row>
    <row r="113" spans="1:51">
      <c r="A113" s="154"/>
      <c r="B113" s="1022" t="s">
        <v>57</v>
      </c>
      <c r="C113" s="1027"/>
      <c r="D113" s="1028"/>
      <c r="E113" s="1028"/>
      <c r="F113" s="1028"/>
      <c r="G113" s="1028"/>
      <c r="H113" s="1028"/>
      <c r="I113" s="1028"/>
      <c r="J113" s="1028"/>
      <c r="K113" s="1028"/>
      <c r="L113" s="1028"/>
      <c r="M113" s="1028"/>
      <c r="N113" s="1028"/>
      <c r="O113" s="1028"/>
      <c r="P113" s="1028"/>
      <c r="Q113" s="1028"/>
      <c r="R113" s="1028"/>
      <c r="S113" s="1028"/>
      <c r="T113" s="1028"/>
      <c r="U113" s="1028"/>
      <c r="V113" s="1028"/>
      <c r="W113" s="1028"/>
      <c r="X113" s="1023">
        <f>X25</f>
        <v>409.61399999999992</v>
      </c>
      <c r="Y113" s="1023">
        <f t="shared" ref="Y113:AI113" si="6">Y25</f>
        <v>590.01400000000001</v>
      </c>
      <c r="Z113" s="1023">
        <f t="shared" si="6"/>
        <v>524.39599999999996</v>
      </c>
      <c r="AA113" s="1023">
        <f t="shared" si="6"/>
        <v>397.38599999999997</v>
      </c>
      <c r="AB113" s="1023">
        <f t="shared" si="6"/>
        <v>546.53500000000008</v>
      </c>
      <c r="AC113" s="1023">
        <f t="shared" si="6"/>
        <v>671.35399999999993</v>
      </c>
      <c r="AD113" s="1023">
        <f t="shared" si="6"/>
        <v>739.86683591510814</v>
      </c>
      <c r="AE113" s="1023">
        <f t="shared" si="6"/>
        <v>781.89486860196962</v>
      </c>
      <c r="AF113" s="1023">
        <f t="shared" si="6"/>
        <v>858.68016569403994</v>
      </c>
      <c r="AG113" s="1023">
        <f t="shared" si="6"/>
        <v>920.65980627022805</v>
      </c>
      <c r="AH113" s="1023">
        <f t="shared" si="6"/>
        <v>997.79439935551204</v>
      </c>
      <c r="AI113" s="1023">
        <f t="shared" si="6"/>
        <v>1067.524691326495</v>
      </c>
      <c r="AJ113" s="1023">
        <f t="shared" ref="AJ113:AN113" si="7">AJ25</f>
        <v>1149.3105923280136</v>
      </c>
      <c r="AK113" s="1023">
        <f t="shared" si="7"/>
        <v>1221.8906610976712</v>
      </c>
      <c r="AL113" s="1023">
        <f t="shared" si="7"/>
        <v>1312.6262547692747</v>
      </c>
      <c r="AM113" s="1023">
        <f t="shared" si="7"/>
        <v>1395.7461309288647</v>
      </c>
      <c r="AN113" s="1023">
        <f t="shared" si="7"/>
        <v>1484.3635201258021</v>
      </c>
      <c r="AO113" s="154"/>
      <c r="AP113" s="154"/>
      <c r="AQ113" s="154"/>
      <c r="AR113" s="154"/>
      <c r="AS113" s="154"/>
      <c r="AT113" s="154"/>
      <c r="AU113" s="154"/>
      <c r="AV113" s="154"/>
      <c r="AW113" s="154"/>
      <c r="AX113" s="154"/>
      <c r="AY113" s="154"/>
    </row>
    <row r="114" spans="1:51">
      <c r="A114" s="154"/>
      <c r="B114" s="1022" t="s">
        <v>58</v>
      </c>
      <c r="C114" s="1027"/>
      <c r="D114" s="1028"/>
      <c r="E114" s="1028"/>
      <c r="F114" s="1028"/>
      <c r="G114" s="1028"/>
      <c r="H114" s="1028"/>
      <c r="I114" s="1028"/>
      <c r="J114" s="1028"/>
      <c r="K114" s="1028"/>
      <c r="L114" s="1028"/>
      <c r="M114" s="1028"/>
      <c r="N114" s="1028"/>
      <c r="O114" s="1028"/>
      <c r="P114" s="1028"/>
      <c r="Q114" s="1028"/>
      <c r="R114" s="1028"/>
      <c r="S114" s="1028"/>
      <c r="T114" s="1028"/>
      <c r="U114" s="1028"/>
      <c r="V114" s="1028"/>
      <c r="W114" s="1028"/>
      <c r="X114" s="1023">
        <f>Master!F111</f>
        <v>-168.785</v>
      </c>
      <c r="Y114" s="1023">
        <f>Master!G111</f>
        <v>-182.07599999999999</v>
      </c>
      <c r="Z114" s="1023">
        <f>Master!H111</f>
        <v>-193.41</v>
      </c>
      <c r="AA114" s="1023">
        <f>Master!I111</f>
        <v>-255.57500000000002</v>
      </c>
      <c r="AB114" s="1023">
        <f>Master!J111</f>
        <v>-332.464</v>
      </c>
      <c r="AC114" s="1023">
        <f>Master!K111</f>
        <v>-374.36499999999995</v>
      </c>
      <c r="AD114" s="1023">
        <f>Master!L111</f>
        <v>-386.51656725155664</v>
      </c>
      <c r="AE114" s="1023">
        <f>Master!M111</f>
        <v>-381.28046923133184</v>
      </c>
      <c r="AF114" s="1023">
        <f>Master!N111</f>
        <v>-381.74327613737455</v>
      </c>
      <c r="AG114" s="1023">
        <f>Master!O111</f>
        <v>-381.86701110161994</v>
      </c>
      <c r="AH114" s="1023">
        <f>Master!P111</f>
        <v>-382.06778073325887</v>
      </c>
      <c r="AI114" s="1023">
        <f>Master!Q111</f>
        <v>-382.24070564658905</v>
      </c>
      <c r="AJ114" s="1023">
        <f>Master!R111</f>
        <v>-382.44515346579732</v>
      </c>
      <c r="AK114" s="1023">
        <f>Master!S111</f>
        <v>-383.0112717254525</v>
      </c>
      <c r="AL114" s="1023">
        <f>Master!T111</f>
        <v>-384.09148599816046</v>
      </c>
      <c r="AM114" s="1023">
        <f>Master!U111</f>
        <v>-385.59477106074706</v>
      </c>
      <c r="AN114" s="1023">
        <f>Master!V111</f>
        <v>-387.69777264614646</v>
      </c>
      <c r="AO114" s="154"/>
      <c r="AP114" s="154"/>
      <c r="AQ114" s="154"/>
      <c r="AR114" s="154"/>
      <c r="AS114" s="154"/>
      <c r="AT114" s="154"/>
      <c r="AU114" s="154"/>
      <c r="AV114" s="154"/>
      <c r="AW114" s="154"/>
      <c r="AX114" s="154"/>
      <c r="AY114" s="154"/>
    </row>
    <row r="115" spans="1:51">
      <c r="A115" s="154"/>
      <c r="B115" s="1022" t="s">
        <v>59</v>
      </c>
      <c r="C115" s="1027"/>
      <c r="D115" s="1028"/>
      <c r="E115" s="1028"/>
      <c r="F115" s="1028"/>
      <c r="G115" s="1028"/>
      <c r="H115" s="1028"/>
      <c r="I115" s="1028"/>
      <c r="J115" s="1028"/>
      <c r="K115" s="1028"/>
      <c r="L115" s="1028"/>
      <c r="M115" s="1028"/>
      <c r="N115" s="1028"/>
      <c r="O115" s="1028"/>
      <c r="P115" s="1028"/>
      <c r="Q115" s="1028"/>
      <c r="R115" s="1028"/>
      <c r="S115" s="1028"/>
      <c r="T115" s="1028"/>
      <c r="U115" s="1028"/>
      <c r="V115" s="1028"/>
      <c r="W115" s="1028"/>
      <c r="X115" s="1023">
        <f>Master!F112</f>
        <v>-13.396000000000001</v>
      </c>
      <c r="Y115" s="1023">
        <f>Master!G112</f>
        <v>-14.54</v>
      </c>
      <c r="Z115" s="1023">
        <f>Master!H112</f>
        <v>-29.146999999999998</v>
      </c>
      <c r="AA115" s="1023">
        <f>Master!I112</f>
        <v>-51.244999999999997</v>
      </c>
      <c r="AB115" s="1023">
        <f>Master!J112</f>
        <v>-45.411000000000001</v>
      </c>
      <c r="AC115" s="1023">
        <f>Master!K112</f>
        <v>-38.628999999999998</v>
      </c>
      <c r="AD115" s="1023">
        <f>Master!L112</f>
        <v>-44.980206961226379</v>
      </c>
      <c r="AE115" s="1023">
        <f>Master!M112</f>
        <v>-65.646527322746209</v>
      </c>
      <c r="AF115" s="1023">
        <f>Master!N112</f>
        <v>-88.114476653310433</v>
      </c>
      <c r="AG115" s="1023">
        <f>Master!O112</f>
        <v>-106.84398123795764</v>
      </c>
      <c r="AH115" s="1023">
        <f>Master!P112</f>
        <v>-127.7293323991356</v>
      </c>
      <c r="AI115" s="1023">
        <f>Master!Q112</f>
        <v>-150.06020705724754</v>
      </c>
      <c r="AJ115" s="1023">
        <f>Master!R112</f>
        <v>-172.53323710010218</v>
      </c>
      <c r="AK115" s="1023">
        <f>Master!S112</f>
        <v>-196.1136120180027</v>
      </c>
      <c r="AL115" s="1023">
        <f>Master!T112</f>
        <v>-221.46817080988657</v>
      </c>
      <c r="AM115" s="1023">
        <f>Master!U112</f>
        <v>-248.92913200351177</v>
      </c>
      <c r="AN115" s="1023">
        <f>Master!V112</f>
        <v>-278.33927193664994</v>
      </c>
      <c r="AO115" s="154"/>
      <c r="AP115" s="154"/>
      <c r="AQ115" s="154"/>
      <c r="AR115" s="154"/>
      <c r="AS115" s="154"/>
      <c r="AT115" s="154"/>
      <c r="AU115" s="154"/>
      <c r="AV115" s="154"/>
      <c r="AW115" s="154"/>
      <c r="AX115" s="154"/>
      <c r="AY115" s="154"/>
    </row>
    <row r="116" spans="1:51">
      <c r="A116" s="154"/>
      <c r="B116" s="1022" t="s">
        <v>60</v>
      </c>
      <c r="C116" s="1027"/>
      <c r="D116" s="1028"/>
      <c r="E116" s="1028"/>
      <c r="F116" s="1028"/>
      <c r="G116" s="1028"/>
      <c r="H116" s="1028"/>
      <c r="I116" s="1028"/>
      <c r="J116" s="1028"/>
      <c r="K116" s="1028"/>
      <c r="L116" s="1028"/>
      <c r="M116" s="1028"/>
      <c r="N116" s="1028"/>
      <c r="O116" s="1028"/>
      <c r="P116" s="1028"/>
      <c r="Q116" s="1028"/>
      <c r="R116" s="1028"/>
      <c r="S116" s="1028"/>
      <c r="T116" s="1028"/>
      <c r="U116" s="1028"/>
      <c r="V116" s="1028"/>
      <c r="W116" s="1028"/>
      <c r="X116" s="1023">
        <f>Master!F113</f>
        <v>-18</v>
      </c>
      <c r="Y116" s="1023">
        <f>Master!G113</f>
        <v>-157.76499999999999</v>
      </c>
      <c r="Z116" s="1023">
        <f>Master!H113</f>
        <v>-69.826999999999998</v>
      </c>
      <c r="AA116" s="1023">
        <f>Master!I113</f>
        <v>-46.24</v>
      </c>
      <c r="AB116" s="1023">
        <f>Master!J113</f>
        <v>-224.982</v>
      </c>
      <c r="AC116" s="1023">
        <f>Master!K113</f>
        <v>-158.667</v>
      </c>
      <c r="AD116" s="1023">
        <f>Master!L113</f>
        <v>-135.15493423109282</v>
      </c>
      <c r="AE116" s="1023">
        <f>Master!M113</f>
        <v>-125.57690886901644</v>
      </c>
      <c r="AF116" s="1023">
        <f>Master!N113</f>
        <v>-104.27030912083694</v>
      </c>
      <c r="AG116" s="1023">
        <f>Master!O113</f>
        <v>-105.27322557897782</v>
      </c>
      <c r="AH116" s="1023">
        <f>Master!P113</f>
        <v>-106.39389916131162</v>
      </c>
      <c r="AI116" s="1023">
        <f>Master!Q113</f>
        <v>-105.7717050242818</v>
      </c>
      <c r="AJ116" s="1023">
        <f>Master!R113</f>
        <v>-102.25721279217592</v>
      </c>
      <c r="AK116" s="1023">
        <f>Master!S113</f>
        <v>-110.61798739812178</v>
      </c>
      <c r="AL116" s="1023">
        <f>Master!T113</f>
        <v>-107.33990281919588</v>
      </c>
      <c r="AM116" s="1023">
        <f>Master!U113</f>
        <v>-102.67790960480198</v>
      </c>
      <c r="AN116" s="1023">
        <f>Master!V113</f>
        <v>-111.37659455884666</v>
      </c>
      <c r="AO116" s="154"/>
      <c r="AP116" s="154"/>
      <c r="AQ116" s="154"/>
      <c r="AR116" s="154"/>
      <c r="AS116" s="154"/>
      <c r="AT116" s="154"/>
      <c r="AU116" s="154"/>
      <c r="AV116" s="154"/>
      <c r="AW116" s="154"/>
      <c r="AX116" s="154"/>
      <c r="AY116" s="154"/>
    </row>
    <row r="117" spans="1:51">
      <c r="A117" s="154"/>
      <c r="B117" s="1022" t="s">
        <v>61</v>
      </c>
      <c r="C117" s="1027"/>
      <c r="D117" s="1027"/>
      <c r="E117" s="1027"/>
      <c r="F117" s="1027"/>
      <c r="G117" s="1027"/>
      <c r="H117" s="1028"/>
      <c r="I117" s="1028"/>
      <c r="J117" s="1028"/>
      <c r="K117" s="1028"/>
      <c r="L117" s="1028"/>
      <c r="M117" s="1028"/>
      <c r="N117" s="1028"/>
      <c r="O117" s="1028"/>
      <c r="P117" s="1028"/>
      <c r="Q117" s="1028"/>
      <c r="R117" s="1028"/>
      <c r="S117" s="1028"/>
      <c r="T117" s="1028"/>
      <c r="U117" s="1028"/>
      <c r="V117" s="1028"/>
      <c r="W117" s="1028"/>
      <c r="X117" s="1023">
        <f>Master!F114</f>
        <v>0</v>
      </c>
      <c r="Y117" s="1023">
        <f>Master!G114</f>
        <v>0</v>
      </c>
      <c r="Z117" s="1023">
        <f>Master!H114</f>
        <v>0</v>
      </c>
      <c r="AA117" s="1023">
        <f>Master!I114</f>
        <v>0</v>
      </c>
      <c r="AB117" s="1023">
        <f>Master!J114</f>
        <v>0</v>
      </c>
      <c r="AC117" s="1023">
        <f>Master!K114</f>
        <v>0</v>
      </c>
      <c r="AD117" s="1023">
        <f>Master!L114</f>
        <v>0</v>
      </c>
      <c r="AE117" s="1023">
        <f>Master!M114</f>
        <v>0</v>
      </c>
      <c r="AF117" s="1023">
        <f>Master!N114</f>
        <v>0</v>
      </c>
      <c r="AG117" s="1023">
        <f>Master!O114</f>
        <v>0</v>
      </c>
      <c r="AH117" s="1023">
        <f>Master!P114</f>
        <v>0</v>
      </c>
      <c r="AI117" s="1023">
        <f>Master!Q114</f>
        <v>0</v>
      </c>
      <c r="AJ117" s="1023">
        <f>Master!R114</f>
        <v>0</v>
      </c>
      <c r="AK117" s="1023">
        <f>Master!S114</f>
        <v>0</v>
      </c>
      <c r="AL117" s="1023">
        <f>Master!T114</f>
        <v>0</v>
      </c>
      <c r="AM117" s="1023">
        <f>Master!U114</f>
        <v>0</v>
      </c>
      <c r="AN117" s="1023">
        <f>Master!V114</f>
        <v>0</v>
      </c>
      <c r="AO117" s="154"/>
      <c r="AP117" s="154"/>
      <c r="AQ117" s="154"/>
      <c r="AR117" s="154"/>
      <c r="AS117" s="154"/>
      <c r="AT117" s="154"/>
      <c r="AU117" s="154"/>
      <c r="AV117" s="154"/>
      <c r="AW117" s="154"/>
      <c r="AX117" s="154"/>
      <c r="AY117" s="154"/>
    </row>
    <row r="118" spans="1:51">
      <c r="A118" s="154"/>
      <c r="B118" s="1022" t="s">
        <v>604</v>
      </c>
      <c r="C118" s="1027"/>
      <c r="D118" s="1027"/>
      <c r="E118" s="1032"/>
      <c r="F118" s="1032"/>
      <c r="G118" s="1032"/>
      <c r="H118" s="1028"/>
      <c r="I118" s="1028"/>
      <c r="J118" s="1028"/>
      <c r="K118" s="1028"/>
      <c r="L118" s="1028"/>
      <c r="M118" s="1028"/>
      <c r="N118" s="1028"/>
      <c r="O118" s="1028"/>
      <c r="P118" s="1028"/>
      <c r="Q118" s="1028"/>
      <c r="R118" s="1028"/>
      <c r="S118" s="1028"/>
      <c r="T118" s="1028"/>
      <c r="U118" s="1028"/>
      <c r="V118" s="1028"/>
      <c r="W118" s="1028"/>
      <c r="X118" s="1023">
        <f>Master!F115+Master!F119</f>
        <v>-893.66700000000014</v>
      </c>
      <c r="Y118" s="1023">
        <f>Master!G115+Master!G119</f>
        <v>-285.92499999999984</v>
      </c>
      <c r="Z118" s="1023">
        <f>Master!H115+Master!H119</f>
        <v>28.121999999999517</v>
      </c>
      <c r="AA118" s="1023">
        <f>Master!I115+Master!I119</f>
        <v>-677.5909999999991</v>
      </c>
      <c r="AB118" s="1023">
        <f>Master!J115+Master!J119-AB122</f>
        <v>-72.854000000000013</v>
      </c>
      <c r="AC118" s="1023">
        <f>Master!K115+Master!K119</f>
        <v>251.12200000000024</v>
      </c>
      <c r="AD118" s="1023">
        <f>Master!L115+Master!L119</f>
        <v>-60.756300000000003</v>
      </c>
      <c r="AE118" s="1023">
        <f>Master!M115+Master!M119</f>
        <v>-66.831930000000014</v>
      </c>
      <c r="AF118" s="1023">
        <f>Master!N115+Master!N119</f>
        <v>-73.515123000000017</v>
      </c>
      <c r="AG118" s="1023">
        <f>Master!O115+Master!O119</f>
        <v>-80.866635300000027</v>
      </c>
      <c r="AH118" s="1023">
        <f>Master!P115+Master!P119</f>
        <v>-88.953298830000037</v>
      </c>
      <c r="AI118" s="1023">
        <f>Master!Q115+Master!Q119</f>
        <v>-97.848628713000053</v>
      </c>
      <c r="AJ118" s="1023">
        <f>Master!R115+Master!R119</f>
        <v>-105.18727586647505</v>
      </c>
      <c r="AK118" s="1023">
        <f>Master!S115+Master!S119</f>
        <v>-110.44663965979881</v>
      </c>
      <c r="AL118" s="1023">
        <f>Master!T115+Master!T119</f>
        <v>-115.96897164278874</v>
      </c>
      <c r="AM118" s="1023">
        <f>Master!U115+Master!U119</f>
        <v>-121.76742022492819</v>
      </c>
      <c r="AN118" s="1023">
        <f>Master!V115+Master!V119</f>
        <v>-127.8557912361746</v>
      </c>
      <c r="AO118" s="154"/>
      <c r="AP118" s="154"/>
      <c r="AQ118" s="154"/>
      <c r="AR118" s="154"/>
      <c r="AS118" s="154"/>
      <c r="AT118" s="154"/>
      <c r="AU118" s="154"/>
      <c r="AV118" s="154"/>
      <c r="AW118" s="154"/>
      <c r="AX118" s="154"/>
      <c r="AY118" s="154"/>
    </row>
    <row r="119" spans="1:51">
      <c r="A119" s="154"/>
      <c r="B119" s="1022" t="s">
        <v>62</v>
      </c>
      <c r="C119" s="1027"/>
      <c r="D119" s="1032"/>
      <c r="E119" s="1032"/>
      <c r="F119" s="1032"/>
      <c r="G119" s="1032"/>
      <c r="H119" s="1028"/>
      <c r="I119" s="1028"/>
      <c r="J119" s="1028"/>
      <c r="K119" s="1028"/>
      <c r="L119" s="1028"/>
      <c r="M119" s="1028"/>
      <c r="N119" s="1028"/>
      <c r="O119" s="1028"/>
      <c r="P119" s="1028"/>
      <c r="Q119" s="1028"/>
      <c r="R119" s="1028"/>
      <c r="S119" s="1028"/>
      <c r="T119" s="1028"/>
      <c r="U119" s="1028"/>
      <c r="V119" s="1028"/>
      <c r="W119" s="1028"/>
      <c r="X119" s="1023">
        <f>Master!F116</f>
        <v>0</v>
      </c>
      <c r="Y119" s="1023">
        <f>Master!G116</f>
        <v>-540.678</v>
      </c>
      <c r="Z119" s="1023">
        <f>Master!H116</f>
        <v>-396.29699999999997</v>
      </c>
      <c r="AA119" s="1023">
        <f>Master!I116</f>
        <v>-733.91399999999999</v>
      </c>
      <c r="AB119" s="1023">
        <f>Master!J116</f>
        <v>-1.5669999999999997</v>
      </c>
      <c r="AC119" s="1023">
        <f>Master!K116</f>
        <v>145.666</v>
      </c>
      <c r="AD119" s="1023">
        <f>Master!L116</f>
        <v>180</v>
      </c>
      <c r="AE119" s="1023">
        <f>Master!M116</f>
        <v>70</v>
      </c>
      <c r="AF119" s="1023">
        <f>Master!N116</f>
        <v>24.5</v>
      </c>
      <c r="AG119" s="1023">
        <f>Master!O116</f>
        <v>0</v>
      </c>
      <c r="AH119" s="1023">
        <f>Master!P116</f>
        <v>0</v>
      </c>
      <c r="AI119" s="1023">
        <f>Master!Q116</f>
        <v>0</v>
      </c>
      <c r="AJ119" s="1023">
        <f>Master!R116</f>
        <v>0</v>
      </c>
      <c r="AK119" s="1023">
        <f>Master!S116</f>
        <v>0</v>
      </c>
      <c r="AL119" s="1023">
        <f>Master!T116</f>
        <v>0</v>
      </c>
      <c r="AM119" s="1023">
        <f>Master!U116</f>
        <v>0</v>
      </c>
      <c r="AN119" s="1023">
        <f>Master!V116</f>
        <v>0</v>
      </c>
      <c r="AO119" s="154"/>
      <c r="AP119" s="154"/>
      <c r="AQ119" s="154"/>
      <c r="AR119" s="154"/>
      <c r="AS119" s="154"/>
      <c r="AT119" s="154"/>
      <c r="AU119" s="154"/>
      <c r="AV119" s="154"/>
      <c r="AW119" s="154"/>
      <c r="AX119" s="154"/>
      <c r="AY119" s="154"/>
    </row>
    <row r="120" spans="1:51">
      <c r="A120" s="154"/>
      <c r="B120" s="1022" t="s">
        <v>63</v>
      </c>
      <c r="C120" s="1027"/>
      <c r="D120" s="1028"/>
      <c r="E120" s="1028"/>
      <c r="F120" s="1028"/>
      <c r="G120" s="1028"/>
      <c r="H120" s="1028"/>
      <c r="I120" s="1028"/>
      <c r="J120" s="1028"/>
      <c r="K120" s="1028"/>
      <c r="L120" s="1028"/>
      <c r="M120" s="1028"/>
      <c r="N120" s="1028"/>
      <c r="O120" s="1028"/>
      <c r="P120" s="1028"/>
      <c r="Q120" s="1028"/>
      <c r="R120" s="1028"/>
      <c r="S120" s="1028"/>
      <c r="T120" s="1028"/>
      <c r="U120" s="1028"/>
      <c r="V120" s="1028"/>
      <c r="W120" s="1028"/>
      <c r="X120" s="1023">
        <f>Master!F117</f>
        <v>0</v>
      </c>
      <c r="Y120" s="1023">
        <f>Master!G117</f>
        <v>0</v>
      </c>
      <c r="Z120" s="1023">
        <f>Master!H117</f>
        <v>0</v>
      </c>
      <c r="AA120" s="1023">
        <f>Master!I117</f>
        <v>0</v>
      </c>
      <c r="AB120" s="1023">
        <f>Master!J117</f>
        <v>0</v>
      </c>
      <c r="AC120" s="1023">
        <f>Master!K117</f>
        <v>0</v>
      </c>
      <c r="AD120" s="1023">
        <f>Master!L117</f>
        <v>0</v>
      </c>
      <c r="AE120" s="1023">
        <f>Master!M117</f>
        <v>-57.831694664433911</v>
      </c>
      <c r="AF120" s="1023">
        <f>Master!N117</f>
        <v>-76.587615209870577</v>
      </c>
      <c r="AG120" s="1023">
        <f>Master!O117</f>
        <v>-102.80022276219552</v>
      </c>
      <c r="AH120" s="1023">
        <f>Master!P117</f>
        <v>-124.65131144428392</v>
      </c>
      <c r="AI120" s="1023">
        <f>Master!Q117</f>
        <v>-149.01755446565821</v>
      </c>
      <c r="AJ120" s="1023">
        <f>Master!R117</f>
        <v>-175.07024156678881</v>
      </c>
      <c r="AK120" s="1023">
        <f>Master!S117</f>
        <v>-201.28877661678592</v>
      </c>
      <c r="AL120" s="1023">
        <f>Master!T117</f>
        <v>-228.79921402100317</v>
      </c>
      <c r="AM120" s="1023">
        <f>Master!U117</f>
        <v>-258.37953261153433</v>
      </c>
      <c r="AN120" s="1023">
        <f>Master!V117</f>
        <v>-290.41732067076373</v>
      </c>
      <c r="AO120" s="154"/>
      <c r="AP120" s="154"/>
      <c r="AQ120" s="154"/>
      <c r="AR120" s="154"/>
      <c r="AS120" s="154"/>
      <c r="AT120" s="154"/>
      <c r="AU120" s="154"/>
      <c r="AV120" s="154"/>
      <c r="AW120" s="154"/>
      <c r="AX120" s="154"/>
      <c r="AY120" s="154"/>
    </row>
    <row r="121" spans="1:51">
      <c r="A121" s="154"/>
      <c r="B121" s="1022" t="s">
        <v>605</v>
      </c>
      <c r="C121" s="1027"/>
      <c r="D121" s="1028"/>
      <c r="E121" s="1028"/>
      <c r="F121" s="1028"/>
      <c r="G121" s="1028"/>
      <c r="H121" s="1028"/>
      <c r="I121" s="1028"/>
      <c r="J121" s="1028"/>
      <c r="K121" s="1028"/>
      <c r="L121" s="1028"/>
      <c r="M121" s="1028"/>
      <c r="N121" s="1028"/>
      <c r="O121" s="1028"/>
      <c r="P121" s="1028"/>
      <c r="Q121" s="1028"/>
      <c r="R121" s="1028"/>
      <c r="S121" s="1028"/>
      <c r="T121" s="1028"/>
      <c r="U121" s="1028"/>
      <c r="V121" s="1028"/>
      <c r="W121" s="1028"/>
      <c r="X121" s="1023"/>
      <c r="Y121" s="1023"/>
      <c r="Z121" s="1023"/>
      <c r="AA121" s="1023"/>
      <c r="AB121" s="1023">
        <f>Master!J118</f>
        <v>-10.037000000000001</v>
      </c>
      <c r="AC121" s="1023">
        <f>Master!K118</f>
        <v>0</v>
      </c>
      <c r="AD121" s="1023">
        <f>Master!L118</f>
        <v>-40</v>
      </c>
      <c r="AE121" s="1023">
        <f>Master!M118</f>
        <v>-50</v>
      </c>
      <c r="AF121" s="1023">
        <f>Master!N118</f>
        <v>-60</v>
      </c>
      <c r="AG121" s="1023">
        <f>Master!O118</f>
        <v>-70</v>
      </c>
      <c r="AH121" s="1023">
        <f>Master!P118</f>
        <v>-80</v>
      </c>
      <c r="AI121" s="1023">
        <f>Master!Q118</f>
        <v>-90</v>
      </c>
      <c r="AJ121" s="1023">
        <f>Master!R118</f>
        <v>-100</v>
      </c>
      <c r="AK121" s="1023">
        <f>Master!S118</f>
        <v>-110</v>
      </c>
      <c r="AL121" s="1023">
        <f>Master!T118</f>
        <v>-120</v>
      </c>
      <c r="AM121" s="1023">
        <f>Master!U118</f>
        <v>-130</v>
      </c>
      <c r="AN121" s="1023">
        <f>Master!V118</f>
        <v>-140</v>
      </c>
      <c r="AO121" s="154"/>
      <c r="AP121" s="154"/>
      <c r="AQ121" s="154"/>
      <c r="AR121" s="154"/>
      <c r="AS121" s="154"/>
      <c r="AT121" s="154"/>
      <c r="AU121" s="154"/>
      <c r="AV121" s="154"/>
      <c r="AW121" s="154"/>
      <c r="AX121" s="154"/>
      <c r="AY121" s="154"/>
    </row>
    <row r="122" spans="1:51">
      <c r="A122" s="154"/>
      <c r="B122" s="1022" t="s">
        <v>665</v>
      </c>
      <c r="C122" s="1027"/>
      <c r="D122" s="1028"/>
      <c r="E122" s="1028"/>
      <c r="F122" s="1028"/>
      <c r="G122" s="1028"/>
      <c r="H122" s="1028"/>
      <c r="I122" s="1028"/>
      <c r="J122" s="1028"/>
      <c r="K122" s="1028"/>
      <c r="L122" s="1028"/>
      <c r="M122" s="1028"/>
      <c r="N122" s="1028"/>
      <c r="O122" s="1028"/>
      <c r="P122" s="1028"/>
      <c r="Q122" s="1028"/>
      <c r="R122" s="1028"/>
      <c r="S122" s="1028"/>
      <c r="T122" s="1028"/>
      <c r="U122" s="1028"/>
      <c r="V122" s="1028"/>
      <c r="W122" s="1028"/>
      <c r="X122" s="1023"/>
      <c r="Y122" s="1023"/>
      <c r="Z122" s="1023"/>
      <c r="AA122" s="1023"/>
      <c r="AB122" s="1023">
        <f>Master!J119</f>
        <v>-242.35600000000093</v>
      </c>
      <c r="AC122" s="1023">
        <f>Master!K119</f>
        <v>306.35500000000025</v>
      </c>
      <c r="AD122" s="1023">
        <f>Master!L119</f>
        <v>0</v>
      </c>
      <c r="AE122" s="1023">
        <f>Master!M119</f>
        <v>0</v>
      </c>
      <c r="AF122" s="1023">
        <f>Master!N119</f>
        <v>0</v>
      </c>
      <c r="AG122" s="1023">
        <f>Master!O119</f>
        <v>0</v>
      </c>
      <c r="AH122" s="1023">
        <f>Master!P119</f>
        <v>0</v>
      </c>
      <c r="AI122" s="1023">
        <f>Master!Q119</f>
        <v>0</v>
      </c>
      <c r="AJ122" s="1023">
        <f>Master!R119</f>
        <v>0</v>
      </c>
      <c r="AK122" s="1023">
        <f>Master!S119</f>
        <v>0</v>
      </c>
      <c r="AL122" s="1023">
        <f>Master!T119</f>
        <v>0</v>
      </c>
      <c r="AM122" s="1023">
        <f>Master!U119</f>
        <v>0</v>
      </c>
      <c r="AN122" s="1023">
        <f>Master!V119</f>
        <v>0</v>
      </c>
      <c r="AO122" s="154"/>
      <c r="AP122" s="154"/>
      <c r="AQ122" s="154"/>
      <c r="AR122" s="154"/>
      <c r="AS122" s="154"/>
      <c r="AT122" s="154"/>
      <c r="AU122" s="154"/>
      <c r="AV122" s="154"/>
      <c r="AW122" s="154"/>
      <c r="AX122" s="154"/>
      <c r="AY122" s="154"/>
    </row>
    <row r="123" spans="1:51">
      <c r="A123" s="154"/>
      <c r="B123" s="1022" t="s">
        <v>55</v>
      </c>
      <c r="C123" s="1027"/>
      <c r="D123" s="1027"/>
      <c r="E123" s="1032"/>
      <c r="F123" s="1032"/>
      <c r="G123" s="1032"/>
      <c r="H123" s="1028"/>
      <c r="I123" s="1028"/>
      <c r="J123" s="1028"/>
      <c r="K123" s="1028"/>
      <c r="L123" s="1028"/>
      <c r="M123" s="1028"/>
      <c r="N123" s="1028"/>
      <c r="O123" s="1028"/>
      <c r="P123" s="1028"/>
      <c r="Q123" s="1028"/>
      <c r="R123" s="1028"/>
      <c r="S123" s="1028"/>
      <c r="T123" s="1028"/>
      <c r="U123" s="1028"/>
      <c r="V123" s="1028"/>
      <c r="W123" s="1028"/>
      <c r="X123" s="1023">
        <f>Master!F120</f>
        <v>-684.23400000000015</v>
      </c>
      <c r="Y123" s="1023">
        <f>Master!G120</f>
        <v>-590.9699999999998</v>
      </c>
      <c r="Z123" s="1023">
        <f>Master!H120</f>
        <v>-136.16300000000047</v>
      </c>
      <c r="AA123" s="1023">
        <f>Master!I120</f>
        <v>-1367.1789999999992</v>
      </c>
      <c r="AB123" s="1023">
        <f>Master!J120</f>
        <v>-383.13600000000088</v>
      </c>
      <c r="AC123" s="1023">
        <f>Master!K120</f>
        <v>496.48100000000022</v>
      </c>
      <c r="AD123" s="1023">
        <f>Master!L120</f>
        <v>252.45882747123233</v>
      </c>
      <c r="AE123" s="1023">
        <f>Master!M120</f>
        <v>104.72733851444119</v>
      </c>
      <c r="AF123" s="1023">
        <f>Master!N120</f>
        <v>98.949365572647423</v>
      </c>
      <c r="AG123" s="1023">
        <f>Master!O120</f>
        <v>73.008730289477114</v>
      </c>
      <c r="AH123" s="1023">
        <f>Master!P120</f>
        <v>87.99877678752199</v>
      </c>
      <c r="AI123" s="1023">
        <f>Master!Q120</f>
        <v>92.585890419718368</v>
      </c>
      <c r="AJ123" s="1023">
        <f>Master!R120</f>
        <v>111.81747153667436</v>
      </c>
      <c r="AK123" s="1023">
        <f>Master!S120</f>
        <v>110.41237367950941</v>
      </c>
      <c r="AL123" s="1023">
        <f>Master!T120</f>
        <v>134.95850947823985</v>
      </c>
      <c r="AM123" s="1023">
        <f>Master!U120</f>
        <v>148.39736542334145</v>
      </c>
      <c r="AN123" s="1023">
        <f>Master!V120</f>
        <v>148.67676907722068</v>
      </c>
      <c r="AO123" s="154"/>
      <c r="AP123" s="154"/>
      <c r="AQ123" s="154"/>
      <c r="AR123" s="154"/>
      <c r="AS123" s="154"/>
      <c r="AT123" s="154"/>
      <c r="AU123" s="154"/>
      <c r="AV123" s="154"/>
      <c r="AW123" s="154"/>
      <c r="AX123" s="154"/>
      <c r="AY123" s="154"/>
    </row>
    <row r="124" spans="1:51">
      <c r="A124" s="154"/>
      <c r="B124" s="1022" t="s">
        <v>94</v>
      </c>
      <c r="C124" s="1027"/>
      <c r="D124" s="1027"/>
      <c r="E124" s="1027"/>
      <c r="F124" s="1027"/>
      <c r="G124" s="1027"/>
      <c r="H124" s="1028"/>
      <c r="I124" s="1028"/>
      <c r="J124" s="1028"/>
      <c r="K124" s="1028"/>
      <c r="L124" s="1028"/>
      <c r="M124" s="1028"/>
      <c r="N124" s="1028"/>
      <c r="O124" s="1028"/>
      <c r="P124" s="1028"/>
      <c r="Q124" s="1028"/>
      <c r="R124" s="1028"/>
      <c r="S124" s="1028"/>
      <c r="T124" s="1028"/>
      <c r="U124" s="1028"/>
      <c r="V124" s="1028"/>
      <c r="W124" s="1028"/>
      <c r="X124" s="1023">
        <f>Master!F121</f>
        <v>1341.5700000000002</v>
      </c>
      <c r="Y124" s="1023">
        <f>Master!G121</f>
        <v>1932.54</v>
      </c>
      <c r="Z124" s="1023">
        <f>Master!H121</f>
        <v>2068.7030000000004</v>
      </c>
      <c r="AA124" s="1023">
        <f>Master!I121</f>
        <v>3435.8819999999996</v>
      </c>
      <c r="AB124" s="1023">
        <f>Master!J121</f>
        <v>3819.0180000000005</v>
      </c>
      <c r="AC124" s="1023">
        <f>Master!K121</f>
        <v>3322.5370000000003</v>
      </c>
      <c r="AD124" s="1023">
        <f>Master!L121</f>
        <v>3070.0781725287679</v>
      </c>
      <c r="AE124" s="1023">
        <f>Master!M121</f>
        <v>2965.3508340143267</v>
      </c>
      <c r="AF124" s="1023">
        <f>Master!N121</f>
        <v>2866.4014684416793</v>
      </c>
      <c r="AG124" s="1023">
        <f>Master!O121</f>
        <v>2793.3927381522021</v>
      </c>
      <c r="AH124" s="1023">
        <f>Master!P121</f>
        <v>2705.3939613646803</v>
      </c>
      <c r="AI124" s="1023">
        <f>Master!Q121</f>
        <v>2612.8080709449619</v>
      </c>
      <c r="AJ124" s="1023">
        <f>Master!R121</f>
        <v>2500.9905994082874</v>
      </c>
      <c r="AK124" s="1023">
        <f>Master!S121</f>
        <v>2390.5782257287779</v>
      </c>
      <c r="AL124" s="1023">
        <f>Master!T121</f>
        <v>2255.6197162505382</v>
      </c>
      <c r="AM124" s="1023">
        <f>Master!U121</f>
        <v>2107.2223508271968</v>
      </c>
      <c r="AN124" s="1023">
        <f>Master!V121</f>
        <v>1958.545581749976</v>
      </c>
      <c r="AO124" s="154"/>
      <c r="AP124" s="154"/>
      <c r="AQ124" s="154"/>
      <c r="AR124" s="154"/>
      <c r="AS124" s="154"/>
      <c r="AT124" s="154"/>
      <c r="AU124" s="154"/>
      <c r="AV124" s="154"/>
      <c r="AW124" s="154"/>
      <c r="AX124" s="154"/>
      <c r="AY124" s="154"/>
    </row>
    <row r="125" spans="1:51">
      <c r="A125" s="154"/>
      <c r="B125" s="1025"/>
      <c r="C125" s="1025"/>
      <c r="D125" s="1025"/>
      <c r="E125" s="1037"/>
      <c r="F125" s="1037"/>
      <c r="G125" s="1025"/>
      <c r="H125" s="1025"/>
      <c r="I125" s="1025"/>
      <c r="J125" s="1025"/>
      <c r="K125" s="1025"/>
      <c r="L125" s="1025"/>
      <c r="M125" s="1025"/>
      <c r="N125" s="1025"/>
      <c r="O125" s="1025"/>
      <c r="P125" s="1025"/>
      <c r="Q125" s="1025"/>
      <c r="R125" s="1025"/>
      <c r="S125" s="1025"/>
      <c r="T125" s="1025"/>
      <c r="U125" s="1025"/>
      <c r="V125" s="1025"/>
      <c r="W125" s="1025"/>
      <c r="X125" s="1025"/>
      <c r="Y125" s="1025"/>
      <c r="Z125" s="1025"/>
      <c r="AA125" s="1025"/>
      <c r="AB125" s="1025"/>
      <c r="AC125" s="1025"/>
      <c r="AD125" s="1025"/>
      <c r="AE125" s="1025"/>
      <c r="AF125" s="1025"/>
      <c r="AG125" s="1025"/>
      <c r="AH125" s="1025"/>
      <c r="AI125" s="1025"/>
      <c r="AJ125" s="1025"/>
      <c r="AK125" s="1025"/>
      <c r="AL125" s="1025"/>
      <c r="AM125" s="1025"/>
      <c r="AN125" s="1025"/>
      <c r="AO125" s="154"/>
      <c r="AP125" s="154"/>
      <c r="AQ125" s="154"/>
      <c r="AR125" s="154"/>
      <c r="AS125" s="154"/>
      <c r="AT125" s="154"/>
      <c r="AU125" s="154"/>
      <c r="AV125" s="154"/>
      <c r="AW125" s="154"/>
      <c r="AX125" s="154"/>
      <c r="AY125" s="154"/>
    </row>
    <row r="126" spans="1:51">
      <c r="A126" s="154"/>
      <c r="B126" s="961" t="s">
        <v>606</v>
      </c>
      <c r="C126" s="961">
        <v>1998</v>
      </c>
      <c r="D126" s="961">
        <v>1999</v>
      </c>
      <c r="E126" s="961">
        <v>2000</v>
      </c>
      <c r="F126" s="961">
        <v>2001</v>
      </c>
      <c r="G126" s="961">
        <v>2002</v>
      </c>
      <c r="H126" s="961">
        <v>2003</v>
      </c>
      <c r="I126" s="961">
        <v>2004</v>
      </c>
      <c r="J126" s="961">
        <v>2005</v>
      </c>
      <c r="K126" s="961">
        <v>2006</v>
      </c>
      <c r="L126" s="961">
        <v>2007</v>
      </c>
      <c r="M126" s="961">
        <v>2008</v>
      </c>
      <c r="N126" s="961">
        <v>2009</v>
      </c>
      <c r="O126" s="961">
        <v>2010</v>
      </c>
      <c r="P126" s="961">
        <v>2011</v>
      </c>
      <c r="Q126" s="961">
        <v>2012</v>
      </c>
      <c r="R126" s="961">
        <v>2013</v>
      </c>
      <c r="S126" s="961">
        <v>2014</v>
      </c>
      <c r="T126" s="961">
        <v>2015</v>
      </c>
      <c r="U126" s="961">
        <v>2016</v>
      </c>
      <c r="V126" s="961">
        <v>2017</v>
      </c>
      <c r="W126" s="961">
        <v>2018</v>
      </c>
      <c r="X126" s="961">
        <v>2019</v>
      </c>
      <c r="Y126" s="961">
        <v>2020</v>
      </c>
      <c r="Z126" s="961">
        <v>2021</v>
      </c>
      <c r="AA126" s="961">
        <v>2022</v>
      </c>
      <c r="AB126" s="961">
        <v>2023</v>
      </c>
      <c r="AC126" s="961">
        <v>2024</v>
      </c>
      <c r="AD126" s="961">
        <v>2025</v>
      </c>
      <c r="AE126" s="961">
        <v>2026</v>
      </c>
      <c r="AF126" s="961">
        <v>2027</v>
      </c>
      <c r="AG126" s="961">
        <v>2028</v>
      </c>
      <c r="AH126" s="961">
        <v>2029</v>
      </c>
      <c r="AI126" s="961">
        <v>2030</v>
      </c>
      <c r="AJ126" s="961">
        <v>2030</v>
      </c>
      <c r="AK126" s="961">
        <v>2030</v>
      </c>
      <c r="AL126" s="961">
        <v>2030</v>
      </c>
      <c r="AM126" s="961">
        <v>2030</v>
      </c>
      <c r="AN126" s="961">
        <v>2030</v>
      </c>
      <c r="AO126" s="154"/>
      <c r="AP126" s="154"/>
      <c r="AQ126" s="154"/>
      <c r="AR126" s="154"/>
      <c r="AS126" s="154"/>
      <c r="AT126" s="154"/>
      <c r="AU126" s="154"/>
      <c r="AV126" s="154"/>
      <c r="AW126" s="154"/>
      <c r="AX126" s="154"/>
      <c r="AY126" s="154"/>
    </row>
    <row r="127" spans="1:51">
      <c r="A127" s="154"/>
      <c r="B127" s="1022" t="s">
        <v>125</v>
      </c>
      <c r="C127" s="1027"/>
      <c r="D127" s="1028"/>
      <c r="E127" s="1028"/>
      <c r="F127" s="1028"/>
      <c r="G127" s="1028"/>
      <c r="H127" s="1028"/>
      <c r="I127" s="1028"/>
      <c r="J127" s="1028"/>
      <c r="K127" s="1028"/>
      <c r="L127" s="1028"/>
      <c r="M127" s="1028"/>
      <c r="N127" s="1028"/>
      <c r="O127" s="1028"/>
      <c r="P127" s="1028"/>
      <c r="Q127" s="1028"/>
      <c r="R127" s="1028"/>
      <c r="S127" s="1028"/>
      <c r="T127" s="1028"/>
      <c r="U127" s="1028"/>
      <c r="V127" s="1028"/>
      <c r="W127" s="1028"/>
      <c r="X127" s="1028"/>
      <c r="Y127" s="1027"/>
      <c r="Z127" s="1027"/>
      <c r="AA127" s="1027"/>
      <c r="AB127" s="1027"/>
      <c r="AC127" s="1027"/>
      <c r="AD127" s="1027"/>
      <c r="AE127" s="1027"/>
      <c r="AF127" s="1027"/>
      <c r="AG127" s="1027"/>
      <c r="AH127" s="1027"/>
      <c r="AI127" s="1027"/>
      <c r="AJ127" s="1027"/>
      <c r="AK127" s="1027"/>
      <c r="AL127" s="1027"/>
      <c r="AM127" s="1027"/>
      <c r="AN127" s="1027"/>
      <c r="AO127" s="154"/>
      <c r="AP127" s="154"/>
      <c r="AQ127" s="154"/>
      <c r="AR127" s="154"/>
      <c r="AS127" s="154"/>
      <c r="AT127" s="154"/>
      <c r="AU127" s="154"/>
      <c r="AV127" s="154"/>
      <c r="AW127" s="154"/>
      <c r="AX127" s="154"/>
      <c r="AY127" s="154"/>
    </row>
    <row r="128" spans="1:51">
      <c r="A128" s="154"/>
      <c r="B128" s="1022" t="s">
        <v>607</v>
      </c>
      <c r="C128" s="1027"/>
      <c r="D128" s="1027"/>
      <c r="E128" s="1032"/>
      <c r="F128" s="1032"/>
      <c r="G128" s="1032"/>
      <c r="H128" s="1032"/>
      <c r="I128" s="1032"/>
      <c r="J128" s="1032"/>
      <c r="K128" s="1032"/>
      <c r="L128" s="1032"/>
      <c r="M128" s="1032"/>
      <c r="N128" s="1032"/>
      <c r="O128" s="1027"/>
      <c r="P128" s="1027"/>
      <c r="Q128" s="1027"/>
      <c r="R128" s="1027"/>
      <c r="S128" s="1027"/>
      <c r="T128" s="1027"/>
      <c r="U128" s="1027"/>
      <c r="V128" s="1027"/>
      <c r="W128" s="1027"/>
      <c r="X128" s="1027"/>
      <c r="Y128" s="1027"/>
      <c r="Z128" s="1027"/>
      <c r="AA128" s="1027"/>
      <c r="AB128" s="1027"/>
      <c r="AC128" s="1027"/>
      <c r="AD128" s="1027"/>
      <c r="AE128" s="1027"/>
      <c r="AF128" s="1027"/>
      <c r="AG128" s="1027"/>
      <c r="AH128" s="1027"/>
      <c r="AI128" s="1027"/>
      <c r="AJ128" s="1027"/>
      <c r="AK128" s="1027"/>
      <c r="AL128" s="1027"/>
      <c r="AM128" s="1027"/>
      <c r="AN128" s="1027"/>
      <c r="AO128" s="154"/>
      <c r="AP128" s="154"/>
      <c r="AQ128" s="154"/>
      <c r="AR128" s="154"/>
      <c r="AS128" s="154"/>
      <c r="AT128" s="154"/>
      <c r="AU128" s="154"/>
      <c r="AV128" s="154"/>
      <c r="AW128" s="154"/>
      <c r="AX128" s="154"/>
      <c r="AY128" s="154"/>
    </row>
    <row r="129" spans="1:51">
      <c r="A129" s="154"/>
      <c r="B129" s="1022" t="s">
        <v>608</v>
      </c>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027"/>
      <c r="X129" s="1027"/>
      <c r="Y129" s="1027"/>
      <c r="Z129" s="1027"/>
      <c r="AA129" s="1027"/>
      <c r="AB129" s="1027"/>
      <c r="AC129" s="1027"/>
      <c r="AD129" s="1027"/>
      <c r="AE129" s="1027"/>
      <c r="AF129" s="1027"/>
      <c r="AG129" s="1027"/>
      <c r="AH129" s="1027"/>
      <c r="AI129" s="1027"/>
      <c r="AJ129" s="1027"/>
      <c r="AK129" s="1027"/>
      <c r="AL129" s="1027"/>
      <c r="AM129" s="1027"/>
      <c r="AN129" s="1027"/>
      <c r="AO129" s="154"/>
      <c r="AP129" s="154"/>
      <c r="AQ129" s="154"/>
      <c r="AR129" s="154"/>
      <c r="AS129" s="154"/>
      <c r="AT129" s="154"/>
      <c r="AU129" s="154"/>
      <c r="AV129" s="154"/>
      <c r="AW129" s="154"/>
      <c r="AX129" s="154"/>
      <c r="AY129" s="154"/>
    </row>
    <row r="130" spans="1:51">
      <c r="A130" s="154"/>
      <c r="B130" s="1022" t="s">
        <v>609</v>
      </c>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027"/>
      <c r="X130" s="1027"/>
      <c r="Y130" s="1027"/>
      <c r="Z130" s="1027"/>
      <c r="AA130" s="1027"/>
      <c r="AB130" s="1027"/>
      <c r="AC130" s="1027"/>
      <c r="AD130" s="1027"/>
      <c r="AE130" s="1027"/>
      <c r="AF130" s="1027"/>
      <c r="AG130" s="1027"/>
      <c r="AH130" s="1027"/>
      <c r="AI130" s="1027"/>
      <c r="AJ130" s="1027"/>
      <c r="AK130" s="1027"/>
      <c r="AL130" s="1027"/>
      <c r="AM130" s="1027"/>
      <c r="AN130" s="1027"/>
      <c r="AO130" s="154"/>
      <c r="AP130" s="154"/>
      <c r="AQ130" s="154"/>
      <c r="AR130" s="154"/>
      <c r="AS130" s="154"/>
      <c r="AT130" s="154"/>
      <c r="AU130" s="154"/>
      <c r="AV130" s="154"/>
      <c r="AW130" s="154"/>
      <c r="AX130" s="154"/>
      <c r="AY130" s="154"/>
    </row>
    <row r="131" spans="1:51">
      <c r="A131" s="154"/>
      <c r="B131" s="1022" t="s">
        <v>610</v>
      </c>
      <c r="C131" s="1027"/>
      <c r="D131" s="1027"/>
      <c r="E131" s="1027"/>
      <c r="F131" s="1027"/>
      <c r="G131" s="1027"/>
      <c r="H131" s="1027"/>
      <c r="I131" s="1027"/>
      <c r="J131" s="1027"/>
      <c r="K131" s="1027"/>
      <c r="L131" s="1027"/>
      <c r="M131" s="1027"/>
      <c r="N131" s="1027"/>
      <c r="O131" s="1027"/>
      <c r="P131" s="1027"/>
      <c r="Q131" s="1027"/>
      <c r="R131" s="1027"/>
      <c r="S131" s="1027"/>
      <c r="T131" s="1027"/>
      <c r="U131" s="1027"/>
      <c r="V131" s="1027"/>
      <c r="W131" s="1027"/>
      <c r="X131" s="1027"/>
      <c r="Y131" s="1027"/>
      <c r="Z131" s="1027"/>
      <c r="AA131" s="1027"/>
      <c r="AB131" s="1027"/>
      <c r="AC131" s="1027"/>
      <c r="AD131" s="1027"/>
      <c r="AE131" s="1027"/>
      <c r="AF131" s="1027"/>
      <c r="AG131" s="1027"/>
      <c r="AH131" s="1027"/>
      <c r="AI131" s="1027"/>
      <c r="AJ131" s="1027"/>
      <c r="AK131" s="1027"/>
      <c r="AL131" s="1027"/>
      <c r="AM131" s="1027"/>
      <c r="AN131" s="1027"/>
      <c r="AO131" s="154"/>
      <c r="AP131" s="154"/>
      <c r="AQ131" s="154"/>
      <c r="AR131" s="154"/>
      <c r="AS131" s="154"/>
      <c r="AT131" s="154"/>
      <c r="AU131" s="154"/>
      <c r="AV131" s="154"/>
      <c r="AW131" s="154"/>
      <c r="AX131" s="154"/>
      <c r="AY131" s="154"/>
    </row>
    <row r="132" spans="1:51">
      <c r="A132" s="154"/>
      <c r="B132" s="1022" t="s">
        <v>611</v>
      </c>
      <c r="C132" s="1027"/>
      <c r="D132" s="1027"/>
      <c r="E132" s="1027"/>
      <c r="F132" s="1027"/>
      <c r="G132" s="1027"/>
      <c r="H132" s="1027"/>
      <c r="I132" s="1027"/>
      <c r="J132" s="1027"/>
      <c r="K132" s="1027"/>
      <c r="L132" s="1027"/>
      <c r="M132" s="1027"/>
      <c r="N132" s="1027"/>
      <c r="O132" s="1027"/>
      <c r="P132" s="1027"/>
      <c r="Q132" s="1027"/>
      <c r="R132" s="1027"/>
      <c r="S132" s="1027"/>
      <c r="T132" s="1027"/>
      <c r="U132" s="1027"/>
      <c r="V132" s="1027"/>
      <c r="W132" s="1027"/>
      <c r="X132" s="1027"/>
      <c r="Y132" s="1027"/>
      <c r="Z132" s="1027"/>
      <c r="AA132" s="1027"/>
      <c r="AB132" s="1027"/>
      <c r="AC132" s="1027"/>
      <c r="AD132" s="1027"/>
      <c r="AE132" s="1027"/>
      <c r="AF132" s="1027"/>
      <c r="AG132" s="1027"/>
      <c r="AH132" s="1027"/>
      <c r="AI132" s="1027"/>
      <c r="AJ132" s="1027"/>
      <c r="AK132" s="1027"/>
      <c r="AL132" s="1027"/>
      <c r="AM132" s="1027"/>
      <c r="AN132" s="1027"/>
      <c r="AO132" s="154"/>
      <c r="AP132" s="154"/>
      <c r="AQ132" s="154"/>
      <c r="AR132" s="154"/>
      <c r="AS132" s="154"/>
      <c r="AT132" s="154"/>
      <c r="AU132" s="154"/>
      <c r="AV132" s="154"/>
      <c r="AW132" s="154"/>
      <c r="AX132" s="154"/>
      <c r="AY132" s="154"/>
    </row>
    <row r="133" spans="1:51">
      <c r="A133" s="154"/>
      <c r="B133" s="1025"/>
      <c r="C133" s="1025"/>
      <c r="D133" s="1025"/>
      <c r="E133" s="1025"/>
      <c r="F133" s="1025"/>
      <c r="G133" s="1025"/>
      <c r="H133" s="1025"/>
      <c r="I133" s="1025"/>
      <c r="J133" s="1025"/>
      <c r="K133" s="1025"/>
      <c r="L133" s="1025"/>
      <c r="M133" s="1025"/>
      <c r="N133" s="1025"/>
      <c r="O133" s="1025"/>
      <c r="P133" s="1025"/>
      <c r="Q133" s="1025"/>
      <c r="R133" s="1025"/>
      <c r="S133" s="1025"/>
      <c r="T133" s="1025"/>
      <c r="U133" s="1025"/>
      <c r="V133" s="1025"/>
      <c r="W133" s="1025"/>
      <c r="X133" s="1025"/>
      <c r="Y133" s="1025"/>
      <c r="Z133" s="1025"/>
      <c r="AA133" s="1025"/>
      <c r="AB133" s="1025"/>
      <c r="AC133" s="1025"/>
      <c r="AD133" s="1025"/>
      <c r="AE133" s="1025"/>
      <c r="AF133" s="1025"/>
      <c r="AG133" s="1025"/>
      <c r="AH133" s="1025"/>
      <c r="AI133" s="1025"/>
      <c r="AJ133" s="1025"/>
      <c r="AK133" s="1025"/>
      <c r="AL133" s="1025"/>
      <c r="AM133" s="1025"/>
      <c r="AN133" s="1025"/>
      <c r="AO133" s="154"/>
      <c r="AP133" s="154"/>
      <c r="AQ133" s="154"/>
      <c r="AR133" s="154"/>
      <c r="AS133" s="154"/>
      <c r="AT133" s="154"/>
      <c r="AU133" s="154"/>
      <c r="AV133" s="154"/>
      <c r="AW133" s="154"/>
      <c r="AX133" s="154"/>
      <c r="AY133" s="154"/>
    </row>
    <row r="134" spans="1:51">
      <c r="A134" s="154"/>
      <c r="B134" s="961" t="s">
        <v>612</v>
      </c>
      <c r="C134" s="961">
        <v>1998</v>
      </c>
      <c r="D134" s="961">
        <v>1999</v>
      </c>
      <c r="E134" s="961">
        <v>2000</v>
      </c>
      <c r="F134" s="961">
        <v>2001</v>
      </c>
      <c r="G134" s="961">
        <v>2002</v>
      </c>
      <c r="H134" s="961">
        <v>2003</v>
      </c>
      <c r="I134" s="961">
        <v>2004</v>
      </c>
      <c r="J134" s="961">
        <v>2005</v>
      </c>
      <c r="K134" s="961">
        <v>2006</v>
      </c>
      <c r="L134" s="961">
        <v>2007</v>
      </c>
      <c r="M134" s="961">
        <v>2008</v>
      </c>
      <c r="N134" s="961">
        <v>2009</v>
      </c>
      <c r="O134" s="961">
        <v>2010</v>
      </c>
      <c r="P134" s="961">
        <v>2011</v>
      </c>
      <c r="Q134" s="961">
        <v>2012</v>
      </c>
      <c r="R134" s="961">
        <v>2013</v>
      </c>
      <c r="S134" s="961">
        <v>2014</v>
      </c>
      <c r="T134" s="961">
        <v>2015</v>
      </c>
      <c r="U134" s="961">
        <v>2016</v>
      </c>
      <c r="V134" s="961">
        <v>2017</v>
      </c>
      <c r="W134" s="961">
        <v>2018</v>
      </c>
      <c r="X134" s="961">
        <v>2019</v>
      </c>
      <c r="Y134" s="961">
        <v>2020</v>
      </c>
      <c r="Z134" s="961">
        <v>2021</v>
      </c>
      <c r="AA134" s="961">
        <v>2022</v>
      </c>
      <c r="AB134" s="961">
        <v>2023</v>
      </c>
      <c r="AC134" s="961">
        <v>2024</v>
      </c>
      <c r="AD134" s="961">
        <v>2025</v>
      </c>
      <c r="AE134" s="961">
        <v>2026</v>
      </c>
      <c r="AF134" s="961">
        <v>2027</v>
      </c>
      <c r="AG134" s="961">
        <v>2028</v>
      </c>
      <c r="AH134" s="961">
        <v>2029</v>
      </c>
      <c r="AI134" s="961">
        <v>2030</v>
      </c>
      <c r="AJ134" s="961">
        <v>2030</v>
      </c>
      <c r="AK134" s="961">
        <v>2030</v>
      </c>
      <c r="AL134" s="961">
        <v>2030</v>
      </c>
      <c r="AM134" s="961">
        <v>2030</v>
      </c>
      <c r="AN134" s="961">
        <v>2030</v>
      </c>
      <c r="AO134" s="154"/>
      <c r="AP134" s="154"/>
      <c r="AQ134" s="154"/>
      <c r="AR134" s="154"/>
      <c r="AS134" s="154"/>
      <c r="AT134" s="154"/>
      <c r="AU134" s="154"/>
      <c r="AV134" s="154"/>
      <c r="AW134" s="154"/>
      <c r="AX134" s="154"/>
      <c r="AY134" s="154"/>
    </row>
    <row r="135" spans="1:51">
      <c r="A135" s="154"/>
      <c r="B135" s="1038" t="s">
        <v>161</v>
      </c>
      <c r="C135" s="1039"/>
      <c r="D135" s="1039"/>
      <c r="E135" s="1032"/>
      <c r="F135" s="1032"/>
      <c r="G135" s="1032"/>
      <c r="H135" s="1032"/>
      <c r="I135" s="1032"/>
      <c r="J135" s="1032"/>
      <c r="K135" s="1032"/>
      <c r="L135" s="1032"/>
      <c r="M135" s="1032"/>
      <c r="N135" s="1032"/>
      <c r="O135" s="1032"/>
      <c r="P135" s="1032"/>
      <c r="Q135" s="1032"/>
      <c r="R135" s="1027"/>
      <c r="S135" s="1027"/>
      <c r="T135" s="1027"/>
      <c r="U135" s="1027"/>
      <c r="V135" s="1027"/>
      <c r="W135" s="1027"/>
      <c r="X135" s="1027"/>
      <c r="Y135" s="1027"/>
      <c r="Z135" s="1027"/>
      <c r="AA135" s="1027"/>
      <c r="AB135" s="1027"/>
      <c r="AC135" s="1027"/>
      <c r="AD135" s="1027"/>
      <c r="AE135" s="1027"/>
      <c r="AF135" s="1027"/>
      <c r="AG135" s="1027"/>
      <c r="AH135" s="1027"/>
      <c r="AI135" s="1027"/>
      <c r="AJ135" s="1027"/>
      <c r="AK135" s="1027"/>
      <c r="AL135" s="1027"/>
      <c r="AM135" s="1027"/>
      <c r="AN135" s="1027"/>
      <c r="AO135" s="154"/>
      <c r="AP135" s="154"/>
      <c r="AQ135" s="154"/>
      <c r="AR135" s="154"/>
      <c r="AS135" s="154"/>
      <c r="AT135" s="154"/>
      <c r="AU135" s="154"/>
      <c r="AV135" s="154"/>
      <c r="AW135" s="154"/>
      <c r="AX135" s="154"/>
      <c r="AY135" s="154"/>
    </row>
    <row r="136" spans="1:51">
      <c r="A136" s="154"/>
      <c r="B136" s="1022" t="str">
        <f>Master!B7</f>
        <v>Nigeria</v>
      </c>
      <c r="C136" s="1027"/>
      <c r="D136" s="1028"/>
      <c r="E136" s="1028"/>
      <c r="F136" s="1028"/>
      <c r="G136" s="1028"/>
      <c r="H136" s="1040"/>
      <c r="I136" s="1040"/>
      <c r="J136" s="1040"/>
      <c r="K136" s="1040"/>
      <c r="L136" s="1040"/>
      <c r="M136" s="1040"/>
      <c r="N136" s="1040"/>
      <c r="O136" s="1040"/>
      <c r="P136" s="1040"/>
      <c r="Q136" s="1040"/>
      <c r="R136" s="1040"/>
      <c r="S136" s="1040"/>
      <c r="T136" s="1040"/>
      <c r="U136" s="1040"/>
      <c r="V136" s="1040"/>
      <c r="W136" s="1040"/>
      <c r="X136" s="1040">
        <f>Master!F7</f>
        <v>925.70399999999995</v>
      </c>
      <c r="Y136" s="1040">
        <f>Master!G7</f>
        <v>1037.836</v>
      </c>
      <c r="Z136" s="1040">
        <f>Master!H7</f>
        <v>1146.732</v>
      </c>
      <c r="AA136" s="1040">
        <f>Master!I7</f>
        <v>1352.402</v>
      </c>
      <c r="AB136" s="1040">
        <f>Master!J7</f>
        <v>1381.627</v>
      </c>
      <c r="AC136" s="1040">
        <f>Master!K7</f>
        <v>998.46600000000001</v>
      </c>
      <c r="AD136" s="1040">
        <f>Master!L7</f>
        <v>1053.7872905198199</v>
      </c>
      <c r="AE136" s="1040">
        <f>Master!M7</f>
        <v>1134.4582270304002</v>
      </c>
      <c r="AF136" s="1040">
        <f>Master!N7</f>
        <v>1228.6257099351096</v>
      </c>
      <c r="AG136" s="1040">
        <f>Master!O7</f>
        <v>1309.1802125029919</v>
      </c>
      <c r="AH136" s="1040">
        <f>Master!P7</f>
        <v>1395.5028050664512</v>
      </c>
      <c r="AI136" s="1040">
        <f>Master!Q7</f>
        <v>1483.6538057245971</v>
      </c>
      <c r="AJ136" s="1040">
        <f>Master!R7</f>
        <v>1568.0812549092916</v>
      </c>
      <c r="AK136" s="1040">
        <f>Master!S7</f>
        <v>1652.4840124954114</v>
      </c>
      <c r="AL136" s="1040">
        <f>Master!T7</f>
        <v>1741.4297907099833</v>
      </c>
      <c r="AM136" s="1040">
        <f>Master!U7</f>
        <v>1835.1631199098429</v>
      </c>
      <c r="AN136" s="1040">
        <f>Master!V7</f>
        <v>1933.9416924205505</v>
      </c>
      <c r="AO136" s="154"/>
      <c r="AP136" s="154"/>
      <c r="AQ136" s="154"/>
      <c r="AR136" s="154"/>
      <c r="AS136" s="154"/>
      <c r="AT136" s="154"/>
      <c r="AU136" s="154"/>
      <c r="AV136" s="154"/>
      <c r="AW136" s="154"/>
      <c r="AX136" s="154"/>
      <c r="AY136" s="154"/>
    </row>
    <row r="137" spans="1:51">
      <c r="A137" s="154"/>
      <c r="B137" s="1022" t="str">
        <f>Master!B8</f>
        <v>Sub-Sahara Africa</v>
      </c>
      <c r="C137" s="1027"/>
      <c r="D137" s="1028"/>
      <c r="E137" s="1028"/>
      <c r="F137" s="1028"/>
      <c r="G137" s="1028"/>
      <c r="H137" s="1040"/>
      <c r="I137" s="1040"/>
      <c r="J137" s="1040"/>
      <c r="K137" s="1040"/>
      <c r="L137" s="1040"/>
      <c r="M137" s="1040"/>
      <c r="N137" s="1040"/>
      <c r="O137" s="1040"/>
      <c r="P137" s="1040"/>
      <c r="Q137" s="1040"/>
      <c r="R137" s="1040"/>
      <c r="S137" s="1040"/>
      <c r="T137" s="1040"/>
      <c r="U137" s="1040"/>
      <c r="V137" s="1040"/>
      <c r="W137" s="1040"/>
      <c r="X137" s="1040">
        <f>Master!F8</f>
        <v>305.35199999999998</v>
      </c>
      <c r="Y137" s="1040">
        <f>Master!G8</f>
        <v>313.416</v>
      </c>
      <c r="Z137" s="1040">
        <f>Master!H8</f>
        <v>343.94499999999999</v>
      </c>
      <c r="AA137" s="1040">
        <f>Master!I8</f>
        <v>412.82400000000001</v>
      </c>
      <c r="AB137" s="1040">
        <f>Master!J8</f>
        <v>503.04899999999998</v>
      </c>
      <c r="AC137" s="1040">
        <f>Master!K8</f>
        <v>483.84199999999998</v>
      </c>
      <c r="AD137" s="1040">
        <f>Master!L8</f>
        <v>484.7</v>
      </c>
      <c r="AE137" s="1040">
        <f>Master!M8</f>
        <v>471.02536940840139</v>
      </c>
      <c r="AF137" s="1040">
        <f>Master!N8</f>
        <v>494.75434003045558</v>
      </c>
      <c r="AG137" s="1040">
        <f>Master!O8</f>
        <v>524.51848593613545</v>
      </c>
      <c r="AH137" s="1040">
        <f>Master!P8</f>
        <v>555.33416838517019</v>
      </c>
      <c r="AI137" s="1040">
        <f>Master!Q8</f>
        <v>588.04829847884014</v>
      </c>
      <c r="AJ137" s="1040">
        <f>Master!R8</f>
        <v>622.99625543623813</v>
      </c>
      <c r="AK137" s="1040">
        <f>Master!S8</f>
        <v>660.50913873323873</v>
      </c>
      <c r="AL137" s="1040">
        <f>Master!T8</f>
        <v>700.56000247117186</v>
      </c>
      <c r="AM137" s="1040">
        <f>Master!U8</f>
        <v>743.21038436567233</v>
      </c>
      <c r="AN137" s="1040">
        <f>Master!V8</f>
        <v>788.77034172675303</v>
      </c>
      <c r="AO137" s="154"/>
      <c r="AP137" s="154"/>
      <c r="AQ137" s="154"/>
      <c r="AR137" s="154"/>
      <c r="AS137" s="154"/>
      <c r="AT137" s="154"/>
      <c r="AU137" s="154"/>
      <c r="AV137" s="154"/>
      <c r="AW137" s="154"/>
      <c r="AX137" s="154"/>
      <c r="AY137" s="154"/>
    </row>
    <row r="138" spans="1:51">
      <c r="A138" s="154"/>
      <c r="B138" s="1022" t="str">
        <f>Master!B9</f>
        <v>Latam</v>
      </c>
      <c r="C138" s="1027"/>
      <c r="D138" s="1028"/>
      <c r="E138" s="1028"/>
      <c r="F138" s="1028"/>
      <c r="G138" s="1028"/>
      <c r="H138" s="1040"/>
      <c r="I138" s="1040"/>
      <c r="J138" s="1040"/>
      <c r="K138" s="1040"/>
      <c r="L138" s="1040"/>
      <c r="M138" s="1040"/>
      <c r="N138" s="1040"/>
      <c r="O138" s="1040"/>
      <c r="P138" s="1040"/>
      <c r="Q138" s="1040"/>
      <c r="R138" s="1040"/>
      <c r="S138" s="1040"/>
      <c r="T138" s="1040"/>
      <c r="U138" s="1040"/>
      <c r="V138" s="1040"/>
      <c r="W138" s="1040"/>
      <c r="X138" s="1040">
        <f>Master!F9</f>
        <v>0</v>
      </c>
      <c r="Y138" s="1040">
        <f>Master!G9</f>
        <v>30.184999999999999</v>
      </c>
      <c r="Z138" s="1040">
        <f>Master!H9</f>
        <v>59.706000000000003</v>
      </c>
      <c r="AA138" s="1040">
        <f>Master!I9</f>
        <v>160.00800000000001</v>
      </c>
      <c r="AB138" s="1040">
        <f>Master!J9</f>
        <v>200.20699999999999</v>
      </c>
      <c r="AC138" s="1040">
        <f>Master!K9</f>
        <v>184.03</v>
      </c>
      <c r="AD138" s="1040">
        <f>Master!L9</f>
        <v>186.79044999999999</v>
      </c>
      <c r="AE138" s="1040">
        <f>Master!M9</f>
        <v>190.52625899999998</v>
      </c>
      <c r="AF138" s="1040">
        <f>Master!N9</f>
        <v>195.28941547499997</v>
      </c>
      <c r="AG138" s="1040">
        <f>Master!O9</f>
        <v>201.14809793924996</v>
      </c>
      <c r="AH138" s="1040">
        <f>Master!P9</f>
        <v>207.18254087742747</v>
      </c>
      <c r="AI138" s="1040">
        <f>Master!Q9</f>
        <v>213.39801710375031</v>
      </c>
      <c r="AJ138" s="1040">
        <f>Master!R9</f>
        <v>219.79995761686283</v>
      </c>
      <c r="AK138" s="1040">
        <f>Master!S9</f>
        <v>226.39395634536871</v>
      </c>
      <c r="AL138" s="1040">
        <f>Master!T9</f>
        <v>233.18577503572976</v>
      </c>
      <c r="AM138" s="1040">
        <f>Master!U9</f>
        <v>240.18134828680166</v>
      </c>
      <c r="AN138" s="1040">
        <f>Master!V9</f>
        <v>247.38678873540573</v>
      </c>
      <c r="AO138" s="154"/>
      <c r="AP138" s="154"/>
      <c r="AQ138" s="154"/>
      <c r="AR138" s="154"/>
      <c r="AS138" s="154"/>
      <c r="AT138" s="154"/>
      <c r="AU138" s="154"/>
      <c r="AV138" s="154"/>
      <c r="AW138" s="154"/>
      <c r="AX138" s="154"/>
      <c r="AY138" s="154"/>
    </row>
    <row r="139" spans="1:51">
      <c r="A139" s="154"/>
      <c r="B139" s="1022" t="str">
        <f>Master!B10</f>
        <v>MENA</v>
      </c>
      <c r="C139" s="1027"/>
      <c r="D139" s="1028"/>
      <c r="E139" s="1028"/>
      <c r="F139" s="1028"/>
      <c r="G139" s="1028"/>
      <c r="H139" s="1040"/>
      <c r="I139" s="1040"/>
      <c r="J139" s="1040"/>
      <c r="K139" s="1040"/>
      <c r="L139" s="1040"/>
      <c r="M139" s="1040"/>
      <c r="N139" s="1040"/>
      <c r="O139" s="1040"/>
      <c r="P139" s="1040"/>
      <c r="Q139" s="1040"/>
      <c r="R139" s="1040"/>
      <c r="S139" s="1040"/>
      <c r="T139" s="1040"/>
      <c r="U139" s="1040"/>
      <c r="V139" s="1040"/>
      <c r="W139" s="1040"/>
      <c r="X139" s="1040">
        <f>Master!F10</f>
        <v>0</v>
      </c>
      <c r="Y139" s="1040">
        <f>Master!G10</f>
        <v>21.721</v>
      </c>
      <c r="Z139" s="1040">
        <f>Master!H10</f>
        <v>29.347000000000001</v>
      </c>
      <c r="AA139" s="1040">
        <f>Master!I10</f>
        <v>36.064999999999998</v>
      </c>
      <c r="AB139" s="1040">
        <f>Master!J10</f>
        <v>40.655999999999999</v>
      </c>
      <c r="AC139" s="1040">
        <f>Master!K10</f>
        <v>44.887</v>
      </c>
      <c r="AD139" s="1040">
        <f>Master!L10</f>
        <v>0</v>
      </c>
      <c r="AE139" s="1040">
        <f>Master!M10</f>
        <v>0</v>
      </c>
      <c r="AF139" s="1040">
        <f>Master!N10</f>
        <v>0</v>
      </c>
      <c r="AG139" s="1040">
        <f>Master!O10</f>
        <v>0</v>
      </c>
      <c r="AH139" s="1040">
        <f>Master!P10</f>
        <v>0</v>
      </c>
      <c r="AI139" s="1040">
        <f>Master!Q10</f>
        <v>0</v>
      </c>
      <c r="AJ139" s="1040">
        <f>Master!R10</f>
        <v>0</v>
      </c>
      <c r="AK139" s="1040">
        <f>Master!S10</f>
        <v>0</v>
      </c>
      <c r="AL139" s="1040">
        <f>Master!T10</f>
        <v>0</v>
      </c>
      <c r="AM139" s="1040">
        <f>Master!U10</f>
        <v>0</v>
      </c>
      <c r="AN139" s="1040">
        <f>Master!V10</f>
        <v>0</v>
      </c>
      <c r="AO139" s="154"/>
      <c r="AP139" s="154"/>
      <c r="AQ139" s="154"/>
      <c r="AR139" s="154"/>
      <c r="AS139" s="154"/>
      <c r="AT139" s="154"/>
      <c r="AU139" s="154"/>
      <c r="AV139" s="154"/>
      <c r="AW139" s="154"/>
      <c r="AX139" s="154"/>
      <c r="AY139" s="154"/>
    </row>
    <row r="140" spans="1:51">
      <c r="A140" s="154"/>
      <c r="B140" s="1038" t="str">
        <f>Master!B11</f>
        <v>Normalised revenues</v>
      </c>
      <c r="C140" s="1027"/>
      <c r="D140" s="1028"/>
      <c r="E140" s="1028"/>
      <c r="F140" s="1028"/>
      <c r="G140" s="1028"/>
      <c r="H140" s="1040"/>
      <c r="I140" s="1040"/>
      <c r="J140" s="1040"/>
      <c r="K140" s="1040"/>
      <c r="L140" s="1040"/>
      <c r="M140" s="1040"/>
      <c r="N140" s="1040"/>
      <c r="O140" s="1040"/>
      <c r="P140" s="1040"/>
      <c r="Q140" s="1040"/>
      <c r="R140" s="1040"/>
      <c r="S140" s="1040"/>
      <c r="T140" s="1040"/>
      <c r="U140" s="1040"/>
      <c r="V140" s="1040"/>
      <c r="W140" s="1040"/>
      <c r="X140" s="1041">
        <f>Master!F11</f>
        <v>1231.056</v>
      </c>
      <c r="Y140" s="1041">
        <f>Master!G11</f>
        <v>1403.1579999999999</v>
      </c>
      <c r="Z140" s="1041">
        <f>Master!H11</f>
        <v>1579.7299999999998</v>
      </c>
      <c r="AA140" s="1041">
        <f>Master!I11</f>
        <v>1961.2990000000002</v>
      </c>
      <c r="AB140" s="1041">
        <f>Master!J11</f>
        <v>2125.5389999999998</v>
      </c>
      <c r="AC140" s="1041">
        <f>Master!K11</f>
        <v>1711.2249999999999</v>
      </c>
      <c r="AD140" s="1041">
        <f>Master!L11</f>
        <v>1725.2777405198199</v>
      </c>
      <c r="AE140" s="1041">
        <f>Master!M11</f>
        <v>1796.0098554388017</v>
      </c>
      <c r="AF140" s="1041">
        <f>Master!N11</f>
        <v>1918.6694654405651</v>
      </c>
      <c r="AG140" s="1041">
        <f>Master!O11</f>
        <v>2034.8467963783773</v>
      </c>
      <c r="AH140" s="1041">
        <f>Master!P11</f>
        <v>2158.0195143290489</v>
      </c>
      <c r="AI140" s="1041">
        <f>Master!Q11</f>
        <v>2285.1001213071872</v>
      </c>
      <c r="AJ140" s="1041">
        <f>Master!R11</f>
        <v>2410.8774679623925</v>
      </c>
      <c r="AK140" s="1041">
        <f>Master!S11</f>
        <v>2539.387107574019</v>
      </c>
      <c r="AL140" s="1041">
        <f>Master!T11</f>
        <v>2675.175568216885</v>
      </c>
      <c r="AM140" s="1041">
        <f>Master!U11</f>
        <v>2818.5548525623167</v>
      </c>
      <c r="AN140" s="1041">
        <f>Master!V11</f>
        <v>2970.0988228827096</v>
      </c>
      <c r="AO140" s="154"/>
      <c r="AP140" s="154"/>
      <c r="AQ140" s="154"/>
      <c r="AR140" s="154"/>
      <c r="AS140" s="154"/>
      <c r="AT140" s="154"/>
      <c r="AU140" s="154"/>
      <c r="AV140" s="154"/>
      <c r="AW140" s="154"/>
      <c r="AX140" s="154"/>
      <c r="AY140" s="154"/>
    </row>
    <row r="141" spans="1:51">
      <c r="A141" s="154"/>
      <c r="B141" s="154"/>
      <c r="C141" s="1039"/>
      <c r="D141" s="1039"/>
      <c r="E141" s="1032"/>
      <c r="F141" s="1032"/>
      <c r="G141" s="1032"/>
      <c r="H141" s="1042"/>
      <c r="I141" s="1042"/>
      <c r="J141" s="1042"/>
      <c r="K141" s="1042"/>
      <c r="L141" s="1042"/>
      <c r="M141" s="1042"/>
      <c r="N141" s="1042"/>
      <c r="O141" s="1040"/>
      <c r="P141" s="1040"/>
      <c r="Q141" s="1040"/>
      <c r="R141" s="1040"/>
      <c r="S141" s="1040"/>
      <c r="T141" s="1040"/>
      <c r="U141" s="1040"/>
      <c r="V141" s="1040"/>
      <c r="W141" s="1040"/>
      <c r="X141" s="1040"/>
      <c r="Y141" s="1040"/>
      <c r="Z141" s="1040"/>
      <c r="AA141" s="1040"/>
      <c r="AB141" s="1040"/>
      <c r="AC141" s="1040"/>
      <c r="AD141" s="1040"/>
      <c r="AE141" s="1040"/>
      <c r="AF141" s="1040"/>
      <c r="AG141" s="1040"/>
      <c r="AH141" s="1040"/>
      <c r="AI141" s="1040"/>
      <c r="AJ141" s="1040"/>
      <c r="AK141" s="1040"/>
      <c r="AL141" s="1040"/>
      <c r="AM141" s="1040"/>
      <c r="AN141" s="1040"/>
      <c r="AO141" s="154"/>
      <c r="AP141" s="154"/>
      <c r="AQ141" s="154"/>
      <c r="AR141" s="154"/>
      <c r="AS141" s="154"/>
      <c r="AT141" s="154"/>
      <c r="AU141" s="154"/>
      <c r="AV141" s="154"/>
      <c r="AW141" s="154"/>
      <c r="AX141" s="154"/>
      <c r="AY141" s="154"/>
    </row>
    <row r="142" spans="1:51">
      <c r="A142" s="154"/>
      <c r="B142" s="1038" t="s">
        <v>9</v>
      </c>
      <c r="C142" s="1027"/>
      <c r="D142" s="1028"/>
      <c r="E142" s="1028"/>
      <c r="F142" s="1028"/>
      <c r="G142" s="1028"/>
      <c r="H142" s="1040"/>
      <c r="I142" s="1040"/>
      <c r="J142" s="1040"/>
      <c r="K142" s="1040"/>
      <c r="L142" s="1040"/>
      <c r="M142" s="1040"/>
      <c r="N142" s="1040"/>
      <c r="O142" s="1040"/>
      <c r="P142" s="1040"/>
      <c r="Q142" s="1040"/>
      <c r="R142" s="1040"/>
      <c r="S142" s="1040"/>
      <c r="T142" s="1040"/>
      <c r="U142" s="1040"/>
      <c r="V142" s="1040"/>
      <c r="W142" s="1040"/>
      <c r="X142" s="1040"/>
      <c r="Y142" s="1040"/>
      <c r="Z142" s="1040"/>
      <c r="AA142" s="1040"/>
      <c r="AB142" s="1040"/>
      <c r="AC142" s="1040"/>
      <c r="AD142" s="1040"/>
      <c r="AE142" s="1040"/>
      <c r="AF142" s="1040"/>
      <c r="AG142" s="1040"/>
      <c r="AH142" s="1040"/>
      <c r="AI142" s="1040"/>
      <c r="AJ142" s="1040"/>
      <c r="AK142" s="1040"/>
      <c r="AL142" s="1040"/>
      <c r="AM142" s="1040"/>
      <c r="AN142" s="1040"/>
      <c r="AO142" s="154"/>
      <c r="AP142" s="154"/>
      <c r="AQ142" s="154"/>
      <c r="AR142" s="154"/>
      <c r="AS142" s="154"/>
      <c r="AT142" s="154"/>
      <c r="AU142" s="154"/>
      <c r="AV142" s="154"/>
      <c r="AW142" s="154"/>
      <c r="AX142" s="154"/>
      <c r="AY142" s="154"/>
    </row>
    <row r="143" spans="1:51">
      <c r="A143" s="154"/>
      <c r="B143" s="1022" t="str">
        <f>Master!B14</f>
        <v>Nigeria</v>
      </c>
      <c r="C143" s="1027"/>
      <c r="D143" s="1028"/>
      <c r="E143" s="1028"/>
      <c r="F143" s="1028"/>
      <c r="G143" s="1028"/>
      <c r="H143" s="1040"/>
      <c r="I143" s="1040"/>
      <c r="J143" s="1040"/>
      <c r="K143" s="1040"/>
      <c r="L143" s="1040"/>
      <c r="M143" s="1040"/>
      <c r="N143" s="1040"/>
      <c r="O143" s="1040"/>
      <c r="P143" s="1040"/>
      <c r="Q143" s="1040"/>
      <c r="R143" s="1040"/>
      <c r="S143" s="1040"/>
      <c r="T143" s="1040"/>
      <c r="U143" s="1040"/>
      <c r="V143" s="1040"/>
      <c r="W143" s="1040"/>
      <c r="X143" s="1040">
        <f>Master!F14</f>
        <v>559.04899999999998</v>
      </c>
      <c r="Y143" s="1040">
        <f>Master!G14</f>
        <v>701.27300000000002</v>
      </c>
      <c r="Z143" s="1040">
        <f>Master!H14</f>
        <v>783.54399999999998</v>
      </c>
      <c r="AA143" s="1040">
        <f>Master!I14</f>
        <v>802.822</v>
      </c>
      <c r="AB143" s="1040">
        <f>Master!J14</f>
        <v>855.31700000000001</v>
      </c>
      <c r="AC143" s="1040">
        <f>Master!K14</f>
        <v>588.03099999999995</v>
      </c>
      <c r="AD143" s="1040">
        <f>Master!L14</f>
        <v>695.49961174308112</v>
      </c>
      <c r="AE143" s="1040">
        <f>Master!M14</f>
        <v>754.41472097521614</v>
      </c>
      <c r="AF143" s="1040">
        <f>Master!N14</f>
        <v>823.1792256565235</v>
      </c>
      <c r="AG143" s="1040">
        <f>Master!O14</f>
        <v>880.42369290826207</v>
      </c>
      <c r="AH143" s="1040">
        <f>Master!P14</f>
        <v>941.96439341985445</v>
      </c>
      <c r="AI143" s="1040">
        <f>Master!Q14</f>
        <v>1005.1754533784143</v>
      </c>
      <c r="AJ143" s="1040">
        <f>Master!R14</f>
        <v>1066.2952533383179</v>
      </c>
      <c r="AK143" s="1040">
        <f>Master!S14</f>
        <v>1127.8203385281179</v>
      </c>
      <c r="AL143" s="1040">
        <f>Master!T14</f>
        <v>1192.879406636338</v>
      </c>
      <c r="AM143" s="1040">
        <f>Master!U14</f>
        <v>1261.6746449380164</v>
      </c>
      <c r="AN143" s="1040">
        <f>Master!V14</f>
        <v>1334.4197677701791</v>
      </c>
      <c r="AO143" s="154"/>
      <c r="AP143" s="154"/>
      <c r="AQ143" s="154"/>
      <c r="AR143" s="154"/>
      <c r="AS143" s="154"/>
      <c r="AT143" s="154"/>
      <c r="AU143" s="154"/>
      <c r="AV143" s="154"/>
      <c r="AW143" s="154"/>
      <c r="AX143" s="154"/>
      <c r="AY143" s="154"/>
    </row>
    <row r="144" spans="1:51">
      <c r="A144" s="154"/>
      <c r="B144" s="1022" t="str">
        <f>Master!B15</f>
        <v>Sub-Sahara Africa</v>
      </c>
      <c r="C144" s="1027"/>
      <c r="D144" s="1028"/>
      <c r="E144" s="1028"/>
      <c r="F144" s="1028"/>
      <c r="G144" s="1028"/>
      <c r="H144" s="1040"/>
      <c r="I144" s="1040"/>
      <c r="J144" s="1040"/>
      <c r="K144" s="1040"/>
      <c r="L144" s="1040"/>
      <c r="M144" s="1040"/>
      <c r="N144" s="1040"/>
      <c r="O144" s="1040"/>
      <c r="P144" s="1040"/>
      <c r="Q144" s="1040"/>
      <c r="R144" s="1040"/>
      <c r="S144" s="1040"/>
      <c r="T144" s="1040"/>
      <c r="U144" s="1040"/>
      <c r="V144" s="1040"/>
      <c r="W144" s="1040"/>
      <c r="X144" s="1040">
        <f>Master!F15</f>
        <v>165.626</v>
      </c>
      <c r="Y144" s="1040">
        <f>Master!G15</f>
        <v>170.78399999999999</v>
      </c>
      <c r="Z144" s="1040">
        <f>Master!H15</f>
        <v>190.654</v>
      </c>
      <c r="AA144" s="1040">
        <f>Master!I15</f>
        <v>230.52099999999999</v>
      </c>
      <c r="AB144" s="1040">
        <f>Master!J15</f>
        <v>257.072</v>
      </c>
      <c r="AC144" s="1040">
        <f>Master!K15</f>
        <v>307.95400000000001</v>
      </c>
      <c r="AD144" s="1040">
        <f>Master!L15</f>
        <v>287</v>
      </c>
      <c r="AE144" s="1040">
        <f>Master!M15</f>
        <v>283.61324734007371</v>
      </c>
      <c r="AF144" s="1040">
        <f>Master!N15</f>
        <v>302.84845092014854</v>
      </c>
      <c r="AG144" s="1040">
        <f>Master!O15</f>
        <v>326.31283013754535</v>
      </c>
      <c r="AH144" s="1040">
        <f>Master!P15</f>
        <v>351.03718832926666</v>
      </c>
      <c r="AI144" s="1040">
        <f>Master!Q15</f>
        <v>377.59688916249604</v>
      </c>
      <c r="AJ144" s="1040">
        <f>Master!R15</f>
        <v>406.26759317267806</v>
      </c>
      <c r="AK144" s="1040">
        <f>Master!S15</f>
        <v>437.33554236542108</v>
      </c>
      <c r="AL144" s="1040">
        <f>Master!T15</f>
        <v>470.85957368485356</v>
      </c>
      <c r="AM144" s="1040">
        <f>Master!U15</f>
        <v>506.95780257918653</v>
      </c>
      <c r="AN144" s="1040">
        <f>Master!V15</f>
        <v>545.92281109773853</v>
      </c>
      <c r="AO144" s="154"/>
      <c r="AP144" s="154"/>
      <c r="AQ144" s="154"/>
      <c r="AR144" s="154"/>
      <c r="AS144" s="154"/>
      <c r="AT144" s="154"/>
      <c r="AU144" s="154"/>
      <c r="AV144" s="154"/>
      <c r="AW144" s="154"/>
      <c r="AX144" s="154"/>
      <c r="AY144" s="154"/>
    </row>
    <row r="145" spans="1:51">
      <c r="A145" s="154"/>
      <c r="B145" s="1022" t="str">
        <f>Master!B16</f>
        <v>Latam</v>
      </c>
      <c r="C145" s="1027"/>
      <c r="D145" s="1028"/>
      <c r="E145" s="1028"/>
      <c r="F145" s="1028"/>
      <c r="G145" s="1028"/>
      <c r="H145" s="1040"/>
      <c r="I145" s="1040"/>
      <c r="J145" s="1040"/>
      <c r="K145" s="1040"/>
      <c r="L145" s="1040"/>
      <c r="M145" s="1040"/>
      <c r="N145" s="1040"/>
      <c r="O145" s="1040"/>
      <c r="P145" s="1040"/>
      <c r="Q145" s="1040"/>
      <c r="R145" s="1040"/>
      <c r="S145" s="1040"/>
      <c r="T145" s="1040"/>
      <c r="U145" s="1040"/>
      <c r="V145" s="1040"/>
      <c r="W145" s="1040"/>
      <c r="X145" s="1040">
        <f>Master!F16</f>
        <v>0</v>
      </c>
      <c r="Y145" s="1040">
        <f>Master!G16</f>
        <v>22.696000000000002</v>
      </c>
      <c r="Z145" s="1040">
        <f>Master!H16</f>
        <v>42.688000000000002</v>
      </c>
      <c r="AA145" s="1040">
        <f>Master!I16</f>
        <v>114.434</v>
      </c>
      <c r="AB145" s="1040">
        <f>Master!J16</f>
        <v>145.75399999999999</v>
      </c>
      <c r="AC145" s="1040">
        <f>Master!K16</f>
        <v>138.035</v>
      </c>
      <c r="AD145" s="1040">
        <f>Master!L16</f>
        <v>139.15888525</v>
      </c>
      <c r="AE145" s="1040">
        <f>Master!M16</f>
        <v>142.41837860249998</v>
      </c>
      <c r="AF145" s="1040">
        <f>Master!N16</f>
        <v>146.46706160624996</v>
      </c>
      <c r="AG145" s="1040">
        <f>Master!O16</f>
        <v>151.36394369928556</v>
      </c>
      <c r="AH145" s="1040">
        <f>Master!P16</f>
        <v>156.42281836245769</v>
      </c>
      <c r="AI145" s="1040">
        <f>Master!Q16</f>
        <v>161.6489979560908</v>
      </c>
      <c r="AJ145" s="1040">
        <f>Master!R16</f>
        <v>167.04796778881567</v>
      </c>
      <c r="AK145" s="1040">
        <f>Master!S16</f>
        <v>172.62539171334356</v>
      </c>
      <c r="AL145" s="1040">
        <f>Master!T16</f>
        <v>178.38711790233316</v>
      </c>
      <c r="AM145" s="1040">
        <f>Master!U16</f>
        <v>184.33918481012017</v>
      </c>
      <c r="AN145" s="1040">
        <f>Master!V16</f>
        <v>190.48782732626228</v>
      </c>
      <c r="AO145" s="154"/>
      <c r="AP145" s="154"/>
      <c r="AQ145" s="154"/>
      <c r="AR145" s="154"/>
      <c r="AS145" s="154"/>
      <c r="AT145" s="154"/>
      <c r="AU145" s="154"/>
      <c r="AV145" s="154"/>
      <c r="AW145" s="154"/>
      <c r="AX145" s="154"/>
      <c r="AY145" s="154"/>
    </row>
    <row r="146" spans="1:51">
      <c r="A146" s="154"/>
      <c r="B146" s="1022" t="str">
        <f>Master!B17</f>
        <v>MENA</v>
      </c>
      <c r="C146" s="1027"/>
      <c r="D146" s="1028"/>
      <c r="E146" s="1028"/>
      <c r="F146" s="1028"/>
      <c r="G146" s="1028"/>
      <c r="H146" s="1040"/>
      <c r="I146" s="1040"/>
      <c r="J146" s="1040"/>
      <c r="K146" s="1040"/>
      <c r="L146" s="1040"/>
      <c r="M146" s="1040"/>
      <c r="N146" s="1040"/>
      <c r="O146" s="1040"/>
      <c r="P146" s="1040"/>
      <c r="Q146" s="1040"/>
      <c r="R146" s="1040"/>
      <c r="S146" s="1040"/>
      <c r="T146" s="1040"/>
      <c r="U146" s="1040"/>
      <c r="V146" s="1040"/>
      <c r="W146" s="1040"/>
      <c r="X146" s="1040">
        <f>Master!F17</f>
        <v>0</v>
      </c>
      <c r="Y146" s="1040">
        <f>Master!G17</f>
        <v>9.9369999999999994</v>
      </c>
      <c r="Z146" s="1040">
        <f>Master!H17</f>
        <v>13.085000000000001</v>
      </c>
      <c r="AA146" s="1040">
        <f>Master!I17</f>
        <v>16.021000000000001</v>
      </c>
      <c r="AB146" s="1040">
        <f>Master!J17</f>
        <v>22.120999999999999</v>
      </c>
      <c r="AC146" s="1040">
        <f>Master!K17</f>
        <v>27.561</v>
      </c>
      <c r="AD146" s="1040">
        <f>Master!L17</f>
        <v>0</v>
      </c>
      <c r="AE146" s="1040">
        <f>Master!M17</f>
        <v>0</v>
      </c>
      <c r="AF146" s="1040">
        <f>Master!N17</f>
        <v>0</v>
      </c>
      <c r="AG146" s="1040">
        <f>Master!O17</f>
        <v>0</v>
      </c>
      <c r="AH146" s="1040">
        <f>Master!P17</f>
        <v>0</v>
      </c>
      <c r="AI146" s="1040">
        <f>Master!Q17</f>
        <v>0</v>
      </c>
      <c r="AJ146" s="1040">
        <f>Master!R17</f>
        <v>0</v>
      </c>
      <c r="AK146" s="1040">
        <f>Master!S17</f>
        <v>0</v>
      </c>
      <c r="AL146" s="1040">
        <f>Master!T17</f>
        <v>0</v>
      </c>
      <c r="AM146" s="1040">
        <f>Master!U17</f>
        <v>0</v>
      </c>
      <c r="AN146" s="1040">
        <f>Master!V17</f>
        <v>0</v>
      </c>
      <c r="AO146" s="154"/>
      <c r="AP146" s="154"/>
      <c r="AQ146" s="154"/>
      <c r="AR146" s="154"/>
      <c r="AS146" s="154"/>
      <c r="AT146" s="154"/>
      <c r="AU146" s="154"/>
      <c r="AV146" s="154"/>
      <c r="AW146" s="154"/>
      <c r="AX146" s="154"/>
      <c r="AY146" s="154"/>
    </row>
    <row r="147" spans="1:51">
      <c r="A147" s="154"/>
      <c r="B147" s="1022" t="str">
        <f>Master!B18</f>
        <v>Other</v>
      </c>
      <c r="C147" s="1039"/>
      <c r="D147" s="1043"/>
      <c r="E147" s="1043"/>
      <c r="F147" s="1043"/>
      <c r="G147" s="1043"/>
      <c r="H147" s="1041"/>
      <c r="I147" s="1041"/>
      <c r="J147" s="1041"/>
      <c r="K147" s="1041"/>
      <c r="L147" s="1041"/>
      <c r="M147" s="1041"/>
      <c r="N147" s="1041"/>
      <c r="O147" s="1041"/>
      <c r="P147" s="1041"/>
      <c r="Q147" s="1041"/>
      <c r="R147" s="1041"/>
      <c r="S147" s="1041"/>
      <c r="T147" s="1041"/>
      <c r="U147" s="1041"/>
      <c r="V147" s="1041"/>
      <c r="W147" s="1041"/>
      <c r="X147" s="1040">
        <f>Master!F18</f>
        <v>-56.061</v>
      </c>
      <c r="Y147" s="1040">
        <f>Master!G18</f>
        <v>-85.676000000000002</v>
      </c>
      <c r="Z147" s="1040">
        <f>Master!H18</f>
        <v>-103.575</v>
      </c>
      <c r="AA147" s="1040">
        <f>Master!I18</f>
        <v>-132.41200000000001</v>
      </c>
      <c r="AB147" s="1040">
        <f>Master!J18</f>
        <v>-147.72900000000001</v>
      </c>
      <c r="AC147" s="1040">
        <f>Master!K18</f>
        <v>-133.227</v>
      </c>
      <c r="AD147" s="1040">
        <f>Master!L18</f>
        <v>-123</v>
      </c>
      <c r="AE147" s="1040">
        <f>Master!M18</f>
        <v>-129.15</v>
      </c>
      <c r="AF147" s="1040">
        <f>Master!N18</f>
        <v>-135.60750000000002</v>
      </c>
      <c r="AG147" s="1040">
        <f>Master!O18</f>
        <v>-142.38787500000004</v>
      </c>
      <c r="AH147" s="1040">
        <f>Master!P18</f>
        <v>-149.50726875000004</v>
      </c>
      <c r="AI147" s="1040">
        <f>Master!Q18</f>
        <v>-156.98263218750006</v>
      </c>
      <c r="AJ147" s="1040">
        <f>Master!R18</f>
        <v>-164.83176379687507</v>
      </c>
      <c r="AK147" s="1040">
        <f>Master!S18</f>
        <v>-173.07335198671882</v>
      </c>
      <c r="AL147" s="1040">
        <f>Master!T18</f>
        <v>-181.72701958605478</v>
      </c>
      <c r="AM147" s="1040">
        <f>Master!U18</f>
        <v>-190.81337056535753</v>
      </c>
      <c r="AN147" s="1040">
        <f>Master!V18</f>
        <v>-200.3540390936254</v>
      </c>
      <c r="AO147" s="154"/>
      <c r="AP147" s="154"/>
      <c r="AQ147" s="154"/>
      <c r="AR147" s="154"/>
      <c r="AS147" s="154"/>
      <c r="AT147" s="154"/>
      <c r="AU147" s="154"/>
      <c r="AV147" s="154"/>
      <c r="AW147" s="154"/>
      <c r="AX147" s="154"/>
      <c r="AY147" s="154"/>
    </row>
    <row r="148" spans="1:51">
      <c r="A148" s="154"/>
      <c r="B148" s="1038" t="str">
        <f>Master!B19</f>
        <v>Group EBITDA</v>
      </c>
      <c r="C148" s="1027"/>
      <c r="D148" s="1028"/>
      <c r="E148" s="1028"/>
      <c r="F148" s="1028"/>
      <c r="G148" s="1028"/>
      <c r="H148" s="1040"/>
      <c r="I148" s="1040"/>
      <c r="J148" s="1040"/>
      <c r="K148" s="1040"/>
      <c r="L148" s="1040"/>
      <c r="M148" s="1040"/>
      <c r="N148" s="1040"/>
      <c r="O148" s="1040"/>
      <c r="P148" s="1040"/>
      <c r="Q148" s="1040"/>
      <c r="R148" s="1040"/>
      <c r="S148" s="1040"/>
      <c r="T148" s="1040"/>
      <c r="U148" s="1040"/>
      <c r="V148" s="1040"/>
      <c r="W148" s="1040"/>
      <c r="X148" s="1041">
        <f>Master!F19</f>
        <v>668.61399999999992</v>
      </c>
      <c r="Y148" s="1041">
        <f>Master!G19</f>
        <v>819.01400000000001</v>
      </c>
      <c r="Z148" s="1041">
        <f>Master!H19</f>
        <v>926.39599999999996</v>
      </c>
      <c r="AA148" s="1041">
        <f>Master!I19</f>
        <v>1031.386</v>
      </c>
      <c r="AB148" s="1041">
        <f>Master!J19</f>
        <v>1132.5350000000001</v>
      </c>
      <c r="AC148" s="1041">
        <f>Master!K19</f>
        <v>928.35399999999993</v>
      </c>
      <c r="AD148" s="1041">
        <f>Master!L19</f>
        <v>998.65849699308114</v>
      </c>
      <c r="AE148" s="1041">
        <f>Master!M19</f>
        <v>1051.2963469177898</v>
      </c>
      <c r="AF148" s="1041">
        <f>Master!N19</f>
        <v>1136.8872381829219</v>
      </c>
      <c r="AG148" s="1041">
        <f>Master!O19</f>
        <v>1215.7125917450928</v>
      </c>
      <c r="AH148" s="1041">
        <f>Master!P19</f>
        <v>1299.9171313615789</v>
      </c>
      <c r="AI148" s="1041">
        <f>Master!Q19</f>
        <v>1387.4387083095012</v>
      </c>
      <c r="AJ148" s="1041">
        <f>Master!R19</f>
        <v>1474.7790505029366</v>
      </c>
      <c r="AK148" s="1041">
        <f>Master!S19</f>
        <v>1564.7079206201638</v>
      </c>
      <c r="AL148" s="1041">
        <f>Master!T19</f>
        <v>1660.3990786374698</v>
      </c>
      <c r="AM148" s="1041">
        <f>Master!U19</f>
        <v>1762.1582617619658</v>
      </c>
      <c r="AN148" s="1041">
        <f>Master!V19</f>
        <v>1870.4763671005544</v>
      </c>
      <c r="AO148" s="154"/>
      <c r="AP148" s="154"/>
      <c r="AQ148" s="154"/>
      <c r="AR148" s="154"/>
      <c r="AS148" s="154"/>
      <c r="AT148" s="154"/>
      <c r="AU148" s="154"/>
      <c r="AV148" s="154"/>
      <c r="AW148" s="154"/>
      <c r="AX148" s="154"/>
      <c r="AY148" s="154"/>
    </row>
    <row r="149" spans="1:51">
      <c r="A149" s="154"/>
      <c r="B149" s="154"/>
      <c r="C149" s="1027"/>
      <c r="D149" s="1028"/>
      <c r="E149" s="1028"/>
      <c r="F149" s="1028"/>
      <c r="G149" s="1028"/>
      <c r="H149" s="1040"/>
      <c r="I149" s="1040"/>
      <c r="J149" s="1040"/>
      <c r="K149" s="1040"/>
      <c r="L149" s="1040"/>
      <c r="M149" s="1040"/>
      <c r="N149" s="1040"/>
      <c r="O149" s="1040"/>
      <c r="P149" s="1040"/>
      <c r="Q149" s="1040"/>
      <c r="R149" s="1040"/>
      <c r="S149" s="1040"/>
      <c r="T149" s="1040"/>
      <c r="U149" s="1040"/>
      <c r="V149" s="1040"/>
      <c r="W149" s="1040"/>
      <c r="X149" s="1040"/>
      <c r="Y149" s="1040"/>
      <c r="Z149" s="1040"/>
      <c r="AA149" s="1040"/>
      <c r="AB149" s="1040"/>
      <c r="AC149" s="1040"/>
      <c r="AD149" s="1040"/>
      <c r="AE149" s="1040"/>
      <c r="AF149" s="1040"/>
      <c r="AG149" s="1040"/>
      <c r="AH149" s="1040"/>
      <c r="AI149" s="1040"/>
      <c r="AJ149" s="1040"/>
      <c r="AK149" s="1040"/>
      <c r="AL149" s="1040"/>
      <c r="AM149" s="1040"/>
      <c r="AN149" s="1040"/>
      <c r="AO149" s="154"/>
      <c r="AP149" s="154"/>
      <c r="AQ149" s="154"/>
      <c r="AR149" s="154"/>
      <c r="AS149" s="154"/>
      <c r="AT149" s="154"/>
      <c r="AU149" s="154"/>
      <c r="AV149" s="154"/>
      <c r="AW149" s="154"/>
      <c r="AX149" s="154"/>
      <c r="AY149" s="154"/>
    </row>
    <row r="150" spans="1:51">
      <c r="A150" s="154"/>
      <c r="B150" s="1038" t="s">
        <v>316</v>
      </c>
      <c r="C150" s="1027"/>
      <c r="D150" s="1028"/>
      <c r="E150" s="1028"/>
      <c r="F150" s="1028"/>
      <c r="G150" s="1028"/>
      <c r="H150" s="1028"/>
      <c r="I150" s="1028"/>
      <c r="J150" s="1028"/>
      <c r="K150" s="1028"/>
      <c r="L150" s="1028"/>
      <c r="M150" s="1028"/>
      <c r="N150" s="1028"/>
      <c r="O150" s="1028"/>
      <c r="P150" s="1028"/>
      <c r="Q150" s="1028"/>
      <c r="R150" s="1023"/>
      <c r="S150" s="1023"/>
      <c r="T150" s="1023"/>
      <c r="U150" s="1023"/>
      <c r="V150" s="1023"/>
      <c r="W150" s="1023"/>
      <c r="X150" s="1023"/>
      <c r="Y150" s="1023"/>
      <c r="Z150" s="1023"/>
      <c r="AA150" s="1023"/>
      <c r="AB150" s="1023"/>
      <c r="AC150" s="1023"/>
      <c r="AD150" s="1023"/>
      <c r="AE150" s="1023"/>
      <c r="AF150" s="1023"/>
      <c r="AG150" s="1023"/>
      <c r="AH150" s="1023"/>
      <c r="AI150" s="1023"/>
      <c r="AJ150" s="1023"/>
      <c r="AK150" s="1023"/>
      <c r="AL150" s="1023"/>
      <c r="AM150" s="1023"/>
      <c r="AN150" s="1023"/>
      <c r="AO150" s="154"/>
      <c r="AP150" s="154"/>
      <c r="AQ150" s="154"/>
      <c r="AR150" s="154"/>
      <c r="AS150" s="154"/>
      <c r="AT150" s="154"/>
      <c r="AU150" s="154"/>
      <c r="AV150" s="154"/>
      <c r="AW150" s="154"/>
      <c r="AX150" s="154"/>
      <c r="AY150" s="154"/>
    </row>
    <row r="151" spans="1:51">
      <c r="A151" s="154"/>
      <c r="B151" s="1022" t="str">
        <f>Consolidation!A83</f>
        <v>New sites</v>
      </c>
      <c r="C151" s="1027"/>
      <c r="D151" s="1028"/>
      <c r="E151" s="1028"/>
      <c r="F151" s="1028"/>
      <c r="G151" s="1028"/>
      <c r="H151" s="1028"/>
      <c r="I151" s="1028"/>
      <c r="J151" s="1028"/>
      <c r="K151" s="1028"/>
      <c r="L151" s="1028"/>
      <c r="M151" s="1028"/>
      <c r="N151" s="1028"/>
      <c r="O151" s="1028"/>
      <c r="P151" s="1028"/>
      <c r="Q151" s="1028"/>
      <c r="R151" s="1023"/>
      <c r="S151" s="1023"/>
      <c r="T151" s="1023"/>
      <c r="U151" s="1023"/>
      <c r="V151" s="1023"/>
      <c r="W151" s="1023"/>
      <c r="X151" s="1023">
        <f>Consolidation!E83</f>
        <v>0</v>
      </c>
      <c r="Y151" s="1023">
        <f>Consolidation!F83</f>
        <v>30</v>
      </c>
      <c r="Z151" s="1023">
        <f>Consolidation!G83</f>
        <v>91</v>
      </c>
      <c r="AA151" s="1023">
        <f>Consolidation!H83</f>
        <v>87</v>
      </c>
      <c r="AB151" s="1023">
        <f>Consolidation!I83</f>
        <v>92</v>
      </c>
      <c r="AC151" s="1023">
        <f>Consolidation!J83</f>
        <v>54</v>
      </c>
      <c r="AD151" s="1023">
        <f>Consolidation!K83</f>
        <v>35</v>
      </c>
      <c r="AE151" s="1023">
        <f>Consolidation!L83</f>
        <v>42.666175044319765</v>
      </c>
      <c r="AF151" s="1023">
        <f>Consolidation!M83</f>
        <v>40.08420299882102</v>
      </c>
      <c r="AG151" s="1023">
        <f>Consolidation!N83</f>
        <v>39.186287448327931</v>
      </c>
      <c r="AH151" s="1023">
        <f>Consolidation!O83</f>
        <v>40.396508470005443</v>
      </c>
      <c r="AI151" s="1023">
        <f>Consolidation!P83</f>
        <v>41.445210849663141</v>
      </c>
      <c r="AJ151" s="1023">
        <f>Consolidation!Q83</f>
        <v>43.495182032713437</v>
      </c>
      <c r="AK151" s="1023">
        <f>Consolidation!R83</f>
        <v>45.207629656781876</v>
      </c>
      <c r="AL151" s="1023">
        <f>Consolidation!S83</f>
        <v>46.568017195012615</v>
      </c>
      <c r="AM151" s="1023">
        <f>Consolidation!T83</f>
        <v>47.963183698179925</v>
      </c>
      <c r="AN151" s="1023">
        <f>Consolidation!U83</f>
        <v>49.799678173953595</v>
      </c>
      <c r="AO151" s="154"/>
      <c r="AP151" s="154"/>
      <c r="AQ151" s="154"/>
      <c r="AR151" s="154"/>
      <c r="AS151" s="154"/>
      <c r="AT151" s="154"/>
      <c r="AU151" s="154"/>
      <c r="AV151" s="154"/>
      <c r="AW151" s="154"/>
      <c r="AX151" s="154"/>
      <c r="AY151" s="154"/>
    </row>
    <row r="152" spans="1:51">
      <c r="A152" s="154"/>
      <c r="B152" s="1022" t="str">
        <f>Consolidation!A84</f>
        <v>Discretionary</v>
      </c>
      <c r="C152" s="1027"/>
      <c r="D152" s="1028"/>
      <c r="E152" s="1028"/>
      <c r="F152" s="1028"/>
      <c r="G152" s="1028"/>
      <c r="H152" s="1028"/>
      <c r="I152" s="1028"/>
      <c r="J152" s="1028"/>
      <c r="K152" s="1028"/>
      <c r="L152" s="1028"/>
      <c r="M152" s="1028"/>
      <c r="N152" s="1028"/>
      <c r="O152" s="1028"/>
      <c r="P152" s="1028"/>
      <c r="Q152" s="1044"/>
      <c r="R152" s="1044"/>
      <c r="S152" s="1044"/>
      <c r="T152" s="1044"/>
      <c r="U152" s="1044"/>
      <c r="V152" s="1044"/>
      <c r="W152" s="1044"/>
      <c r="X152" s="1023">
        <f>Consolidation!E84</f>
        <v>86</v>
      </c>
      <c r="Y152" s="1023">
        <f>Consolidation!F84</f>
        <v>83</v>
      </c>
      <c r="Z152" s="1023">
        <f>Consolidation!G84</f>
        <v>185</v>
      </c>
      <c r="AA152" s="1023">
        <f>Consolidation!H84</f>
        <v>377</v>
      </c>
      <c r="AB152" s="1023">
        <f>Consolidation!I84</f>
        <v>352</v>
      </c>
      <c r="AC152" s="1023">
        <f>Consolidation!J84</f>
        <v>130</v>
      </c>
      <c r="AD152" s="1023">
        <f>Consolidation!K84</f>
        <v>142.79166107797295</v>
      </c>
      <c r="AE152" s="1023">
        <f>Consolidation!L84</f>
        <v>135.73530327150044</v>
      </c>
      <c r="AF152" s="1023">
        <f>Consolidation!M84</f>
        <v>147.12286949006091</v>
      </c>
      <c r="AG152" s="1023">
        <f>Consolidation!N84</f>
        <v>164.86649802653679</v>
      </c>
      <c r="AH152" s="1023">
        <f>Consolidation!O84</f>
        <v>170.72622353606141</v>
      </c>
      <c r="AI152" s="1023">
        <f>Consolidation!P84</f>
        <v>187.46880613334315</v>
      </c>
      <c r="AJ152" s="1023">
        <f>Consolidation!Q84</f>
        <v>190.97327614220956</v>
      </c>
      <c r="AK152" s="1023">
        <f>Consolidation!R84</f>
        <v>206.6096298657107</v>
      </c>
      <c r="AL152" s="1023">
        <f>Consolidation!S84</f>
        <v>210.20480667318247</v>
      </c>
      <c r="AM152" s="1023">
        <f>Consolidation!T84</f>
        <v>227.44894713492124</v>
      </c>
      <c r="AN152" s="1023">
        <f>Consolidation!U84</f>
        <v>245.31316880079862</v>
      </c>
      <c r="AO152" s="154"/>
      <c r="AP152" s="154"/>
      <c r="AQ152" s="154"/>
      <c r="AR152" s="154"/>
      <c r="AS152" s="154"/>
      <c r="AT152" s="154"/>
      <c r="AU152" s="154"/>
      <c r="AV152" s="154"/>
      <c r="AW152" s="154"/>
      <c r="AX152" s="154"/>
      <c r="AY152" s="154"/>
    </row>
    <row r="153" spans="1:51">
      <c r="A153" s="154"/>
      <c r="B153" s="1022" t="str">
        <f>Consolidation!A85</f>
        <v>Non-discretionary</v>
      </c>
      <c r="C153" s="1027"/>
      <c r="D153" s="1028"/>
      <c r="E153" s="1028"/>
      <c r="F153" s="1028"/>
      <c r="G153" s="1028"/>
      <c r="H153" s="1028"/>
      <c r="I153" s="1028"/>
      <c r="J153" s="1028"/>
      <c r="K153" s="1028"/>
      <c r="L153" s="1028"/>
      <c r="M153" s="1028"/>
      <c r="N153" s="1028"/>
      <c r="O153" s="1028"/>
      <c r="P153" s="1028"/>
      <c r="Q153" s="1028"/>
      <c r="R153" s="1027"/>
      <c r="S153" s="1027"/>
      <c r="T153" s="1027"/>
      <c r="U153" s="1027"/>
      <c r="V153" s="1027"/>
      <c r="W153" s="1027"/>
      <c r="X153" s="1023">
        <f>Consolidation!E85</f>
        <v>173</v>
      </c>
      <c r="Y153" s="1023">
        <f>Consolidation!F85</f>
        <v>116</v>
      </c>
      <c r="Z153" s="1023">
        <f>Consolidation!G85</f>
        <v>126</v>
      </c>
      <c r="AA153" s="1023">
        <f>Consolidation!H85</f>
        <v>170</v>
      </c>
      <c r="AB153" s="1023">
        <f>Consolidation!I85</f>
        <v>142</v>
      </c>
      <c r="AC153" s="1023">
        <f>Consolidation!J85</f>
        <v>73</v>
      </c>
      <c r="AD153" s="1023">
        <f>Consolidation!K85</f>
        <v>81</v>
      </c>
      <c r="AE153" s="1023">
        <f>Consolidation!L85</f>
        <v>91</v>
      </c>
      <c r="AF153" s="1023">
        <f>Consolidation!M85</f>
        <v>91</v>
      </c>
      <c r="AG153" s="1023">
        <f>Consolidation!N85</f>
        <v>91</v>
      </c>
      <c r="AH153" s="1023">
        <f>Consolidation!O85</f>
        <v>91</v>
      </c>
      <c r="AI153" s="1023">
        <f>Consolidation!P85</f>
        <v>91</v>
      </c>
      <c r="AJ153" s="1023">
        <f>Consolidation!Q85</f>
        <v>91</v>
      </c>
      <c r="AK153" s="1023">
        <f>Consolidation!R85</f>
        <v>91</v>
      </c>
      <c r="AL153" s="1023">
        <f>Consolidation!S85</f>
        <v>91</v>
      </c>
      <c r="AM153" s="1023">
        <f>Consolidation!T85</f>
        <v>91</v>
      </c>
      <c r="AN153" s="1023">
        <f>Consolidation!U85</f>
        <v>91</v>
      </c>
      <c r="AO153" s="154"/>
      <c r="AP153" s="154"/>
      <c r="AQ153" s="154"/>
      <c r="AR153" s="154"/>
      <c r="AS153" s="154"/>
      <c r="AT153" s="154"/>
      <c r="AU153" s="154"/>
      <c r="AV153" s="154"/>
      <c r="AW153" s="154"/>
      <c r="AX153" s="154"/>
      <c r="AY153" s="154"/>
    </row>
    <row r="154" spans="1:51">
      <c r="A154" s="154"/>
      <c r="B154" s="1038" t="str">
        <f>Master!B338</f>
        <v>Total capex</v>
      </c>
      <c r="C154" s="1039"/>
      <c r="D154" s="1039"/>
      <c r="E154" s="1045"/>
      <c r="F154" s="1045"/>
      <c r="G154" s="1045"/>
      <c r="H154" s="1045"/>
      <c r="I154" s="1045"/>
      <c r="J154" s="1045"/>
      <c r="K154" s="1045"/>
      <c r="L154" s="1045"/>
      <c r="M154" s="1045"/>
      <c r="N154" s="1045"/>
      <c r="O154" s="1039"/>
      <c r="P154" s="1039"/>
      <c r="Q154" s="1039"/>
      <c r="R154" s="1039"/>
      <c r="S154" s="1039"/>
      <c r="T154" s="1039"/>
      <c r="U154" s="1046"/>
      <c r="V154" s="1046">
        <f>Consolidation!C88</f>
        <v>251</v>
      </c>
      <c r="W154" s="1046">
        <f>Consolidation!D88</f>
        <v>378</v>
      </c>
      <c r="X154" s="1046">
        <f>Consolidation!E88</f>
        <v>259</v>
      </c>
      <c r="Y154" s="1046">
        <f>Consolidation!F88</f>
        <v>229</v>
      </c>
      <c r="Z154" s="1046">
        <f>Consolidation!G88</f>
        <v>402</v>
      </c>
      <c r="AA154" s="1046">
        <f>Consolidation!H88</f>
        <v>634</v>
      </c>
      <c r="AB154" s="1046">
        <f>Consolidation!I88</f>
        <v>586</v>
      </c>
      <c r="AC154" s="1046">
        <f>Consolidation!J88</f>
        <v>257</v>
      </c>
      <c r="AD154" s="1046">
        <f>Consolidation!K88</f>
        <v>258.79166107797295</v>
      </c>
      <c r="AE154" s="1046">
        <f>Consolidation!L88</f>
        <v>269.40147831582021</v>
      </c>
      <c r="AF154" s="1046">
        <f>Consolidation!M88</f>
        <v>278.20707248888192</v>
      </c>
      <c r="AG154" s="1046">
        <f>Consolidation!N88</f>
        <v>295.05278547486472</v>
      </c>
      <c r="AH154" s="1046">
        <f>Consolidation!O88</f>
        <v>302.12273200606688</v>
      </c>
      <c r="AI154" s="1046">
        <f>Consolidation!P88</f>
        <v>319.91401698300626</v>
      </c>
      <c r="AJ154" s="1046">
        <f>Consolidation!Q88</f>
        <v>325.468458174923</v>
      </c>
      <c r="AK154" s="1046">
        <f>Consolidation!R88</f>
        <v>342.81725952249258</v>
      </c>
      <c r="AL154" s="1046">
        <f>Consolidation!S88</f>
        <v>347.77282386819508</v>
      </c>
      <c r="AM154" s="1046">
        <f>Consolidation!T88</f>
        <v>366.41213083310117</v>
      </c>
      <c r="AN154" s="1046">
        <f>Consolidation!U88</f>
        <v>386.11284697475224</v>
      </c>
      <c r="AO154" s="154"/>
      <c r="AP154" s="154"/>
      <c r="AQ154" s="154"/>
      <c r="AR154" s="154"/>
      <c r="AS154" s="154"/>
      <c r="AT154" s="154"/>
      <c r="AU154" s="154"/>
      <c r="AV154" s="154"/>
      <c r="AW154" s="154"/>
      <c r="AX154" s="154"/>
      <c r="AY154" s="154"/>
    </row>
    <row r="155" spans="1:51">
      <c r="A155" s="154"/>
      <c r="B155" s="1025"/>
      <c r="C155" s="1027"/>
      <c r="D155" s="1027"/>
      <c r="E155" s="1032"/>
      <c r="F155" s="1032"/>
      <c r="G155" s="1032"/>
      <c r="H155" s="1032"/>
      <c r="I155" s="1032"/>
      <c r="J155" s="1032"/>
      <c r="K155" s="1032"/>
      <c r="L155" s="1032"/>
      <c r="M155" s="1032"/>
      <c r="N155" s="1032"/>
      <c r="O155" s="1027"/>
      <c r="P155" s="1027"/>
      <c r="Q155" s="1027"/>
      <c r="R155" s="1027"/>
      <c r="S155" s="1027"/>
      <c r="T155" s="1027"/>
      <c r="U155" s="1027"/>
      <c r="V155" s="1027"/>
      <c r="W155" s="1027"/>
      <c r="X155" s="1027"/>
      <c r="Y155" s="1027"/>
      <c r="Z155" s="1027"/>
      <c r="AA155" s="1027"/>
      <c r="AB155" s="1027"/>
      <c r="AC155" s="1027"/>
      <c r="AD155" s="1027"/>
      <c r="AE155" s="1027"/>
      <c r="AF155" s="1027"/>
      <c r="AG155" s="1027"/>
      <c r="AH155" s="1027"/>
      <c r="AI155" s="1027"/>
      <c r="AJ155" s="1027"/>
      <c r="AK155" s="1027"/>
      <c r="AL155" s="1027"/>
      <c r="AM155" s="1027"/>
      <c r="AN155" s="1027"/>
      <c r="AO155" s="154"/>
      <c r="AP155" s="154"/>
      <c r="AQ155" s="154"/>
      <c r="AR155" s="154"/>
      <c r="AS155" s="154"/>
      <c r="AT155" s="154"/>
      <c r="AU155" s="154"/>
      <c r="AV155" s="154"/>
      <c r="AW155" s="154"/>
      <c r="AX155" s="154"/>
      <c r="AY155" s="154"/>
    </row>
    <row r="156" spans="1:51">
      <c r="A156" s="154"/>
      <c r="B156" s="1038" t="s">
        <v>316</v>
      </c>
      <c r="C156" s="1027"/>
      <c r="D156" s="1027"/>
      <c r="E156" s="1032"/>
      <c r="F156" s="1032"/>
      <c r="G156" s="1032"/>
      <c r="H156" s="1032"/>
      <c r="I156" s="1032"/>
      <c r="J156" s="1032"/>
      <c r="K156" s="1032"/>
      <c r="L156" s="1032"/>
      <c r="M156" s="1032"/>
      <c r="N156" s="1032"/>
      <c r="O156" s="1027"/>
      <c r="P156" s="1027"/>
      <c r="Q156" s="1027"/>
      <c r="R156" s="1027"/>
      <c r="S156" s="1027"/>
      <c r="T156" s="1027"/>
      <c r="U156" s="1027"/>
      <c r="V156" s="1027"/>
      <c r="W156" s="1027"/>
      <c r="X156" s="1027"/>
      <c r="Y156" s="1027"/>
      <c r="Z156" s="1027"/>
      <c r="AA156" s="1027"/>
      <c r="AB156" s="1027"/>
      <c r="AC156" s="1027"/>
      <c r="AD156" s="1027"/>
      <c r="AE156" s="1027"/>
      <c r="AF156" s="1027"/>
      <c r="AG156" s="1027"/>
      <c r="AH156" s="1027"/>
      <c r="AI156" s="1027"/>
      <c r="AJ156" s="1027"/>
      <c r="AK156" s="1027"/>
      <c r="AL156" s="1027"/>
      <c r="AM156" s="1027"/>
      <c r="AN156" s="1027"/>
      <c r="AO156" s="154"/>
      <c r="AP156" s="154"/>
      <c r="AQ156" s="154"/>
      <c r="AR156" s="154"/>
      <c r="AS156" s="154"/>
      <c r="AT156" s="154"/>
      <c r="AU156" s="154"/>
      <c r="AV156" s="154"/>
      <c r="AW156" s="154"/>
      <c r="AX156" s="154"/>
      <c r="AY156" s="154"/>
    </row>
    <row r="157" spans="1:51">
      <c r="A157" s="154"/>
      <c r="B157" s="1022" t="s">
        <v>203</v>
      </c>
      <c r="C157" s="1027"/>
      <c r="D157" s="1027"/>
      <c r="E157" s="1032"/>
      <c r="F157" s="1032"/>
      <c r="G157" s="1032"/>
      <c r="H157" s="1032"/>
      <c r="I157" s="1032"/>
      <c r="J157" s="1032"/>
      <c r="K157" s="1032"/>
      <c r="L157" s="1032"/>
      <c r="M157" s="1032"/>
      <c r="N157" s="1032"/>
      <c r="O157" s="1027"/>
      <c r="P157" s="1027"/>
      <c r="Q157" s="1027"/>
      <c r="R157" s="1027"/>
      <c r="S157" s="1027"/>
      <c r="T157" s="1027"/>
      <c r="U157" s="1027"/>
      <c r="V157" s="1040"/>
      <c r="W157" s="1040"/>
      <c r="X157" s="1040"/>
      <c r="Y157" s="1040">
        <f>Consolidation!F95</f>
        <v>168.035</v>
      </c>
      <c r="Z157" s="1040">
        <f>Consolidation!G95</f>
        <v>299.68299999999999</v>
      </c>
      <c r="AA157" s="1040">
        <f>Consolidation!H95</f>
        <v>404.62799999999999</v>
      </c>
      <c r="AB157" s="1040">
        <f>Consolidation!I95</f>
        <v>316.221</v>
      </c>
      <c r="AC157" s="1040">
        <f>Consolidation!J95</f>
        <v>90.912999999999997</v>
      </c>
      <c r="AD157" s="1040">
        <f>Consolidation!K95</f>
        <v>0</v>
      </c>
      <c r="AE157" s="1040">
        <f>Consolidation!L95</f>
        <v>0</v>
      </c>
      <c r="AF157" s="1040">
        <f>Consolidation!M95</f>
        <v>0</v>
      </c>
      <c r="AG157" s="1040">
        <f>Consolidation!N95</f>
        <v>0</v>
      </c>
      <c r="AH157" s="1040">
        <f>Consolidation!O95</f>
        <v>0</v>
      </c>
      <c r="AI157" s="1040">
        <f>Consolidation!P95</f>
        <v>0</v>
      </c>
      <c r="AJ157" s="1040">
        <f>Consolidation!Q95</f>
        <v>0</v>
      </c>
      <c r="AK157" s="1040">
        <f>Consolidation!R95</f>
        <v>0</v>
      </c>
      <c r="AL157" s="1040">
        <f>Consolidation!S95</f>
        <v>0</v>
      </c>
      <c r="AM157" s="1040">
        <f>Consolidation!T95</f>
        <v>0</v>
      </c>
      <c r="AN157" s="1040">
        <f>Consolidation!U95</f>
        <v>0</v>
      </c>
      <c r="AO157" s="154"/>
      <c r="AP157" s="154"/>
      <c r="AQ157" s="154"/>
      <c r="AR157" s="154"/>
      <c r="AS157" s="154"/>
      <c r="AT157" s="154"/>
      <c r="AU157" s="154"/>
      <c r="AV157" s="154"/>
      <c r="AW157" s="154"/>
      <c r="AX157" s="154"/>
      <c r="AY157" s="154"/>
    </row>
    <row r="158" spans="1:51">
      <c r="A158" s="154"/>
      <c r="B158" s="1022" t="s">
        <v>272</v>
      </c>
      <c r="C158" s="1027"/>
      <c r="D158" s="1027"/>
      <c r="E158" s="1047"/>
      <c r="F158" s="1047"/>
      <c r="G158" s="1047"/>
      <c r="H158" s="1047"/>
      <c r="I158" s="1047"/>
      <c r="J158" s="1047"/>
      <c r="K158" s="1047"/>
      <c r="L158" s="1047"/>
      <c r="M158" s="1047"/>
      <c r="N158" s="1047"/>
      <c r="O158" s="1027"/>
      <c r="P158" s="1027"/>
      <c r="Q158" s="1027"/>
      <c r="R158" s="1027"/>
      <c r="S158" s="1027"/>
      <c r="T158" s="1027"/>
      <c r="U158" s="1027"/>
      <c r="V158" s="1040"/>
      <c r="W158" s="1040"/>
      <c r="X158" s="1040"/>
      <c r="Y158" s="1040">
        <f>Consolidation!F96</f>
        <v>43.45</v>
      </c>
      <c r="Z158" s="1040">
        <f>Consolidation!G96</f>
        <v>42.319000000000003</v>
      </c>
      <c r="AA158" s="1040">
        <f>Consolidation!H96</f>
        <v>97.75</v>
      </c>
      <c r="AB158" s="1040">
        <f>Consolidation!I96</f>
        <v>73.769000000000005</v>
      </c>
      <c r="AC158" s="1040">
        <f>Consolidation!J96</f>
        <v>38.15</v>
      </c>
      <c r="AD158" s="1040">
        <f>Consolidation!K96</f>
        <v>0</v>
      </c>
      <c r="AE158" s="1040">
        <f>Consolidation!L96</f>
        <v>0</v>
      </c>
      <c r="AF158" s="1040">
        <f>Consolidation!M96</f>
        <v>0</v>
      </c>
      <c r="AG158" s="1040">
        <f>Consolidation!N96</f>
        <v>0</v>
      </c>
      <c r="AH158" s="1040">
        <f>Consolidation!O96</f>
        <v>0</v>
      </c>
      <c r="AI158" s="1040">
        <f>Consolidation!P96</f>
        <v>0</v>
      </c>
      <c r="AJ158" s="1040">
        <f>Consolidation!Q96</f>
        <v>0</v>
      </c>
      <c r="AK158" s="1040">
        <f>Consolidation!R96</f>
        <v>0</v>
      </c>
      <c r="AL158" s="1040">
        <f>Consolidation!S96</f>
        <v>0</v>
      </c>
      <c r="AM158" s="1040">
        <f>Consolidation!T96</f>
        <v>0</v>
      </c>
      <c r="AN158" s="1040">
        <f>Consolidation!U96</f>
        <v>0</v>
      </c>
      <c r="AO158" s="154"/>
      <c r="AP158" s="154"/>
      <c r="AQ158" s="154"/>
      <c r="AR158" s="154"/>
      <c r="AS158" s="154"/>
      <c r="AT158" s="154"/>
      <c r="AU158" s="154"/>
      <c r="AV158" s="154"/>
      <c r="AW158" s="154"/>
      <c r="AX158" s="154"/>
      <c r="AY158" s="154"/>
    </row>
    <row r="159" spans="1:51">
      <c r="A159" s="154"/>
      <c r="B159" s="1022" t="s">
        <v>160</v>
      </c>
      <c r="C159" s="1027"/>
      <c r="D159" s="1027"/>
      <c r="E159" s="1047"/>
      <c r="F159" s="1047"/>
      <c r="G159" s="1047"/>
      <c r="H159" s="1047"/>
      <c r="I159" s="1047"/>
      <c r="J159" s="1047"/>
      <c r="K159" s="1047"/>
      <c r="L159" s="1047"/>
      <c r="M159" s="1047"/>
      <c r="N159" s="1047"/>
      <c r="O159" s="1027"/>
      <c r="P159" s="1027"/>
      <c r="Q159" s="1027"/>
      <c r="R159" s="1027"/>
      <c r="S159" s="1027"/>
      <c r="T159" s="1027"/>
      <c r="U159" s="1027"/>
      <c r="V159" s="1040"/>
      <c r="W159" s="1040"/>
      <c r="X159" s="1040"/>
      <c r="Y159" s="1040">
        <f>Consolidation!F97</f>
        <v>14.022</v>
      </c>
      <c r="Z159" s="1040">
        <f>Consolidation!G97</f>
        <v>52.908000000000001</v>
      </c>
      <c r="AA159" s="1040">
        <f>Consolidation!H97</f>
        <v>121.158</v>
      </c>
      <c r="AB159" s="1040">
        <f>Consolidation!I97</f>
        <v>187.803</v>
      </c>
      <c r="AC159" s="1040">
        <f>Consolidation!J97</f>
        <v>123.145</v>
      </c>
      <c r="AD159" s="1040">
        <f>Consolidation!K97</f>
        <v>0</v>
      </c>
      <c r="AE159" s="1040">
        <f>Consolidation!L97</f>
        <v>0</v>
      </c>
      <c r="AF159" s="1040">
        <f>Consolidation!M97</f>
        <v>0</v>
      </c>
      <c r="AG159" s="1040">
        <f>Consolidation!N97</f>
        <v>0</v>
      </c>
      <c r="AH159" s="1040">
        <f>Consolidation!O97</f>
        <v>0</v>
      </c>
      <c r="AI159" s="1040">
        <f>Consolidation!P97</f>
        <v>0</v>
      </c>
      <c r="AJ159" s="1040">
        <f>Consolidation!Q97</f>
        <v>0</v>
      </c>
      <c r="AK159" s="1040">
        <f>Consolidation!R97</f>
        <v>0</v>
      </c>
      <c r="AL159" s="1040">
        <f>Consolidation!S97</f>
        <v>0</v>
      </c>
      <c r="AM159" s="1040">
        <f>Consolidation!T97</f>
        <v>0</v>
      </c>
      <c r="AN159" s="1040">
        <f>Consolidation!U97</f>
        <v>0</v>
      </c>
      <c r="AO159" s="154"/>
      <c r="AP159" s="154"/>
      <c r="AQ159" s="154"/>
      <c r="AR159" s="154"/>
      <c r="AS159" s="154"/>
      <c r="AT159" s="154"/>
      <c r="AU159" s="154"/>
      <c r="AV159" s="154"/>
      <c r="AW159" s="154"/>
      <c r="AX159" s="154"/>
      <c r="AY159" s="154"/>
    </row>
    <row r="160" spans="1:51">
      <c r="A160" s="154"/>
      <c r="B160" s="1022" t="s">
        <v>273</v>
      </c>
      <c r="C160" s="1027"/>
      <c r="D160" s="1027"/>
      <c r="E160" s="1047"/>
      <c r="F160" s="1047"/>
      <c r="G160" s="1047"/>
      <c r="H160" s="1047"/>
      <c r="I160" s="1047"/>
      <c r="J160" s="1047"/>
      <c r="K160" s="1047"/>
      <c r="L160" s="1047"/>
      <c r="M160" s="1047"/>
      <c r="N160" s="1047"/>
      <c r="O160" s="1027"/>
      <c r="P160" s="1027"/>
      <c r="Q160" s="1027"/>
      <c r="R160" s="1027"/>
      <c r="S160" s="1027"/>
      <c r="T160" s="1027"/>
      <c r="U160" s="1027"/>
      <c r="V160" s="1040"/>
      <c r="W160" s="1040"/>
      <c r="X160" s="1040"/>
      <c r="Y160" s="1040">
        <f>Consolidation!F98</f>
        <v>0.89100000000000001</v>
      </c>
      <c r="Z160" s="1040">
        <f>Consolidation!G98</f>
        <v>5.9660000000000002</v>
      </c>
      <c r="AA160" s="1040">
        <f>Consolidation!H98</f>
        <v>6.9740000000000002</v>
      </c>
      <c r="AB160" s="1040">
        <f>Consolidation!I98</f>
        <v>5.8550000000000004</v>
      </c>
      <c r="AC160" s="1040">
        <f>Consolidation!J98</f>
        <v>1.375</v>
      </c>
      <c r="AD160" s="1040">
        <f>Consolidation!K98</f>
        <v>0</v>
      </c>
      <c r="AE160" s="1040">
        <f>Consolidation!L98</f>
        <v>0</v>
      </c>
      <c r="AF160" s="1040">
        <f>Consolidation!M98</f>
        <v>0</v>
      </c>
      <c r="AG160" s="1040">
        <f>Consolidation!N98</f>
        <v>0</v>
      </c>
      <c r="AH160" s="1040">
        <f>Consolidation!O98</f>
        <v>0</v>
      </c>
      <c r="AI160" s="1040">
        <f>Consolidation!P98</f>
        <v>0</v>
      </c>
      <c r="AJ160" s="1040">
        <f>Consolidation!Q98</f>
        <v>0</v>
      </c>
      <c r="AK160" s="1040">
        <f>Consolidation!R98</f>
        <v>0</v>
      </c>
      <c r="AL160" s="1040">
        <f>Consolidation!S98</f>
        <v>0</v>
      </c>
      <c r="AM160" s="1040">
        <f>Consolidation!T98</f>
        <v>0</v>
      </c>
      <c r="AN160" s="1040">
        <f>Consolidation!U98</f>
        <v>0</v>
      </c>
      <c r="AO160" s="154"/>
      <c r="AP160" s="154"/>
      <c r="AQ160" s="154"/>
      <c r="AR160" s="154"/>
      <c r="AS160" s="154"/>
      <c r="AT160" s="154"/>
      <c r="AU160" s="154"/>
      <c r="AV160" s="154"/>
      <c r="AW160" s="154"/>
      <c r="AX160" s="154"/>
      <c r="AY160" s="154"/>
    </row>
    <row r="161" spans="1:51">
      <c r="A161" s="154"/>
      <c r="B161" s="1022" t="s">
        <v>21</v>
      </c>
      <c r="C161" s="1027"/>
      <c r="D161" s="1027"/>
      <c r="E161" s="1047"/>
      <c r="F161" s="1047"/>
      <c r="G161" s="1047"/>
      <c r="H161" s="1047"/>
      <c r="I161" s="1047"/>
      <c r="J161" s="1047"/>
      <c r="K161" s="1047"/>
      <c r="L161" s="1047"/>
      <c r="M161" s="1047"/>
      <c r="N161" s="1047"/>
      <c r="O161" s="1027"/>
      <c r="P161" s="1027"/>
      <c r="Q161" s="1027"/>
      <c r="R161" s="1027"/>
      <c r="S161" s="1027"/>
      <c r="T161" s="1027"/>
      <c r="U161" s="1027"/>
      <c r="V161" s="1040"/>
      <c r="W161" s="1040"/>
      <c r="X161" s="1040"/>
      <c r="Y161" s="1040">
        <f>Consolidation!F99</f>
        <v>2.8010000000000002</v>
      </c>
      <c r="Z161" s="1040">
        <f>Consolidation!G99</f>
        <v>1.6</v>
      </c>
      <c r="AA161" s="1040">
        <f>Consolidation!H99</f>
        <v>2.96</v>
      </c>
      <c r="AB161" s="1040">
        <f>Consolidation!I99</f>
        <v>2.399</v>
      </c>
      <c r="AC161" s="1040">
        <f>Consolidation!J99</f>
        <v>2.2930000000000001</v>
      </c>
      <c r="AD161" s="1040">
        <f>Consolidation!K99</f>
        <v>0</v>
      </c>
      <c r="AE161" s="1040">
        <f>Consolidation!L99</f>
        <v>0</v>
      </c>
      <c r="AF161" s="1040">
        <f>Consolidation!M99</f>
        <v>0</v>
      </c>
      <c r="AG161" s="1040">
        <f>Consolidation!N99</f>
        <v>0</v>
      </c>
      <c r="AH161" s="1040">
        <f>Consolidation!O99</f>
        <v>0</v>
      </c>
      <c r="AI161" s="1040">
        <f>Consolidation!P99</f>
        <v>0</v>
      </c>
      <c r="AJ161" s="1040">
        <f>Consolidation!Q99</f>
        <v>0</v>
      </c>
      <c r="AK161" s="1040">
        <f>Consolidation!R99</f>
        <v>0</v>
      </c>
      <c r="AL161" s="1040">
        <f>Consolidation!S99</f>
        <v>0</v>
      </c>
      <c r="AM161" s="1040">
        <f>Consolidation!T99</f>
        <v>0</v>
      </c>
      <c r="AN161" s="1040">
        <f>Consolidation!U99</f>
        <v>0</v>
      </c>
      <c r="AO161" s="154"/>
      <c r="AP161" s="154"/>
      <c r="AQ161" s="154"/>
      <c r="AR161" s="154"/>
      <c r="AS161" s="154"/>
      <c r="AT161" s="154"/>
      <c r="AU161" s="154"/>
      <c r="AV161" s="154"/>
      <c r="AW161" s="154"/>
      <c r="AX161" s="154"/>
      <c r="AY161" s="154"/>
    </row>
    <row r="162" spans="1:51">
      <c r="A162" s="154"/>
      <c r="B162" s="1038" t="s">
        <v>210</v>
      </c>
      <c r="C162" s="1041"/>
      <c r="D162" s="1041"/>
      <c r="E162" s="1041"/>
      <c r="F162" s="1041"/>
      <c r="G162" s="1041"/>
      <c r="H162" s="1041"/>
      <c r="I162" s="1041"/>
      <c r="J162" s="1041"/>
      <c r="K162" s="1041"/>
      <c r="L162" s="1041"/>
      <c r="M162" s="1041"/>
      <c r="N162" s="1041"/>
      <c r="O162" s="1041"/>
      <c r="P162" s="1041"/>
      <c r="Q162" s="1041"/>
      <c r="R162" s="1041"/>
      <c r="S162" s="1041"/>
      <c r="T162" s="1041"/>
      <c r="U162" s="1041"/>
      <c r="V162" s="1041">
        <f>Consolidation!C88</f>
        <v>251</v>
      </c>
      <c r="W162" s="1041">
        <f>Consolidation!D88</f>
        <v>378</v>
      </c>
      <c r="X162" s="1041">
        <f>Consolidation!E88</f>
        <v>259</v>
      </c>
      <c r="Y162" s="1041">
        <f>Consolidation!F88</f>
        <v>229</v>
      </c>
      <c r="Z162" s="1041">
        <f>Consolidation!G88</f>
        <v>402</v>
      </c>
      <c r="AA162" s="1041">
        <f>Consolidation!H88</f>
        <v>634</v>
      </c>
      <c r="AB162" s="1041">
        <f>Consolidation!I88</f>
        <v>586</v>
      </c>
      <c r="AC162" s="1041">
        <f>Consolidation!J88</f>
        <v>257</v>
      </c>
      <c r="AD162" s="1041">
        <f>Consolidation!K88</f>
        <v>258.79166107797295</v>
      </c>
      <c r="AE162" s="1041">
        <f>Consolidation!L88</f>
        <v>269.40147831582021</v>
      </c>
      <c r="AF162" s="1041">
        <f>Consolidation!M88</f>
        <v>278.20707248888192</v>
      </c>
      <c r="AG162" s="1041">
        <f>Consolidation!N88</f>
        <v>295.05278547486472</v>
      </c>
      <c r="AH162" s="1041">
        <f>Consolidation!O88</f>
        <v>302.12273200606688</v>
      </c>
      <c r="AI162" s="1041">
        <f>Consolidation!P88</f>
        <v>319.91401698300626</v>
      </c>
      <c r="AJ162" s="1041">
        <f>Consolidation!Q88</f>
        <v>325.468458174923</v>
      </c>
      <c r="AK162" s="1041">
        <f>Consolidation!R88</f>
        <v>342.81725952249258</v>
      </c>
      <c r="AL162" s="1041">
        <f>Consolidation!S88</f>
        <v>347.77282386819508</v>
      </c>
      <c r="AM162" s="1041">
        <f>Consolidation!T88</f>
        <v>366.41213083310117</v>
      </c>
      <c r="AN162" s="1041">
        <f>Consolidation!U88</f>
        <v>386.11284697475224</v>
      </c>
      <c r="AO162" s="154"/>
      <c r="AP162" s="154"/>
      <c r="AQ162" s="154"/>
      <c r="AR162" s="154"/>
      <c r="AS162" s="154"/>
      <c r="AT162" s="154"/>
      <c r="AU162" s="154"/>
      <c r="AV162" s="154"/>
      <c r="AW162" s="154"/>
      <c r="AX162" s="154"/>
      <c r="AY162" s="154"/>
    </row>
    <row r="163" spans="1:51">
      <c r="A163" s="154"/>
      <c r="B163" s="1025"/>
      <c r="C163" s="1027"/>
      <c r="D163" s="1027"/>
      <c r="E163" s="1047"/>
      <c r="F163" s="1047"/>
      <c r="G163" s="1047"/>
      <c r="H163" s="1047"/>
      <c r="I163" s="1047"/>
      <c r="J163" s="1047"/>
      <c r="K163" s="1047"/>
      <c r="L163" s="1047"/>
      <c r="M163" s="1047"/>
      <c r="N163" s="1047"/>
      <c r="O163" s="1027"/>
      <c r="P163" s="1027"/>
      <c r="Q163" s="1027"/>
      <c r="R163" s="1027"/>
      <c r="S163" s="1027"/>
      <c r="T163" s="1027"/>
      <c r="U163" s="1027"/>
      <c r="V163" s="1027"/>
      <c r="W163" s="1027"/>
      <c r="X163" s="1027"/>
      <c r="Y163" s="1023"/>
      <c r="Z163" s="1023"/>
      <c r="AA163" s="1023"/>
      <c r="AB163" s="1027"/>
      <c r="AC163" s="1027"/>
      <c r="AD163" s="1027"/>
      <c r="AE163" s="1027"/>
      <c r="AF163" s="1027"/>
      <c r="AG163" s="1027"/>
      <c r="AH163" s="1027"/>
      <c r="AI163" s="1027"/>
      <c r="AJ163" s="1027"/>
      <c r="AK163" s="1027"/>
      <c r="AL163" s="1027"/>
      <c r="AM163" s="1027"/>
      <c r="AN163" s="1027"/>
      <c r="AO163" s="154"/>
      <c r="AP163" s="154"/>
      <c r="AQ163" s="154"/>
      <c r="AR163" s="154"/>
      <c r="AS163" s="154"/>
      <c r="AT163" s="154"/>
      <c r="AU163" s="154"/>
      <c r="AV163" s="154"/>
      <c r="AW163" s="154"/>
      <c r="AX163" s="154"/>
      <c r="AY163" s="154"/>
    </row>
    <row r="164" spans="1:51">
      <c r="A164" s="154"/>
      <c r="B164" s="1048"/>
      <c r="C164" s="1039"/>
      <c r="D164" s="1039"/>
      <c r="E164" s="1047"/>
      <c r="F164" s="1047"/>
      <c r="G164" s="1047"/>
      <c r="H164" s="1047"/>
      <c r="I164" s="1047"/>
      <c r="J164" s="1047"/>
      <c r="K164" s="1047"/>
      <c r="L164" s="1047"/>
      <c r="M164" s="1047"/>
      <c r="N164" s="1047"/>
      <c r="O164" s="1027"/>
      <c r="P164" s="1027"/>
      <c r="Q164" s="1027"/>
      <c r="R164" s="1027"/>
      <c r="S164" s="1027"/>
      <c r="T164" s="1027"/>
      <c r="U164" s="1027"/>
      <c r="V164" s="1027"/>
      <c r="W164" s="1027"/>
      <c r="X164" s="1027"/>
      <c r="Y164" s="1027"/>
      <c r="Z164" s="1027"/>
      <c r="AA164" s="1027"/>
      <c r="AB164" s="1027"/>
      <c r="AC164" s="1027"/>
      <c r="AD164" s="1027"/>
      <c r="AE164" s="1027"/>
      <c r="AF164" s="1027"/>
      <c r="AG164" s="1027"/>
      <c r="AH164" s="1027"/>
      <c r="AI164" s="1027"/>
      <c r="AJ164" s="1027"/>
      <c r="AK164" s="1027"/>
      <c r="AL164" s="1027"/>
      <c r="AM164" s="1027"/>
      <c r="AN164" s="1027"/>
      <c r="AO164" s="154"/>
      <c r="AP164" s="154"/>
      <c r="AQ164" s="154"/>
      <c r="AR164" s="154"/>
      <c r="AS164" s="154"/>
      <c r="AT164" s="154"/>
      <c r="AU164" s="154"/>
      <c r="AV164" s="154"/>
      <c r="AW164" s="154"/>
      <c r="AX164" s="154"/>
      <c r="AY164" s="154"/>
    </row>
    <row r="165" spans="1:51">
      <c r="A165" s="154"/>
      <c r="B165" s="1025"/>
      <c r="C165" s="1027"/>
      <c r="D165" s="1027"/>
      <c r="E165" s="1047"/>
      <c r="F165" s="1047"/>
      <c r="G165" s="1047"/>
      <c r="H165" s="1047"/>
      <c r="I165" s="1047"/>
      <c r="J165" s="1047"/>
      <c r="K165" s="1047"/>
      <c r="L165" s="1047"/>
      <c r="M165" s="1047"/>
      <c r="N165" s="1047"/>
      <c r="O165" s="1027"/>
      <c r="P165" s="1027"/>
      <c r="Q165" s="1027"/>
      <c r="R165" s="1027"/>
      <c r="S165" s="1027"/>
      <c r="T165" s="1027"/>
      <c r="U165" s="1027"/>
      <c r="V165" s="1027"/>
      <c r="W165" s="1027"/>
      <c r="X165" s="1027"/>
      <c r="Y165" s="1027"/>
      <c r="Z165" s="1027"/>
      <c r="AA165" s="1027"/>
      <c r="AB165" s="1027"/>
      <c r="AC165" s="1027"/>
      <c r="AD165" s="1027"/>
      <c r="AE165" s="1027"/>
      <c r="AF165" s="1027"/>
      <c r="AG165" s="1027"/>
      <c r="AH165" s="1027"/>
      <c r="AI165" s="1027"/>
      <c r="AJ165" s="1027"/>
      <c r="AK165" s="1027"/>
      <c r="AL165" s="1027"/>
      <c r="AM165" s="1027"/>
      <c r="AN165" s="1027"/>
      <c r="AO165" s="154"/>
      <c r="AP165" s="154"/>
      <c r="AQ165" s="154"/>
      <c r="AR165" s="154"/>
      <c r="AS165" s="154"/>
      <c r="AT165" s="154"/>
      <c r="AU165" s="154"/>
      <c r="AV165" s="154"/>
      <c r="AW165" s="154"/>
      <c r="AX165" s="154"/>
      <c r="AY165" s="154"/>
    </row>
    <row r="166" spans="1:51">
      <c r="A166" s="154"/>
      <c r="B166" s="1025" t="s">
        <v>325</v>
      </c>
      <c r="C166" s="1027"/>
      <c r="D166" s="1027"/>
      <c r="E166" s="1047"/>
      <c r="F166" s="1047"/>
      <c r="G166" s="1047"/>
      <c r="H166" s="1047"/>
      <c r="I166" s="1047"/>
      <c r="J166" s="1047"/>
      <c r="K166" s="1047"/>
      <c r="L166" s="1047"/>
      <c r="M166" s="1047"/>
      <c r="N166" s="1047"/>
      <c r="O166" s="1027"/>
      <c r="P166" s="1027"/>
      <c r="Q166" s="1027"/>
      <c r="R166" s="1027"/>
      <c r="S166" s="1027"/>
      <c r="T166" s="1027"/>
      <c r="U166" s="1027"/>
      <c r="V166" s="1027"/>
      <c r="W166" s="1027"/>
      <c r="X166" s="1040">
        <f>Valuation!C65</f>
        <v>0</v>
      </c>
      <c r="Y166" s="1040">
        <f>Valuation!D65</f>
        <v>3775.11168</v>
      </c>
      <c r="Z166" s="1040">
        <f>Valuation!E65</f>
        <v>3849.9206800000002</v>
      </c>
      <c r="AA166" s="1040">
        <f>Valuation!F65</f>
        <v>5051.0857299999998</v>
      </c>
      <c r="AB166" s="1040">
        <f>Valuation!G65</f>
        <v>5452.6349600000003</v>
      </c>
      <c r="AC166" s="1040">
        <f>Valuation!H65</f>
        <v>5004.8457300000009</v>
      </c>
      <c r="AD166" s="1040">
        <f>Valuation!I65</f>
        <v>4681.4693799481229</v>
      </c>
      <c r="AE166" s="1040">
        <f>Valuation!J65</f>
        <v>4435.7888835434414</v>
      </c>
      <c r="AF166" s="1040">
        <f>Valuation!K65</f>
        <v>4164.857430889956</v>
      </c>
      <c r="AG166" s="1040">
        <f>Valuation!L65</f>
        <v>3881.3084759221538</v>
      </c>
      <c r="AH166" s="1040">
        <f>Valuation!M65</f>
        <v>3548.4967082590574</v>
      </c>
      <c r="AI166" s="1040">
        <f>Valuation!N65</f>
        <v>3174.2299515837294</v>
      </c>
      <c r="AJ166" s="1040">
        <f>Valuation!O65</f>
        <v>2742.0933417459783</v>
      </c>
      <c r="AK166" s="1040">
        <f>Valuation!P65</f>
        <v>2272.4695595560997</v>
      </c>
      <c r="AL166" s="1040">
        <f>Valuation!Q65</f>
        <v>1738.0229112782724</v>
      </c>
      <c r="AM166" s="1040">
        <f>Valuation!R65</f>
        <v>1147.6936099678182</v>
      </c>
      <c r="AN166" s="1040">
        <f>Valuation!S65</f>
        <v>512.08159355467023</v>
      </c>
      <c r="AO166" s="154"/>
      <c r="AP166" s="154"/>
      <c r="AQ166" s="154"/>
      <c r="AR166" s="154"/>
      <c r="AS166" s="154"/>
      <c r="AT166" s="154"/>
      <c r="AU166" s="154"/>
      <c r="AV166" s="154"/>
      <c r="AW166" s="154"/>
      <c r="AX166" s="154"/>
      <c r="AY166" s="154"/>
    </row>
    <row r="167" spans="1:51">
      <c r="A167" s="154"/>
      <c r="B167" s="1025" t="s">
        <v>1052</v>
      </c>
      <c r="C167" s="1027"/>
      <c r="D167" s="1027"/>
      <c r="E167" s="1047"/>
      <c r="F167" s="1047"/>
      <c r="G167" s="1047"/>
      <c r="H167" s="1047"/>
      <c r="I167" s="1047"/>
      <c r="J167" s="1047"/>
      <c r="K167" s="1047"/>
      <c r="L167" s="1047"/>
      <c r="M167" s="1047"/>
      <c r="N167" s="1047"/>
      <c r="O167" s="1027"/>
      <c r="P167" s="1027"/>
      <c r="Q167" s="1027"/>
      <c r="R167" s="1027"/>
      <c r="S167" s="1027"/>
      <c r="T167" s="1027"/>
      <c r="U167" s="1027"/>
      <c r="V167" s="1027"/>
      <c r="W167" s="1027"/>
      <c r="X167" s="1040">
        <f>Valuation!C61</f>
        <v>0</v>
      </c>
      <c r="Y167" s="1040">
        <f>Valuation!D61</f>
        <v>1617.7930000000001</v>
      </c>
      <c r="Z167" s="1040">
        <f>Valuation!E61</f>
        <v>1692.6020000000003</v>
      </c>
      <c r="AA167" s="1040">
        <f>Valuation!F61</f>
        <v>2830.3239999999996</v>
      </c>
      <c r="AB167" s="1040">
        <f>Valuation!G61</f>
        <v>3217.0240000000003</v>
      </c>
      <c r="AC167" s="1040">
        <f>Valuation!H61</f>
        <v>2769.9930000000004</v>
      </c>
      <c r="AD167" s="1040">
        <f>Valuation!I61</f>
        <v>2489.9069725287682</v>
      </c>
      <c r="AE167" s="1040">
        <f>Valuation!J61</f>
        <v>2356.1710740143267</v>
      </c>
      <c r="AF167" s="1040">
        <f>Valuation!K61</f>
        <v>2226.7627204416794</v>
      </c>
      <c r="AG167" s="1040">
        <f>Valuation!L61</f>
        <v>2121.7720527522024</v>
      </c>
      <c r="AH167" s="1040">
        <f>Valuation!M61</f>
        <v>2000.1922416946804</v>
      </c>
      <c r="AI167" s="1040">
        <f>Valuation!N61</f>
        <v>1872.3462652914618</v>
      </c>
      <c r="AJ167" s="1040">
        <f>Valuation!O61</f>
        <v>1723.5057034721121</v>
      </c>
      <c r="AK167" s="1040">
        <f>Valuation!P61</f>
        <v>1574.219084995794</v>
      </c>
      <c r="AL167" s="1040">
        <f>Valuation!Q61</f>
        <v>1398.4426184809051</v>
      </c>
      <c r="AM167" s="1040">
        <f>Valuation!R61</f>
        <v>1207.1863981690822</v>
      </c>
      <c r="AN167" s="1040">
        <f>Valuation!S61</f>
        <v>1013.5078314589555</v>
      </c>
      <c r="AO167" s="154"/>
      <c r="AP167" s="154"/>
      <c r="AQ167" s="154"/>
      <c r="AR167" s="154"/>
      <c r="AS167" s="154"/>
      <c r="AT167" s="154"/>
      <c r="AU167" s="154"/>
      <c r="AV167" s="154"/>
      <c r="AW167" s="154"/>
      <c r="AX167" s="154"/>
      <c r="AY167" s="154"/>
    </row>
    <row r="168" spans="1:51">
      <c r="A168" s="154"/>
      <c r="B168" s="1025" t="s">
        <v>640</v>
      </c>
      <c r="C168" s="1027"/>
      <c r="D168" s="1027"/>
      <c r="E168" s="1047"/>
      <c r="F168" s="1047"/>
      <c r="G168" s="1047"/>
      <c r="H168" s="1047"/>
      <c r="I168" s="1047"/>
      <c r="J168" s="1047"/>
      <c r="K168" s="1047"/>
      <c r="L168" s="1047"/>
      <c r="M168" s="1047"/>
      <c r="N168" s="1047"/>
      <c r="O168" s="1027"/>
      <c r="P168" s="1027"/>
      <c r="Q168" s="1027"/>
      <c r="R168" s="1027"/>
      <c r="S168" s="1027"/>
      <c r="T168" s="1027"/>
      <c r="U168" s="1027"/>
      <c r="V168" s="1027"/>
      <c r="W168" s="1027"/>
      <c r="X168" s="1040">
        <f>Valuation!C17</f>
        <v>614.45999999999992</v>
      </c>
      <c r="Y168" s="1040">
        <f>Valuation!D17</f>
        <v>737.54100000000005</v>
      </c>
      <c r="Z168" s="1040">
        <f>Valuation!E17</f>
        <v>832.88499999999999</v>
      </c>
      <c r="AA168" s="1040">
        <f>Valuation!F17</f>
        <v>890.53700000000003</v>
      </c>
      <c r="AB168" s="1040">
        <f>Valuation!G17</f>
        <v>975.02300000000014</v>
      </c>
      <c r="AC168" s="1040">
        <f>Valuation!H17</f>
        <v>764.93999999999994</v>
      </c>
      <c r="AD168" s="1040">
        <f>Valuation!I17</f>
        <v>836.59517499308117</v>
      </c>
      <c r="AE168" s="1040">
        <f>Valuation!J17</f>
        <v>880.14741391778989</v>
      </c>
      <c r="AF168" s="1040">
        <f>Valuation!K17</f>
        <v>957.18085853292189</v>
      </c>
      <c r="AG168" s="1040">
        <f>Valuation!L17</f>
        <v>1027.0208931125928</v>
      </c>
      <c r="AH168" s="1040">
        <f>Valuation!M17</f>
        <v>1101.7908477974538</v>
      </c>
      <c r="AI168" s="1040">
        <f>Valuation!N17</f>
        <v>1179.4061105671699</v>
      </c>
      <c r="AJ168" s="1040">
        <f>Valuation!O17</f>
        <v>1256.3448228734887</v>
      </c>
      <c r="AK168" s="1040">
        <f>Valuation!P17</f>
        <v>1335.3519816092435</v>
      </c>
      <c r="AL168" s="1040">
        <f>Valuation!Q17</f>
        <v>1419.5753426760034</v>
      </c>
      <c r="AM168" s="1040">
        <f>Valuation!R17</f>
        <v>1509.2933390024261</v>
      </c>
      <c r="AN168" s="1040">
        <f>Valuation!S17</f>
        <v>1604.9681982030379</v>
      </c>
      <c r="AO168" s="154"/>
      <c r="AP168" s="154"/>
      <c r="AQ168" s="154"/>
      <c r="AR168" s="154"/>
      <c r="AS168" s="154"/>
      <c r="AT168" s="154"/>
      <c r="AU168" s="154"/>
      <c r="AV168" s="154"/>
      <c r="AW168" s="154"/>
      <c r="AX168" s="154"/>
      <c r="AY168" s="154"/>
    </row>
    <row r="169" spans="1:51">
      <c r="A169" s="154"/>
      <c r="B169" s="1025" t="s">
        <v>1053</v>
      </c>
      <c r="C169" s="1027"/>
      <c r="D169" s="1027"/>
      <c r="E169" s="1047"/>
      <c r="F169" s="1047"/>
      <c r="G169" s="1047"/>
      <c r="H169" s="1047"/>
      <c r="I169" s="1047"/>
      <c r="J169" s="1047"/>
      <c r="K169" s="1047"/>
      <c r="L169" s="1047"/>
      <c r="M169" s="1047"/>
      <c r="N169" s="1047"/>
      <c r="O169" s="1027"/>
      <c r="P169" s="1027"/>
      <c r="Q169" s="1027"/>
      <c r="R169" s="1027"/>
      <c r="S169" s="1027"/>
      <c r="T169" s="1027"/>
      <c r="U169" s="1027"/>
      <c r="V169" s="1027"/>
      <c r="W169" s="1027"/>
      <c r="X169" s="1040">
        <f>Valuation!C19</f>
        <v>355.45999999999992</v>
      </c>
      <c r="Y169" s="1040">
        <f>Valuation!D19</f>
        <v>508.54100000000005</v>
      </c>
      <c r="Z169" s="1040">
        <f>Valuation!E19</f>
        <v>430.88499999999999</v>
      </c>
      <c r="AA169" s="1040">
        <f>Valuation!F19</f>
        <v>256.53700000000003</v>
      </c>
      <c r="AB169" s="1040">
        <f>Valuation!G19</f>
        <v>389.02300000000014</v>
      </c>
      <c r="AC169" s="1040">
        <f>Valuation!H19</f>
        <v>507.93999999999994</v>
      </c>
      <c r="AD169" s="1040">
        <f>Valuation!I19</f>
        <v>577.80351391510817</v>
      </c>
      <c r="AE169" s="1040">
        <f>Valuation!J19</f>
        <v>610.74593560196968</v>
      </c>
      <c r="AF169" s="1040">
        <f>Valuation!K19</f>
        <v>678.97378604404003</v>
      </c>
      <c r="AG169" s="1040">
        <f>Valuation!L19</f>
        <v>731.96810763772805</v>
      </c>
      <c r="AH169" s="1040">
        <f>Valuation!M19</f>
        <v>799.66811579138698</v>
      </c>
      <c r="AI169" s="1040">
        <f>Valuation!N19</f>
        <v>859.49209358416363</v>
      </c>
      <c r="AJ169" s="1040">
        <f>Valuation!O19</f>
        <v>930.87636469856579</v>
      </c>
      <c r="AK169" s="1040">
        <f>Valuation!P19</f>
        <v>992.53472208675089</v>
      </c>
      <c r="AL169" s="1040">
        <f>Valuation!Q19</f>
        <v>1071.8025188078084</v>
      </c>
      <c r="AM169" s="1040">
        <f>Valuation!R19</f>
        <v>1142.881208169325</v>
      </c>
      <c r="AN169" s="1040">
        <f>Valuation!S19</f>
        <v>1218.8553512282856</v>
      </c>
      <c r="AO169" s="154"/>
      <c r="AP169" s="154"/>
      <c r="AQ169" s="154"/>
      <c r="AR169" s="154"/>
      <c r="AS169" s="154"/>
      <c r="AT169" s="154"/>
      <c r="AU169" s="154"/>
      <c r="AV169" s="154"/>
      <c r="AW169" s="154"/>
      <c r="AX169" s="154"/>
      <c r="AY169" s="154"/>
    </row>
    <row r="170" spans="1:51">
      <c r="A170" s="154"/>
      <c r="B170" s="1025" t="s">
        <v>1054</v>
      </c>
      <c r="C170" s="1027"/>
      <c r="D170" s="1027"/>
      <c r="E170" s="1049"/>
      <c r="F170" s="1049"/>
      <c r="G170" s="1049"/>
      <c r="H170" s="1049"/>
      <c r="I170" s="1049"/>
      <c r="J170" s="1049"/>
      <c r="K170" s="1049"/>
      <c r="L170" s="1049"/>
      <c r="M170" s="1049"/>
      <c r="N170" s="1049"/>
      <c r="O170" s="1027"/>
      <c r="P170" s="1027"/>
      <c r="Q170" s="1027"/>
      <c r="R170" s="1027"/>
      <c r="S170" s="1027"/>
      <c r="T170" s="1027"/>
      <c r="U170" s="1027"/>
      <c r="V170" s="1027"/>
      <c r="W170" s="1027"/>
      <c r="X170" s="1050">
        <f>X169*(1-30%)</f>
        <v>248.82199999999992</v>
      </c>
      <c r="Y170" s="1050">
        <f t="shared" ref="Y170:AI170" si="8">Y169*(1-30%)</f>
        <v>355.9787</v>
      </c>
      <c r="Z170" s="1050">
        <f t="shared" si="8"/>
        <v>301.61949999999996</v>
      </c>
      <c r="AA170" s="1050">
        <f t="shared" si="8"/>
        <v>179.57590000000002</v>
      </c>
      <c r="AB170" s="1050">
        <f t="shared" si="8"/>
        <v>272.31610000000006</v>
      </c>
      <c r="AC170" s="1050">
        <f t="shared" si="8"/>
        <v>355.55799999999994</v>
      </c>
      <c r="AD170" s="1050">
        <f t="shared" si="8"/>
        <v>404.4624597405757</v>
      </c>
      <c r="AE170" s="1050">
        <f t="shared" si="8"/>
        <v>427.52215492137873</v>
      </c>
      <c r="AF170" s="1050">
        <f t="shared" si="8"/>
        <v>475.28165023082801</v>
      </c>
      <c r="AG170" s="1050">
        <f t="shared" si="8"/>
        <v>512.37767534640966</v>
      </c>
      <c r="AH170" s="1050">
        <f t="shared" si="8"/>
        <v>559.76768105397082</v>
      </c>
      <c r="AI170" s="1050">
        <f t="shared" si="8"/>
        <v>601.64446550891455</v>
      </c>
      <c r="AJ170" s="1050">
        <f t="shared" ref="AJ170:AN170" si="9">AJ169*(1-30%)</f>
        <v>651.61345528899597</v>
      </c>
      <c r="AK170" s="1050">
        <f t="shared" si="9"/>
        <v>694.7743054607256</v>
      </c>
      <c r="AL170" s="1050">
        <f t="shared" si="9"/>
        <v>750.26176316546582</v>
      </c>
      <c r="AM170" s="1050">
        <f t="shared" si="9"/>
        <v>800.01684571852741</v>
      </c>
      <c r="AN170" s="1050">
        <f t="shared" si="9"/>
        <v>853.19874585979983</v>
      </c>
      <c r="AO170" s="154"/>
      <c r="AP170" s="154"/>
      <c r="AQ170" s="154"/>
      <c r="AR170" s="154"/>
      <c r="AS170" s="154"/>
      <c r="AT170" s="154"/>
      <c r="AU170" s="154"/>
      <c r="AV170" s="154"/>
      <c r="AW170" s="154"/>
      <c r="AX170" s="154"/>
      <c r="AY170" s="154"/>
    </row>
    <row r="171" spans="1:51">
      <c r="A171" s="154"/>
      <c r="B171" s="1025"/>
      <c r="C171" s="1027"/>
      <c r="D171" s="1027"/>
      <c r="E171" s="1049"/>
      <c r="F171" s="1049"/>
      <c r="G171" s="1049"/>
      <c r="H171" s="1049"/>
      <c r="I171" s="1049"/>
      <c r="J171" s="1049"/>
      <c r="K171" s="1049"/>
      <c r="L171" s="1049"/>
      <c r="M171" s="1049"/>
      <c r="N171" s="1049"/>
      <c r="O171" s="1027"/>
      <c r="P171" s="1027"/>
      <c r="Q171" s="1027"/>
      <c r="R171" s="1027"/>
      <c r="S171" s="1027"/>
      <c r="T171" s="1027"/>
      <c r="U171" s="1027"/>
      <c r="V171" s="1027"/>
      <c r="W171" s="1027"/>
      <c r="X171" s="1027"/>
      <c r="Y171" s="1027"/>
      <c r="Z171" s="1027"/>
      <c r="AA171" s="1027"/>
      <c r="AB171" s="1027"/>
      <c r="AC171" s="1027"/>
      <c r="AD171" s="1027"/>
      <c r="AE171" s="1027"/>
      <c r="AF171" s="1027"/>
      <c r="AG171" s="1027"/>
      <c r="AH171" s="1027"/>
      <c r="AI171" s="1027"/>
      <c r="AJ171" s="1027"/>
      <c r="AK171" s="1027"/>
      <c r="AL171" s="1027"/>
      <c r="AM171" s="1027"/>
      <c r="AN171" s="1027"/>
      <c r="AO171" s="154"/>
      <c r="AP171" s="154"/>
      <c r="AQ171" s="154"/>
      <c r="AR171" s="154"/>
      <c r="AS171" s="154"/>
      <c r="AT171" s="154"/>
      <c r="AU171" s="154"/>
      <c r="AV171" s="154"/>
      <c r="AW171" s="154"/>
      <c r="AX171" s="154"/>
      <c r="AY171" s="154"/>
    </row>
    <row r="172" spans="1:51">
      <c r="A172" s="154"/>
      <c r="B172" s="1025"/>
      <c r="C172" s="1025"/>
      <c r="D172" s="1025"/>
      <c r="E172" s="1025"/>
      <c r="F172" s="1025"/>
      <c r="G172" s="1025"/>
      <c r="H172" s="1025"/>
      <c r="I172" s="1025"/>
      <c r="J172" s="1025"/>
      <c r="K172" s="1025"/>
      <c r="L172" s="1025"/>
      <c r="M172" s="1025"/>
      <c r="N172" s="1025"/>
      <c r="O172" s="1025"/>
      <c r="P172" s="1025"/>
      <c r="Q172" s="1025"/>
      <c r="R172" s="1025"/>
      <c r="S172" s="1025"/>
      <c r="T172" s="1025"/>
      <c r="U172" s="1025"/>
      <c r="V172" s="1025"/>
      <c r="W172" s="1025"/>
      <c r="X172" s="1025"/>
      <c r="Y172" s="1025"/>
      <c r="Z172" s="1025"/>
      <c r="AA172" s="1025"/>
      <c r="AB172" s="1025"/>
      <c r="AC172" s="1025"/>
      <c r="AD172" s="1025"/>
      <c r="AE172" s="1025"/>
      <c r="AF172" s="1025"/>
      <c r="AG172" s="1025"/>
      <c r="AH172" s="1025"/>
      <c r="AI172" s="1025"/>
      <c r="AJ172" s="1025"/>
      <c r="AK172" s="1025"/>
      <c r="AL172" s="1025"/>
      <c r="AM172" s="1025"/>
      <c r="AN172" s="1025"/>
      <c r="AO172" s="154"/>
      <c r="AP172" s="154"/>
      <c r="AQ172" s="154"/>
      <c r="AR172" s="154"/>
      <c r="AS172" s="154"/>
      <c r="AT172" s="154"/>
      <c r="AU172" s="154"/>
      <c r="AV172" s="154"/>
      <c r="AW172" s="154"/>
      <c r="AX172" s="154"/>
      <c r="AY172" s="154"/>
    </row>
    <row r="173" spans="1:51">
      <c r="A173" s="154"/>
      <c r="B173" s="961" t="s">
        <v>613</v>
      </c>
      <c r="C173" s="961">
        <v>1998</v>
      </c>
      <c r="D173" s="961">
        <v>1999</v>
      </c>
      <c r="E173" s="961">
        <v>2000</v>
      </c>
      <c r="F173" s="961">
        <v>2001</v>
      </c>
      <c r="G173" s="961">
        <v>2002</v>
      </c>
      <c r="H173" s="961">
        <v>2003</v>
      </c>
      <c r="I173" s="961">
        <v>2004</v>
      </c>
      <c r="J173" s="961">
        <v>2005</v>
      </c>
      <c r="K173" s="961">
        <v>2006</v>
      </c>
      <c r="L173" s="961">
        <v>2007</v>
      </c>
      <c r="M173" s="961">
        <v>2008</v>
      </c>
      <c r="N173" s="961">
        <v>2009</v>
      </c>
      <c r="O173" s="961">
        <v>2010</v>
      </c>
      <c r="P173" s="961">
        <v>2011</v>
      </c>
      <c r="Q173" s="961">
        <v>2012</v>
      </c>
      <c r="R173" s="961">
        <v>2013</v>
      </c>
      <c r="S173" s="961">
        <v>2014</v>
      </c>
      <c r="T173" s="961">
        <v>2015</v>
      </c>
      <c r="U173" s="961">
        <v>2016</v>
      </c>
      <c r="V173" s="961">
        <v>2017</v>
      </c>
      <c r="W173" s="961">
        <v>2018</v>
      </c>
      <c r="X173" s="961">
        <v>2019</v>
      </c>
      <c r="Y173" s="961">
        <v>2020</v>
      </c>
      <c r="Z173" s="961">
        <v>2021</v>
      </c>
      <c r="AA173" s="961">
        <v>2022</v>
      </c>
      <c r="AB173" s="961">
        <v>2023</v>
      </c>
      <c r="AC173" s="961">
        <v>2024</v>
      </c>
      <c r="AD173" s="961">
        <v>2025</v>
      </c>
      <c r="AE173" s="961">
        <v>2026</v>
      </c>
      <c r="AF173" s="961">
        <v>2027</v>
      </c>
      <c r="AG173" s="961">
        <v>2028</v>
      </c>
      <c r="AH173" s="961">
        <v>2029</v>
      </c>
      <c r="AI173" s="961">
        <v>2030</v>
      </c>
      <c r="AJ173" s="961">
        <v>2030</v>
      </c>
      <c r="AK173" s="961">
        <v>2030</v>
      </c>
      <c r="AL173" s="961">
        <v>2030</v>
      </c>
      <c r="AM173" s="961">
        <v>2030</v>
      </c>
      <c r="AN173" s="961">
        <v>2030</v>
      </c>
      <c r="AO173" s="154"/>
      <c r="AP173" s="154"/>
      <c r="AQ173" s="154"/>
      <c r="AR173" s="154"/>
      <c r="AS173" s="154"/>
      <c r="AT173" s="154"/>
      <c r="AU173" s="154"/>
      <c r="AV173" s="154"/>
      <c r="AW173" s="154"/>
      <c r="AX173" s="154"/>
      <c r="AY173" s="154"/>
    </row>
    <row r="174" spans="1:51">
      <c r="A174" s="154"/>
      <c r="B174" s="1025"/>
      <c r="C174" s="1051"/>
      <c r="D174" s="1051"/>
      <c r="E174" s="1051"/>
      <c r="F174" s="1051"/>
      <c r="G174" s="1051"/>
      <c r="H174" s="1051"/>
      <c r="I174" s="1051"/>
      <c r="J174" s="1052"/>
      <c r="K174" s="1052"/>
      <c r="L174" s="1027"/>
      <c r="M174" s="1032"/>
      <c r="N174" s="1032"/>
      <c r="O174" s="1027"/>
      <c r="P174" s="1027"/>
      <c r="Q174" s="1027"/>
      <c r="R174" s="1027"/>
      <c r="S174" s="1027"/>
      <c r="T174" s="1027"/>
      <c r="U174" s="1027"/>
      <c r="V174" s="1027"/>
      <c r="W174" s="1027"/>
      <c r="X174" s="1027"/>
      <c r="Y174" s="1027"/>
      <c r="Z174" s="1027"/>
      <c r="AA174" s="1027"/>
      <c r="AB174" s="1027"/>
      <c r="AC174" s="1027"/>
      <c r="AD174" s="1027"/>
      <c r="AE174" s="1027"/>
      <c r="AF174" s="1027"/>
      <c r="AG174" s="1027"/>
      <c r="AH174" s="1027"/>
      <c r="AI174" s="1027"/>
      <c r="AJ174" s="1027"/>
      <c r="AK174" s="1027"/>
      <c r="AL174" s="1027"/>
      <c r="AM174" s="1027"/>
      <c r="AN174" s="1027"/>
      <c r="AO174" s="154"/>
      <c r="AP174" s="154"/>
      <c r="AQ174" s="154"/>
      <c r="AR174" s="154"/>
      <c r="AS174" s="154"/>
      <c r="AT174" s="154"/>
      <c r="AU174" s="154"/>
      <c r="AV174" s="154"/>
      <c r="AW174" s="154"/>
      <c r="AX174" s="154"/>
      <c r="AY174" s="154"/>
    </row>
    <row r="175" spans="1:51">
      <c r="A175" s="154"/>
      <c r="B175" s="1025" t="s">
        <v>614</v>
      </c>
      <c r="C175" s="1032">
        <v>8.4000000000000005E-2</v>
      </c>
      <c r="D175" s="1032"/>
      <c r="E175" s="1032"/>
      <c r="F175" s="1027"/>
      <c r="G175" s="1028"/>
      <c r="H175" s="1028"/>
      <c r="I175" s="1028"/>
      <c r="J175" s="1032"/>
      <c r="K175" s="1032"/>
      <c r="L175" s="1032"/>
      <c r="M175" s="1032"/>
      <c r="N175" s="1032"/>
      <c r="O175" s="1027"/>
      <c r="P175" s="1027"/>
      <c r="Q175" s="1027"/>
      <c r="R175" s="1027"/>
      <c r="S175" s="1027"/>
      <c r="T175" s="1027"/>
      <c r="U175" s="1027"/>
      <c r="V175" s="1027"/>
      <c r="W175" s="1027"/>
      <c r="X175" s="1027"/>
      <c r="Y175" s="1027"/>
      <c r="Z175" s="1027"/>
      <c r="AA175" s="1027"/>
      <c r="AB175" s="1027"/>
      <c r="AC175" s="1027"/>
      <c r="AD175" s="1027"/>
      <c r="AE175" s="1027"/>
      <c r="AF175" s="1027"/>
      <c r="AG175" s="1027"/>
      <c r="AH175" s="1027"/>
      <c r="AI175" s="1027"/>
      <c r="AJ175" s="1027"/>
      <c r="AK175" s="1027"/>
      <c r="AL175" s="1027"/>
      <c r="AM175" s="1027"/>
      <c r="AN175" s="1027"/>
      <c r="AO175" s="154"/>
      <c r="AP175" s="154"/>
      <c r="AQ175" s="154"/>
      <c r="AR175" s="154"/>
      <c r="AS175" s="154"/>
      <c r="AT175" s="154"/>
      <c r="AU175" s="154"/>
      <c r="AV175" s="154"/>
      <c r="AW175" s="154"/>
      <c r="AX175" s="154"/>
      <c r="AY175" s="154"/>
    </row>
    <row r="176" spans="1:51">
      <c r="A176" s="154"/>
      <c r="B176" s="1053" t="s">
        <v>615</v>
      </c>
      <c r="C176" s="1032">
        <v>0.25</v>
      </c>
      <c r="D176" s="1032"/>
      <c r="E176" s="1032"/>
      <c r="F176" s="1032"/>
      <c r="G176" s="1028"/>
      <c r="H176" s="1028"/>
      <c r="I176" s="1028"/>
      <c r="J176" s="1032"/>
      <c r="K176" s="1032"/>
      <c r="L176" s="1032"/>
      <c r="M176" s="1032"/>
      <c r="N176" s="1032"/>
      <c r="O176" s="1027"/>
      <c r="P176" s="1027"/>
      <c r="Q176" s="1027"/>
      <c r="R176" s="1027"/>
      <c r="S176" s="1027"/>
      <c r="T176" s="1027"/>
      <c r="U176" s="1027"/>
      <c r="V176" s="1027"/>
      <c r="W176" s="1027"/>
      <c r="X176" s="1027"/>
      <c r="Y176" s="1027"/>
      <c r="Z176" s="1027"/>
      <c r="AA176" s="1027"/>
      <c r="AB176" s="1027"/>
      <c r="AC176" s="1027"/>
      <c r="AD176" s="1027"/>
      <c r="AE176" s="1027"/>
      <c r="AF176" s="1027"/>
      <c r="AG176" s="1027"/>
      <c r="AH176" s="1027"/>
      <c r="AI176" s="1027"/>
      <c r="AJ176" s="1027"/>
      <c r="AK176" s="1027"/>
      <c r="AL176" s="1027"/>
      <c r="AM176" s="1027"/>
      <c r="AN176" s="1027"/>
      <c r="AO176" s="154"/>
      <c r="AP176" s="154"/>
      <c r="AQ176" s="154"/>
      <c r="AR176" s="154"/>
      <c r="AS176" s="154"/>
      <c r="AT176" s="154"/>
      <c r="AU176" s="154"/>
      <c r="AV176" s="154"/>
      <c r="AW176" s="154"/>
      <c r="AX176" s="154"/>
      <c r="AY176" s="154"/>
    </row>
    <row r="177" spans="1:51">
      <c r="A177" s="154"/>
      <c r="B177" s="1025" t="s">
        <v>616</v>
      </c>
      <c r="C177" s="1032">
        <v>3.5000000000000003E-2</v>
      </c>
      <c r="D177" s="1032"/>
      <c r="E177" s="1032"/>
      <c r="F177" s="1032"/>
      <c r="G177" s="1032"/>
      <c r="H177" s="1032"/>
      <c r="I177" s="1032"/>
      <c r="J177" s="1032"/>
      <c r="K177" s="1032"/>
      <c r="L177" s="1032"/>
      <c r="M177" s="1032"/>
      <c r="N177" s="1032"/>
      <c r="O177" s="1027"/>
      <c r="P177" s="1027"/>
      <c r="Q177" s="1027"/>
      <c r="R177" s="1027"/>
      <c r="S177" s="1027"/>
      <c r="T177" s="1027"/>
      <c r="U177" s="1027"/>
      <c r="V177" s="1027"/>
      <c r="W177" s="1027"/>
      <c r="X177" s="1027"/>
      <c r="Y177" s="1027"/>
      <c r="Z177" s="1027"/>
      <c r="AA177" s="1027"/>
      <c r="AB177" s="1027"/>
      <c r="AC177" s="1027"/>
      <c r="AD177" s="1027"/>
      <c r="AE177" s="1027"/>
      <c r="AF177" s="1027"/>
      <c r="AG177" s="1027"/>
      <c r="AH177" s="1027"/>
      <c r="AI177" s="1027"/>
      <c r="AJ177" s="1027"/>
      <c r="AK177" s="1027"/>
      <c r="AL177" s="1027"/>
      <c r="AM177" s="1027"/>
      <c r="AN177" s="1027"/>
      <c r="AO177" s="154"/>
      <c r="AP177" s="154"/>
      <c r="AQ177" s="154"/>
      <c r="AR177" s="154"/>
      <c r="AS177" s="154"/>
      <c r="AT177" s="154"/>
      <c r="AU177" s="154"/>
      <c r="AV177" s="154"/>
      <c r="AW177" s="154"/>
      <c r="AX177" s="154"/>
      <c r="AY177" s="154"/>
    </row>
    <row r="178" spans="1:51">
      <c r="A178" s="154"/>
      <c r="B178" s="1025" t="s">
        <v>617</v>
      </c>
      <c r="C178" s="1032">
        <v>0.01</v>
      </c>
      <c r="D178" s="1032"/>
      <c r="E178" s="1032"/>
      <c r="F178" s="1032"/>
      <c r="G178" s="1032"/>
      <c r="H178" s="1032"/>
      <c r="I178" s="1032"/>
      <c r="J178" s="1032"/>
      <c r="K178" s="1032"/>
      <c r="L178" s="1032"/>
      <c r="M178" s="1032"/>
      <c r="N178" s="1032"/>
      <c r="O178" s="1027"/>
      <c r="P178" s="1027"/>
      <c r="Q178" s="1027"/>
      <c r="R178" s="1027"/>
      <c r="S178" s="1027"/>
      <c r="T178" s="1027"/>
      <c r="U178" s="1027"/>
      <c r="V178" s="1027"/>
      <c r="W178" s="1027"/>
      <c r="X178" s="1027"/>
      <c r="Y178" s="1027"/>
      <c r="Z178" s="1027"/>
      <c r="AA178" s="1027"/>
      <c r="AB178" s="1027"/>
      <c r="AC178" s="1027"/>
      <c r="AD178" s="1027"/>
      <c r="AE178" s="1027"/>
      <c r="AF178" s="1027"/>
      <c r="AG178" s="1027"/>
      <c r="AH178" s="1027"/>
      <c r="AI178" s="1027"/>
      <c r="AJ178" s="1027"/>
      <c r="AK178" s="1027"/>
      <c r="AL178" s="1027"/>
      <c r="AM178" s="1027"/>
      <c r="AN178" s="1027"/>
      <c r="AO178" s="154"/>
      <c r="AP178" s="154"/>
      <c r="AQ178" s="154"/>
      <c r="AR178" s="154"/>
      <c r="AS178" s="154"/>
      <c r="AT178" s="154"/>
      <c r="AU178" s="154"/>
      <c r="AV178" s="154"/>
      <c r="AW178" s="154"/>
      <c r="AX178" s="154"/>
      <c r="AY178" s="154"/>
    </row>
    <row r="179" spans="1:51">
      <c r="A179" s="154"/>
      <c r="B179" s="1053" t="s">
        <v>618</v>
      </c>
      <c r="C179" s="1032">
        <v>0.11900000000000001</v>
      </c>
      <c r="D179" s="1032"/>
      <c r="E179" s="1032"/>
      <c r="F179" s="1027"/>
      <c r="G179" s="1028"/>
      <c r="H179" s="1028"/>
      <c r="I179" s="1028"/>
      <c r="J179" s="1032"/>
      <c r="K179" s="1032"/>
      <c r="L179" s="1032"/>
      <c r="M179" s="1032"/>
      <c r="N179" s="1032"/>
      <c r="O179" s="1027"/>
      <c r="P179" s="1027"/>
      <c r="Q179" s="1027"/>
      <c r="R179" s="1027"/>
      <c r="S179" s="1027"/>
      <c r="T179" s="1027"/>
      <c r="U179" s="1027"/>
      <c r="V179" s="1027"/>
      <c r="W179" s="1027"/>
      <c r="X179" s="1027"/>
      <c r="Y179" s="1027"/>
      <c r="Z179" s="1027"/>
      <c r="AA179" s="1027"/>
      <c r="AB179" s="1027"/>
      <c r="AC179" s="1027"/>
      <c r="AD179" s="1027"/>
      <c r="AE179" s="1027"/>
      <c r="AF179" s="1027"/>
      <c r="AG179" s="1027"/>
      <c r="AH179" s="1027"/>
      <c r="AI179" s="1027"/>
      <c r="AJ179" s="1027"/>
      <c r="AK179" s="1027"/>
      <c r="AL179" s="1027"/>
      <c r="AM179" s="1027"/>
      <c r="AN179" s="1027"/>
      <c r="AO179" s="154"/>
      <c r="AP179" s="154"/>
      <c r="AQ179" s="154"/>
      <c r="AR179" s="154"/>
      <c r="AS179" s="154"/>
      <c r="AT179" s="154"/>
      <c r="AU179" s="154"/>
      <c r="AV179" s="154"/>
      <c r="AW179" s="154"/>
      <c r="AX179" s="154"/>
      <c r="AY179" s="154"/>
    </row>
    <row r="180" spans="1:51">
      <c r="A180" s="154"/>
      <c r="B180" s="1053" t="s">
        <v>619</v>
      </c>
      <c r="C180" s="1032">
        <v>7.0500000000000007E-2</v>
      </c>
      <c r="D180" s="1032"/>
      <c r="E180" s="1032"/>
      <c r="F180" s="1032"/>
      <c r="G180" s="1028"/>
      <c r="H180" s="1028"/>
      <c r="I180" s="1028"/>
      <c r="J180" s="1032"/>
      <c r="K180" s="1032"/>
      <c r="L180" s="1032"/>
      <c r="M180" s="1032"/>
      <c r="N180" s="1032"/>
      <c r="O180" s="1027"/>
      <c r="P180" s="1027"/>
      <c r="Q180" s="1027"/>
      <c r="R180" s="1027"/>
      <c r="S180" s="1027"/>
      <c r="T180" s="1027"/>
      <c r="U180" s="1027"/>
      <c r="V180" s="1027"/>
      <c r="W180" s="1027"/>
      <c r="X180" s="1027"/>
      <c r="Y180" s="1027"/>
      <c r="Z180" s="1027"/>
      <c r="AA180" s="1027"/>
      <c r="AB180" s="1027"/>
      <c r="AC180" s="1027"/>
      <c r="AD180" s="1027"/>
      <c r="AE180" s="1027"/>
      <c r="AF180" s="1027"/>
      <c r="AG180" s="1027"/>
      <c r="AH180" s="1027"/>
      <c r="AI180" s="1027"/>
      <c r="AJ180" s="1027"/>
      <c r="AK180" s="1027"/>
      <c r="AL180" s="1027"/>
      <c r="AM180" s="1027"/>
      <c r="AN180" s="1027"/>
      <c r="AO180" s="154"/>
      <c r="AP180" s="154"/>
      <c r="AQ180" s="154"/>
      <c r="AR180" s="154"/>
      <c r="AS180" s="154"/>
      <c r="AT180" s="154"/>
      <c r="AU180" s="154"/>
      <c r="AV180" s="154"/>
      <c r="AW180" s="154"/>
      <c r="AX180" s="154"/>
      <c r="AY180" s="154"/>
    </row>
    <row r="181" spans="1:51">
      <c r="A181" s="154"/>
      <c r="B181" s="1025"/>
      <c r="C181" s="1032"/>
      <c r="D181" s="1032"/>
      <c r="E181" s="1032"/>
      <c r="F181" s="1032"/>
      <c r="G181" s="1028"/>
      <c r="H181" s="1028"/>
      <c r="I181" s="1028"/>
      <c r="J181" s="1032"/>
      <c r="K181" s="1032"/>
      <c r="L181" s="1032"/>
      <c r="M181" s="1032"/>
      <c r="N181" s="1032"/>
      <c r="O181" s="1027"/>
      <c r="P181" s="1027"/>
      <c r="Q181" s="1027"/>
      <c r="R181" s="1027"/>
      <c r="S181" s="1027"/>
      <c r="T181" s="1027"/>
      <c r="U181" s="1027"/>
      <c r="V181" s="1027"/>
      <c r="W181" s="1027"/>
      <c r="X181" s="1027"/>
      <c r="Y181" s="1027"/>
      <c r="Z181" s="1027"/>
      <c r="AA181" s="1027"/>
      <c r="AB181" s="1027"/>
      <c r="AC181" s="1027"/>
      <c r="AD181" s="1027"/>
      <c r="AE181" s="1027"/>
      <c r="AF181" s="1027"/>
      <c r="AG181" s="1027"/>
      <c r="AH181" s="1027"/>
      <c r="AI181" s="1027"/>
      <c r="AJ181" s="1027"/>
      <c r="AK181" s="1027"/>
      <c r="AL181" s="1027"/>
      <c r="AM181" s="1027"/>
      <c r="AN181" s="1027"/>
      <c r="AO181" s="154"/>
      <c r="AP181" s="154"/>
      <c r="AQ181" s="154"/>
      <c r="AR181" s="154"/>
      <c r="AS181" s="154"/>
      <c r="AT181" s="154"/>
      <c r="AU181" s="154"/>
      <c r="AV181" s="154"/>
      <c r="AW181" s="154"/>
      <c r="AX181" s="154"/>
      <c r="AY181" s="154"/>
    </row>
    <row r="182" spans="1:51">
      <c r="A182" s="154"/>
      <c r="B182" s="1025" t="s">
        <v>620</v>
      </c>
      <c r="C182" s="1032">
        <v>0.3</v>
      </c>
      <c r="D182" s="1032"/>
      <c r="E182" s="1032"/>
      <c r="F182" s="1032"/>
      <c r="G182" s="1028"/>
      <c r="H182" s="1028"/>
      <c r="I182" s="1028"/>
      <c r="J182" s="1032"/>
      <c r="K182" s="1032"/>
      <c r="L182" s="1032"/>
      <c r="M182" s="1032"/>
      <c r="N182" s="1032"/>
      <c r="O182" s="1027"/>
      <c r="P182" s="1027"/>
      <c r="Q182" s="1027"/>
      <c r="R182" s="1027"/>
      <c r="S182" s="1027"/>
      <c r="T182" s="1027"/>
      <c r="U182" s="1027"/>
      <c r="V182" s="1027"/>
      <c r="W182" s="1027"/>
      <c r="X182" s="1027"/>
      <c r="Y182" s="1027"/>
      <c r="Z182" s="1027"/>
      <c r="AA182" s="1027"/>
      <c r="AB182" s="1027"/>
      <c r="AC182" s="1027"/>
      <c r="AD182" s="1027"/>
      <c r="AE182" s="1027"/>
      <c r="AF182" s="1027"/>
      <c r="AG182" s="1027"/>
      <c r="AH182" s="1027"/>
      <c r="AI182" s="1027"/>
      <c r="AJ182" s="1027"/>
      <c r="AK182" s="1027"/>
      <c r="AL182" s="1027"/>
      <c r="AM182" s="1027"/>
      <c r="AN182" s="1027"/>
      <c r="AO182" s="154"/>
      <c r="AP182" s="154"/>
      <c r="AQ182" s="154"/>
      <c r="AR182" s="154"/>
      <c r="AS182" s="154"/>
      <c r="AT182" s="154"/>
      <c r="AU182" s="154"/>
      <c r="AV182" s="154"/>
      <c r="AW182" s="154"/>
      <c r="AX182" s="154"/>
      <c r="AY182" s="154"/>
    </row>
    <row r="183" spans="1:51">
      <c r="A183" s="154"/>
      <c r="B183" s="1025" t="s">
        <v>139</v>
      </c>
      <c r="C183" s="1032">
        <v>0.10445</v>
      </c>
      <c r="D183" s="1032"/>
      <c r="E183" s="1032"/>
      <c r="F183" s="1032"/>
      <c r="G183" s="1032"/>
      <c r="H183" s="1032"/>
      <c r="I183" s="1032"/>
      <c r="J183" s="1032"/>
      <c r="K183" s="1032"/>
      <c r="L183" s="1032"/>
      <c r="M183" s="1032"/>
      <c r="N183" s="1032"/>
      <c r="O183" s="1027"/>
      <c r="P183" s="1027"/>
      <c r="Q183" s="1027"/>
      <c r="R183" s="1027"/>
      <c r="S183" s="1027"/>
      <c r="T183" s="1027"/>
      <c r="U183" s="1027"/>
      <c r="V183" s="1027"/>
      <c r="W183" s="1027"/>
      <c r="X183" s="1027"/>
      <c r="Y183" s="1027"/>
      <c r="Z183" s="1027"/>
      <c r="AA183" s="1027"/>
      <c r="AB183" s="1027"/>
      <c r="AC183" s="1027"/>
      <c r="AD183" s="1027"/>
      <c r="AE183" s="1027"/>
      <c r="AF183" s="1027"/>
      <c r="AG183" s="1027"/>
      <c r="AH183" s="1027"/>
      <c r="AI183" s="1027"/>
      <c r="AJ183" s="1027"/>
      <c r="AK183" s="1027"/>
      <c r="AL183" s="1027"/>
      <c r="AM183" s="1027"/>
      <c r="AN183" s="1027"/>
      <c r="AO183" s="154"/>
      <c r="AP183" s="154"/>
      <c r="AQ183" s="154"/>
      <c r="AR183" s="154"/>
      <c r="AS183" s="154"/>
      <c r="AT183" s="154"/>
      <c r="AU183" s="154"/>
      <c r="AV183" s="154"/>
      <c r="AW183" s="154"/>
      <c r="AX183" s="154"/>
      <c r="AY183" s="154"/>
    </row>
    <row r="184" spans="1:51">
      <c r="A184" s="154"/>
      <c r="B184" s="1025"/>
      <c r="C184" s="1032"/>
      <c r="D184" s="1032"/>
      <c r="E184" s="1032"/>
      <c r="F184" s="1032"/>
      <c r="G184" s="1032"/>
      <c r="H184" s="1032"/>
      <c r="I184" s="1032"/>
      <c r="J184" s="1032"/>
      <c r="K184" s="1032"/>
      <c r="L184" s="1032"/>
      <c r="M184" s="1032"/>
      <c r="N184" s="1032"/>
      <c r="O184" s="1027"/>
      <c r="P184" s="1027"/>
      <c r="Q184" s="1027"/>
      <c r="R184" s="1027"/>
      <c r="S184" s="1027"/>
      <c r="T184" s="1027"/>
      <c r="U184" s="1027"/>
      <c r="V184" s="1027"/>
      <c r="W184" s="1027"/>
      <c r="X184" s="1027"/>
      <c r="Y184" s="1027"/>
      <c r="Z184" s="1027"/>
      <c r="AA184" s="1027"/>
      <c r="AB184" s="1027"/>
      <c r="AC184" s="1027"/>
      <c r="AD184" s="1027"/>
      <c r="AE184" s="1027"/>
      <c r="AF184" s="1027"/>
      <c r="AG184" s="1027"/>
      <c r="AH184" s="1027"/>
      <c r="AI184" s="1027"/>
      <c r="AJ184" s="1027"/>
      <c r="AK184" s="1027"/>
      <c r="AL184" s="1027"/>
      <c r="AM184" s="1027"/>
      <c r="AN184" s="1027"/>
      <c r="AO184" s="154"/>
      <c r="AP184" s="154"/>
      <c r="AQ184" s="154"/>
      <c r="AR184" s="154"/>
      <c r="AS184" s="154"/>
      <c r="AT184" s="154"/>
      <c r="AU184" s="154"/>
      <c r="AV184" s="154"/>
      <c r="AW184" s="154"/>
      <c r="AX184" s="154"/>
      <c r="AY184" s="154"/>
    </row>
    <row r="185" spans="1:51">
      <c r="A185" s="154"/>
      <c r="B185" s="1053" t="s">
        <v>621</v>
      </c>
      <c r="C185" s="1032">
        <v>2.5000000000000001E-2</v>
      </c>
      <c r="D185" s="1032"/>
      <c r="E185" s="1032"/>
      <c r="F185" s="1032"/>
      <c r="G185" s="1032"/>
      <c r="H185" s="1032"/>
      <c r="I185" s="1032"/>
      <c r="J185" s="1032"/>
      <c r="K185" s="1032"/>
      <c r="L185" s="1032"/>
      <c r="M185" s="1032"/>
      <c r="N185" s="1032"/>
      <c r="O185" s="1027"/>
      <c r="P185" s="1027"/>
      <c r="Q185" s="1027"/>
      <c r="R185" s="1027"/>
      <c r="S185" s="1027"/>
      <c r="T185" s="1027"/>
      <c r="U185" s="1027"/>
      <c r="V185" s="1027"/>
      <c r="W185" s="1027"/>
      <c r="X185" s="1027"/>
      <c r="Y185" s="1027"/>
      <c r="Z185" s="1027"/>
      <c r="AA185" s="1027"/>
      <c r="AB185" s="1027"/>
      <c r="AC185" s="1027"/>
      <c r="AD185" s="1027"/>
      <c r="AE185" s="1027"/>
      <c r="AF185" s="1027"/>
      <c r="AG185" s="1027"/>
      <c r="AH185" s="1027"/>
      <c r="AI185" s="1027"/>
      <c r="AJ185" s="1027"/>
      <c r="AK185" s="1027"/>
      <c r="AL185" s="1027"/>
      <c r="AM185" s="1027"/>
      <c r="AN185" s="1027"/>
      <c r="AO185" s="154"/>
      <c r="AP185" s="154"/>
      <c r="AQ185" s="154"/>
      <c r="AR185" s="154"/>
      <c r="AS185" s="154"/>
      <c r="AT185" s="154"/>
      <c r="AU185" s="154"/>
      <c r="AV185" s="154"/>
      <c r="AW185" s="154"/>
      <c r="AX185" s="154"/>
      <c r="AY185" s="154"/>
    </row>
    <row r="186" spans="1:51">
      <c r="A186" s="154"/>
      <c r="B186" s="1053"/>
      <c r="C186" s="1032"/>
      <c r="D186" s="1032"/>
      <c r="E186" s="1032"/>
      <c r="F186" s="1032"/>
      <c r="G186" s="1032"/>
      <c r="H186" s="1032"/>
      <c r="I186" s="1032"/>
      <c r="J186" s="1032"/>
      <c r="K186" s="1032"/>
      <c r="L186" s="1032"/>
      <c r="M186" s="1032"/>
      <c r="N186" s="1032"/>
      <c r="O186" s="1027"/>
      <c r="P186" s="1027"/>
      <c r="Q186" s="1027"/>
      <c r="R186" s="1027"/>
      <c r="S186" s="1027"/>
      <c r="T186" s="1027"/>
      <c r="U186" s="1027"/>
      <c r="V186" s="1027"/>
      <c r="W186" s="1027"/>
      <c r="X186" s="1027"/>
      <c r="Y186" s="1027"/>
      <c r="Z186" s="1027"/>
      <c r="AA186" s="1027"/>
      <c r="AB186" s="1027"/>
      <c r="AC186" s="1027"/>
      <c r="AD186" s="1027"/>
      <c r="AE186" s="1027"/>
      <c r="AF186" s="1027"/>
      <c r="AG186" s="1027"/>
      <c r="AH186" s="1027"/>
      <c r="AI186" s="1027"/>
      <c r="AJ186" s="1027"/>
      <c r="AK186" s="1027"/>
      <c r="AL186" s="1027"/>
      <c r="AM186" s="1027"/>
      <c r="AN186" s="1027"/>
      <c r="AO186" s="154"/>
      <c r="AP186" s="154"/>
      <c r="AQ186" s="154"/>
      <c r="AR186" s="154"/>
      <c r="AS186" s="154"/>
      <c r="AT186" s="154"/>
      <c r="AU186" s="154"/>
      <c r="AV186" s="154"/>
      <c r="AW186" s="154"/>
      <c r="AX186" s="154"/>
      <c r="AY186" s="154"/>
    </row>
    <row r="187" spans="1:51">
      <c r="A187" s="154"/>
      <c r="B187" s="1053"/>
      <c r="C187" s="1032"/>
      <c r="D187" s="1032"/>
      <c r="E187" s="1032"/>
      <c r="F187" s="1032"/>
      <c r="G187" s="1032"/>
      <c r="H187" s="1032"/>
      <c r="I187" s="1032"/>
      <c r="J187" s="1032"/>
      <c r="K187" s="1032"/>
      <c r="L187" s="1032"/>
      <c r="M187" s="1032"/>
      <c r="N187" s="1032"/>
      <c r="O187" s="1027"/>
      <c r="P187" s="1027"/>
      <c r="Q187" s="1027"/>
      <c r="R187" s="1027"/>
      <c r="S187" s="1027"/>
      <c r="T187" s="1027"/>
      <c r="U187" s="1027"/>
      <c r="V187" s="1027"/>
      <c r="W187" s="1027"/>
      <c r="X187" s="1027"/>
      <c r="Y187" s="1027"/>
      <c r="Z187" s="1027"/>
      <c r="AA187" s="1027"/>
      <c r="AB187" s="1027"/>
      <c r="AC187" s="1027"/>
      <c r="AD187" s="1027"/>
      <c r="AE187" s="1027"/>
      <c r="AF187" s="1027"/>
      <c r="AG187" s="1027"/>
      <c r="AH187" s="1027"/>
      <c r="AI187" s="1027"/>
      <c r="AJ187" s="1027"/>
      <c r="AK187" s="1027"/>
      <c r="AL187" s="1027"/>
      <c r="AM187" s="1027"/>
      <c r="AN187" s="1027"/>
      <c r="AO187" s="154"/>
      <c r="AP187" s="154"/>
      <c r="AQ187" s="154"/>
      <c r="AR187" s="154"/>
      <c r="AS187" s="154"/>
      <c r="AT187" s="154"/>
      <c r="AU187" s="154"/>
      <c r="AV187" s="154"/>
      <c r="AW187" s="154"/>
      <c r="AX187" s="154"/>
      <c r="AY187" s="154"/>
    </row>
    <row r="188" spans="1:51">
      <c r="A188" s="154"/>
      <c r="B188" s="1053"/>
      <c r="C188" s="1032"/>
      <c r="D188" s="1032"/>
      <c r="E188" s="1032"/>
      <c r="F188" s="1032"/>
      <c r="G188" s="1032"/>
      <c r="H188" s="1032"/>
      <c r="I188" s="1032"/>
      <c r="J188" s="1027"/>
      <c r="K188" s="1027"/>
      <c r="L188" s="1027"/>
      <c r="M188" s="1027"/>
      <c r="N188" s="1027"/>
      <c r="O188" s="1027"/>
      <c r="P188" s="1027"/>
      <c r="Q188" s="1027"/>
      <c r="R188" s="1027"/>
      <c r="S188" s="1027"/>
      <c r="T188" s="1027"/>
      <c r="U188" s="1027"/>
      <c r="V188" s="1027"/>
      <c r="W188" s="1027"/>
      <c r="X188" s="1027"/>
      <c r="Y188" s="1027"/>
      <c r="Z188" s="1027"/>
      <c r="AA188" s="1027"/>
      <c r="AB188" s="1027"/>
      <c r="AC188" s="1027"/>
      <c r="AD188" s="1027"/>
      <c r="AE188" s="1027"/>
      <c r="AF188" s="1027"/>
      <c r="AG188" s="1027"/>
      <c r="AH188" s="1027"/>
      <c r="AI188" s="1027"/>
      <c r="AJ188" s="1027"/>
      <c r="AK188" s="1027"/>
      <c r="AL188" s="1027"/>
      <c r="AM188" s="1027"/>
      <c r="AN188" s="1027"/>
      <c r="AO188" s="154"/>
      <c r="AP188" s="154"/>
      <c r="AQ188" s="154"/>
      <c r="AR188" s="154"/>
      <c r="AS188" s="154"/>
      <c r="AT188" s="154"/>
      <c r="AU188" s="154"/>
      <c r="AV188" s="154"/>
      <c r="AW188" s="154"/>
      <c r="AX188" s="154"/>
      <c r="AY188" s="154"/>
    </row>
    <row r="189" spans="1:51">
      <c r="A189" s="154"/>
      <c r="B189" s="1025"/>
      <c r="C189" s="1032"/>
      <c r="D189" s="1032"/>
      <c r="E189" s="1032"/>
      <c r="F189" s="1032"/>
      <c r="G189" s="1032"/>
      <c r="H189" s="1032"/>
      <c r="I189" s="1032"/>
      <c r="J189" s="1027"/>
      <c r="K189" s="1027"/>
      <c r="L189" s="1027"/>
      <c r="M189" s="1027"/>
      <c r="N189" s="1027"/>
      <c r="O189" s="1027"/>
      <c r="P189" s="1027"/>
      <c r="Q189" s="1027"/>
      <c r="R189" s="1027"/>
      <c r="S189" s="1027"/>
      <c r="T189" s="1027"/>
      <c r="U189" s="1027"/>
      <c r="V189" s="1027"/>
      <c r="W189" s="1027"/>
      <c r="X189" s="1027"/>
      <c r="Y189" s="1027"/>
      <c r="Z189" s="1027"/>
      <c r="AA189" s="1027"/>
      <c r="AB189" s="1027"/>
      <c r="AC189" s="1027"/>
      <c r="AD189" s="1027"/>
      <c r="AE189" s="1027"/>
      <c r="AF189" s="1027"/>
      <c r="AG189" s="1027"/>
      <c r="AH189" s="1027"/>
      <c r="AI189" s="1027"/>
      <c r="AJ189" s="1027"/>
      <c r="AK189" s="1027"/>
      <c r="AL189" s="1027"/>
      <c r="AM189" s="1027"/>
      <c r="AN189" s="1027"/>
      <c r="AO189" s="154"/>
      <c r="AP189" s="154"/>
      <c r="AQ189" s="154"/>
      <c r="AR189" s="154"/>
      <c r="AS189" s="154"/>
      <c r="AT189" s="154"/>
      <c r="AU189" s="154"/>
      <c r="AV189" s="154"/>
      <c r="AW189" s="154"/>
      <c r="AX189" s="154"/>
      <c r="AY189" s="154"/>
    </row>
    <row r="190" spans="1:51">
      <c r="A190" s="154"/>
      <c r="B190" s="1025"/>
      <c r="C190" s="1032"/>
      <c r="D190" s="1032"/>
      <c r="E190" s="1032"/>
      <c r="F190" s="1032"/>
      <c r="G190" s="1032"/>
      <c r="H190" s="1032"/>
      <c r="I190" s="1032"/>
      <c r="J190" s="1027"/>
      <c r="K190" s="1027"/>
      <c r="L190" s="1027"/>
      <c r="M190" s="1027"/>
      <c r="N190" s="1027"/>
      <c r="O190" s="1027"/>
      <c r="P190" s="1027"/>
      <c r="Q190" s="1027"/>
      <c r="R190" s="1027"/>
      <c r="S190" s="1027"/>
      <c r="T190" s="1027"/>
      <c r="U190" s="1027"/>
      <c r="V190" s="1027"/>
      <c r="W190" s="1027"/>
      <c r="X190" s="1027"/>
      <c r="Y190" s="1027"/>
      <c r="Z190" s="1027"/>
      <c r="AA190" s="1027"/>
      <c r="AB190" s="1027"/>
      <c r="AC190" s="1027"/>
      <c r="AD190" s="1027"/>
      <c r="AE190" s="1027"/>
      <c r="AF190" s="1027"/>
      <c r="AG190" s="1027"/>
      <c r="AH190" s="1027"/>
      <c r="AI190" s="1027"/>
      <c r="AJ190" s="1027"/>
      <c r="AK190" s="1027"/>
      <c r="AL190" s="1027"/>
      <c r="AM190" s="1027"/>
      <c r="AN190" s="1027"/>
      <c r="AO190" s="154"/>
      <c r="AP190" s="154"/>
      <c r="AQ190" s="154"/>
      <c r="AR190" s="154"/>
      <c r="AS190" s="154"/>
      <c r="AT190" s="154"/>
      <c r="AU190" s="154"/>
      <c r="AV190" s="154"/>
      <c r="AW190" s="154"/>
      <c r="AX190" s="154"/>
      <c r="AY190" s="154"/>
    </row>
    <row r="191" spans="1:51">
      <c r="A191" s="154"/>
      <c r="B191" s="961" t="s">
        <v>344</v>
      </c>
      <c r="C191" s="961">
        <v>1998</v>
      </c>
      <c r="D191" s="961">
        <v>1999</v>
      </c>
      <c r="E191" s="961">
        <v>2000</v>
      </c>
      <c r="F191" s="961">
        <v>2001</v>
      </c>
      <c r="G191" s="961">
        <v>2002</v>
      </c>
      <c r="H191" s="961">
        <v>2003</v>
      </c>
      <c r="I191" s="961">
        <v>2004</v>
      </c>
      <c r="J191" s="961">
        <v>2005</v>
      </c>
      <c r="K191" s="961">
        <v>2006</v>
      </c>
      <c r="L191" s="961">
        <v>2007</v>
      </c>
      <c r="M191" s="961">
        <v>2008</v>
      </c>
      <c r="N191" s="961">
        <v>2009</v>
      </c>
      <c r="O191" s="961">
        <v>2010</v>
      </c>
      <c r="P191" s="961">
        <v>2011</v>
      </c>
      <c r="Q191" s="961">
        <v>2012</v>
      </c>
      <c r="R191" s="961">
        <v>2013</v>
      </c>
      <c r="S191" s="961">
        <v>2014</v>
      </c>
      <c r="T191" s="961">
        <v>2015</v>
      </c>
      <c r="U191" s="961">
        <v>2016</v>
      </c>
      <c r="V191" s="961">
        <v>2017</v>
      </c>
      <c r="W191" s="961">
        <v>2018</v>
      </c>
      <c r="X191" s="961">
        <v>2019</v>
      </c>
      <c r="Y191" s="961">
        <v>2020</v>
      </c>
      <c r="Z191" s="961">
        <v>2021</v>
      </c>
      <c r="AA191" s="961">
        <v>2022</v>
      </c>
      <c r="AB191" s="961">
        <v>2023</v>
      </c>
      <c r="AC191" s="961">
        <v>2024</v>
      </c>
      <c r="AD191" s="961">
        <v>2025</v>
      </c>
      <c r="AE191" s="961">
        <v>2026</v>
      </c>
      <c r="AF191" s="961">
        <v>2027</v>
      </c>
      <c r="AG191" s="961">
        <v>2028</v>
      </c>
      <c r="AH191" s="961">
        <v>2029</v>
      </c>
      <c r="AI191" s="961">
        <v>2030</v>
      </c>
      <c r="AJ191" s="961">
        <v>2031</v>
      </c>
      <c r="AK191" s="961">
        <v>2032</v>
      </c>
      <c r="AL191" s="961">
        <v>2033</v>
      </c>
      <c r="AM191" s="961">
        <v>2034</v>
      </c>
      <c r="AN191" s="961">
        <v>2035</v>
      </c>
      <c r="AO191" s="154"/>
      <c r="AP191" s="154"/>
      <c r="AQ191" s="154"/>
      <c r="AR191" s="154"/>
      <c r="AS191" s="154"/>
      <c r="AT191" s="154"/>
      <c r="AU191" s="154"/>
      <c r="AV191" s="154"/>
      <c r="AW191" s="154"/>
      <c r="AX191" s="154"/>
      <c r="AY191" s="154"/>
    </row>
    <row r="192" spans="1:51">
      <c r="A192" s="154"/>
      <c r="B192" s="962" t="s">
        <v>9</v>
      </c>
      <c r="C192" s="963"/>
      <c r="D192" s="963"/>
      <c r="E192" s="963"/>
      <c r="F192" s="963"/>
      <c r="G192" s="963"/>
      <c r="H192" s="963"/>
      <c r="I192" s="963"/>
      <c r="J192" s="963"/>
      <c r="K192" s="963"/>
      <c r="L192" s="963"/>
      <c r="M192" s="963"/>
      <c r="N192" s="963"/>
      <c r="O192" s="963"/>
      <c r="P192" s="963"/>
      <c r="Q192" s="963"/>
      <c r="R192" s="963"/>
      <c r="S192" s="963"/>
      <c r="T192" s="963"/>
      <c r="U192" s="963"/>
      <c r="V192" s="963"/>
      <c r="W192" s="963"/>
      <c r="X192" s="963"/>
      <c r="Y192" s="963">
        <f>Master!G19</f>
        <v>819.01400000000001</v>
      </c>
      <c r="Z192" s="963">
        <f>Master!H19</f>
        <v>926.39599999999996</v>
      </c>
      <c r="AA192" s="963">
        <f>Master!I19</f>
        <v>1031.386</v>
      </c>
      <c r="AB192" s="963">
        <f>Master!J19</f>
        <v>1132.5350000000001</v>
      </c>
      <c r="AC192" s="963">
        <f>Master!K19</f>
        <v>928.35399999999993</v>
      </c>
      <c r="AD192" s="963">
        <f>Master!L19</f>
        <v>998.65849699308114</v>
      </c>
      <c r="AE192" s="963">
        <f>Master!M19</f>
        <v>1051.2963469177898</v>
      </c>
      <c r="AF192" s="963">
        <f>Master!N19</f>
        <v>1136.8872381829219</v>
      </c>
      <c r="AG192" s="963">
        <f>Master!O19</f>
        <v>1215.7125917450928</v>
      </c>
      <c r="AH192" s="963">
        <f>Master!P19</f>
        <v>1299.9171313615789</v>
      </c>
      <c r="AI192" s="963">
        <f>Master!Q19</f>
        <v>1387.4387083095012</v>
      </c>
      <c r="AJ192" s="963">
        <f>Master!R19</f>
        <v>1474.7790505029366</v>
      </c>
      <c r="AK192" s="963">
        <f>Master!S19</f>
        <v>1564.7079206201638</v>
      </c>
      <c r="AL192" s="963">
        <f>Master!T19</f>
        <v>1660.3990786374698</v>
      </c>
      <c r="AM192" s="963">
        <f>Master!U19</f>
        <v>1762.1582617619658</v>
      </c>
      <c r="AN192" s="963">
        <f>Master!V19</f>
        <v>1870.4763671005544</v>
      </c>
      <c r="AO192" s="154"/>
      <c r="AP192" s="154"/>
      <c r="AQ192" s="154"/>
      <c r="AR192" s="154"/>
      <c r="AS192" s="154"/>
      <c r="AT192" s="154"/>
      <c r="AU192" s="154"/>
      <c r="AV192" s="154"/>
      <c r="AW192" s="154"/>
      <c r="AX192" s="154"/>
      <c r="AY192" s="154"/>
    </row>
    <row r="193" spans="1:51">
      <c r="A193" s="154"/>
      <c r="B193" s="962" t="s">
        <v>1112</v>
      </c>
      <c r="C193" s="963"/>
      <c r="D193" s="963"/>
      <c r="E193" s="963"/>
      <c r="F193" s="963"/>
      <c r="G193" s="963"/>
      <c r="H193" s="963"/>
      <c r="I193" s="963"/>
      <c r="J193" s="963"/>
      <c r="K193" s="963"/>
      <c r="L193" s="963"/>
      <c r="M193" s="963"/>
      <c r="N193" s="963"/>
      <c r="O193" s="963"/>
      <c r="P193" s="963"/>
      <c r="Q193" s="963"/>
      <c r="R193" s="963"/>
      <c r="S193" s="963"/>
      <c r="T193" s="963"/>
      <c r="U193" s="963"/>
      <c r="V193" s="963"/>
      <c r="W193" s="963"/>
      <c r="X193" s="963"/>
      <c r="Y193" s="963">
        <f>Master!G113</f>
        <v>-157.76499999999999</v>
      </c>
      <c r="Z193" s="963">
        <f>Master!H113</f>
        <v>-69.826999999999998</v>
      </c>
      <c r="AA193" s="963">
        <f>Master!I113</f>
        <v>-46.24</v>
      </c>
      <c r="AB193" s="963">
        <f>Master!J113</f>
        <v>-224.982</v>
      </c>
      <c r="AC193" s="963">
        <f>Master!K113</f>
        <v>-158.667</v>
      </c>
      <c r="AD193" s="963">
        <f>Master!L113</f>
        <v>-135.15493423109282</v>
      </c>
      <c r="AE193" s="963">
        <f>Master!M113</f>
        <v>-125.57690886901644</v>
      </c>
      <c r="AF193" s="963">
        <f>Master!N113</f>
        <v>-104.27030912083694</v>
      </c>
      <c r="AG193" s="963">
        <f>Master!O113</f>
        <v>-105.27322557897782</v>
      </c>
      <c r="AH193" s="963">
        <f>Master!P113</f>
        <v>-106.39389916131162</v>
      </c>
      <c r="AI193" s="963">
        <f>Master!Q113</f>
        <v>-105.7717050242818</v>
      </c>
      <c r="AJ193" s="963">
        <f>Master!R113</f>
        <v>-102.25721279217592</v>
      </c>
      <c r="AK193" s="963">
        <f>Master!S113</f>
        <v>-110.61798739812178</v>
      </c>
      <c r="AL193" s="963">
        <f>Master!T113</f>
        <v>-107.33990281919588</v>
      </c>
      <c r="AM193" s="963">
        <f>Master!U113</f>
        <v>-102.67790960480198</v>
      </c>
      <c r="AN193" s="963">
        <f>Master!V113</f>
        <v>-111.37659455884666</v>
      </c>
      <c r="AO193" s="154"/>
      <c r="AP193" s="154"/>
      <c r="AQ193" s="154"/>
      <c r="AR193" s="154"/>
      <c r="AS193" s="154"/>
      <c r="AT193" s="154"/>
      <c r="AU193" s="154"/>
      <c r="AV193" s="154"/>
      <c r="AW193" s="154"/>
      <c r="AX193" s="154"/>
      <c r="AY193" s="154"/>
    </row>
    <row r="194" spans="1:51">
      <c r="A194" s="154"/>
      <c r="B194" s="962" t="s">
        <v>1113</v>
      </c>
      <c r="C194" s="963"/>
      <c r="D194" s="963"/>
      <c r="E194" s="963"/>
      <c r="F194" s="963"/>
      <c r="G194" s="963"/>
      <c r="H194" s="963"/>
      <c r="I194" s="963"/>
      <c r="J194" s="963"/>
      <c r="K194" s="963"/>
      <c r="L194" s="963"/>
      <c r="M194" s="963"/>
      <c r="N194" s="963"/>
      <c r="O194" s="963"/>
      <c r="P194" s="963"/>
      <c r="Q194" s="963"/>
      <c r="R194" s="963"/>
      <c r="S194" s="963"/>
      <c r="T194" s="963"/>
      <c r="U194" s="963"/>
      <c r="V194" s="963"/>
      <c r="W194" s="963"/>
      <c r="X194" s="963"/>
      <c r="Y194" s="963">
        <f>Master!G112</f>
        <v>-14.54</v>
      </c>
      <c r="Z194" s="963">
        <f>Master!H112</f>
        <v>-29.146999999999998</v>
      </c>
      <c r="AA194" s="963">
        <f>Master!I112</f>
        <v>-51.244999999999997</v>
      </c>
      <c r="AB194" s="963">
        <f>Master!J112</f>
        <v>-45.411000000000001</v>
      </c>
      <c r="AC194" s="963">
        <f>Master!K112</f>
        <v>-38.628999999999998</v>
      </c>
      <c r="AD194" s="963">
        <f>Master!L112</f>
        <v>-44.980206961226379</v>
      </c>
      <c r="AE194" s="963">
        <f>Master!M112</f>
        <v>-65.646527322746209</v>
      </c>
      <c r="AF194" s="963">
        <f>Master!N112</f>
        <v>-88.114476653310433</v>
      </c>
      <c r="AG194" s="963">
        <f>Master!O112</f>
        <v>-106.84398123795764</v>
      </c>
      <c r="AH194" s="963">
        <f>Master!P112</f>
        <v>-127.7293323991356</v>
      </c>
      <c r="AI194" s="963">
        <f>Master!Q112</f>
        <v>-150.06020705724754</v>
      </c>
      <c r="AJ194" s="963">
        <f>Master!R112</f>
        <v>-172.53323710010218</v>
      </c>
      <c r="AK194" s="963">
        <f>Master!S112</f>
        <v>-196.1136120180027</v>
      </c>
      <c r="AL194" s="963">
        <f>Master!T112</f>
        <v>-221.46817080988657</v>
      </c>
      <c r="AM194" s="963">
        <f>Master!U112</f>
        <v>-248.92913200351177</v>
      </c>
      <c r="AN194" s="963">
        <f>Master!V112</f>
        <v>-278.33927193664994</v>
      </c>
      <c r="AO194" s="154"/>
      <c r="AP194" s="154"/>
      <c r="AQ194" s="154"/>
      <c r="AR194" s="154"/>
      <c r="AS194" s="154"/>
      <c r="AT194" s="154"/>
      <c r="AU194" s="154"/>
      <c r="AV194" s="154"/>
      <c r="AW194" s="154"/>
      <c r="AX194" s="154"/>
      <c r="AY194" s="154"/>
    </row>
    <row r="195" spans="1:51">
      <c r="A195" s="154"/>
      <c r="B195" s="962" t="s">
        <v>316</v>
      </c>
      <c r="C195" s="963"/>
      <c r="D195" s="963"/>
      <c r="E195" s="963"/>
      <c r="F195" s="963"/>
      <c r="G195" s="963"/>
      <c r="H195" s="963"/>
      <c r="I195" s="963"/>
      <c r="J195" s="963"/>
      <c r="K195" s="963"/>
      <c r="L195" s="963"/>
      <c r="M195" s="963"/>
      <c r="N195" s="963"/>
      <c r="O195" s="963"/>
      <c r="P195" s="963"/>
      <c r="Q195" s="963"/>
      <c r="R195" s="963"/>
      <c r="S195" s="963"/>
      <c r="T195" s="963"/>
      <c r="U195" s="963"/>
      <c r="V195" s="963"/>
      <c r="W195" s="963"/>
      <c r="X195" s="963"/>
      <c r="Y195" s="963">
        <f>-Master!G28</f>
        <v>-229</v>
      </c>
      <c r="Z195" s="963">
        <f>-Master!H28</f>
        <v>-402</v>
      </c>
      <c r="AA195" s="963">
        <f>-Master!I28</f>
        <v>-634</v>
      </c>
      <c r="AB195" s="963">
        <f>-Master!J28</f>
        <v>-586</v>
      </c>
      <c r="AC195" s="963">
        <f>-Master!K28</f>
        <v>-257</v>
      </c>
      <c r="AD195" s="963">
        <f>-Master!L28</f>
        <v>-258.79166107797295</v>
      </c>
      <c r="AE195" s="963">
        <f>-Master!M28</f>
        <v>-269.40147831582021</v>
      </c>
      <c r="AF195" s="963">
        <f>-Master!N28</f>
        <v>-278.20707248888192</v>
      </c>
      <c r="AG195" s="963">
        <f>-Master!O28</f>
        <v>-295.05278547486472</v>
      </c>
      <c r="AH195" s="963">
        <f>-Master!P28</f>
        <v>-302.12273200606688</v>
      </c>
      <c r="AI195" s="963">
        <f>-Master!Q28</f>
        <v>-319.91401698300626</v>
      </c>
      <c r="AJ195" s="963">
        <f>-Master!R28</f>
        <v>-325.468458174923</v>
      </c>
      <c r="AK195" s="963">
        <f>-Master!S28</f>
        <v>-342.81725952249258</v>
      </c>
      <c r="AL195" s="963">
        <f>-Master!T28</f>
        <v>-347.77282386819508</v>
      </c>
      <c r="AM195" s="963">
        <f>-Master!U28</f>
        <v>-366.41213083310117</v>
      </c>
      <c r="AN195" s="963">
        <f>-Master!V28</f>
        <v>-386.11284697475224</v>
      </c>
      <c r="AO195" s="154"/>
      <c r="AP195" s="154"/>
      <c r="AQ195" s="154"/>
      <c r="AR195" s="154"/>
      <c r="AS195" s="154"/>
      <c r="AT195" s="154"/>
      <c r="AU195" s="154"/>
      <c r="AV195" s="154"/>
      <c r="AW195" s="154"/>
      <c r="AX195" s="154"/>
      <c r="AY195" s="154"/>
    </row>
    <row r="196" spans="1:51">
      <c r="A196" s="154"/>
      <c r="B196" s="962" t="s">
        <v>1114</v>
      </c>
      <c r="C196" s="963"/>
      <c r="D196" s="963"/>
      <c r="E196" s="963"/>
      <c r="F196" s="963"/>
      <c r="G196" s="963"/>
      <c r="H196" s="963"/>
      <c r="I196" s="963"/>
      <c r="J196" s="963"/>
      <c r="K196" s="963"/>
      <c r="L196" s="963"/>
      <c r="M196" s="963"/>
      <c r="N196" s="963"/>
      <c r="O196" s="963"/>
      <c r="P196" s="963"/>
      <c r="Q196" s="963"/>
      <c r="R196" s="963"/>
      <c r="S196" s="963"/>
      <c r="T196" s="963"/>
      <c r="U196" s="963"/>
      <c r="V196" s="963"/>
      <c r="W196" s="963"/>
      <c r="X196" s="963"/>
      <c r="Y196" s="963"/>
      <c r="Z196" s="963"/>
      <c r="AA196" s="963"/>
      <c r="AB196" s="963"/>
      <c r="AC196" s="963"/>
      <c r="AD196" s="963"/>
      <c r="AE196" s="963"/>
      <c r="AF196" s="963"/>
      <c r="AG196" s="963"/>
      <c r="AH196" s="963"/>
      <c r="AI196" s="963"/>
      <c r="AJ196" s="963"/>
      <c r="AK196" s="963"/>
      <c r="AL196" s="963"/>
      <c r="AM196" s="963"/>
      <c r="AN196" s="963"/>
      <c r="AO196" s="154"/>
      <c r="AP196" s="154"/>
      <c r="AQ196" s="154"/>
      <c r="AR196" s="154"/>
      <c r="AS196" s="154"/>
      <c r="AT196" s="154"/>
      <c r="AU196" s="154"/>
      <c r="AV196" s="154"/>
      <c r="AW196" s="154"/>
      <c r="AX196" s="154"/>
      <c r="AY196" s="154"/>
    </row>
    <row r="197" spans="1:51">
      <c r="A197" s="154"/>
      <c r="B197" s="962" t="s">
        <v>1115</v>
      </c>
      <c r="C197" s="963"/>
      <c r="D197" s="963"/>
      <c r="E197" s="963"/>
      <c r="F197" s="963"/>
      <c r="G197" s="963"/>
      <c r="H197" s="963"/>
      <c r="I197" s="963"/>
      <c r="J197" s="963"/>
      <c r="K197" s="963"/>
      <c r="L197" s="963"/>
      <c r="M197" s="963"/>
      <c r="N197" s="963"/>
      <c r="O197" s="963"/>
      <c r="P197" s="963"/>
      <c r="Q197" s="963"/>
      <c r="R197" s="963"/>
      <c r="S197" s="963"/>
      <c r="T197" s="963"/>
      <c r="U197" s="963"/>
      <c r="V197" s="963"/>
      <c r="W197" s="963"/>
      <c r="X197" s="963"/>
      <c r="Y197" s="963">
        <f>-Master!G55</f>
        <v>0.68799999999999994</v>
      </c>
      <c r="Z197" s="963">
        <f>-Master!H55</f>
        <v>0.28899999999999998</v>
      </c>
      <c r="AA197" s="963">
        <f>-Master!I55</f>
        <v>9.9589999999999996</v>
      </c>
      <c r="AB197" s="963">
        <f>-Master!J55</f>
        <v>11.569000000000001</v>
      </c>
      <c r="AC197" s="963">
        <f>-Master!K55</f>
        <v>12.176</v>
      </c>
      <c r="AD197" s="963">
        <f>-Master!L55</f>
        <v>12.784800000000001</v>
      </c>
      <c r="AE197" s="963">
        <f>-Master!M55</f>
        <v>13.424040000000002</v>
      </c>
      <c r="AF197" s="963">
        <f>-Master!N55</f>
        <v>14.095242000000002</v>
      </c>
      <c r="AG197" s="963">
        <f>-Master!O55</f>
        <v>14.800004100000002</v>
      </c>
      <c r="AH197" s="963">
        <f>-Master!P55</f>
        <v>15.540004305000004</v>
      </c>
      <c r="AI197" s="963">
        <f>-Master!Q55</f>
        <v>16.317004520250006</v>
      </c>
      <c r="AJ197" s="963">
        <f>-Master!R55</f>
        <v>17.132854746262506</v>
      </c>
      <c r="AK197" s="963">
        <f>-Master!S55</f>
        <v>17.989497483575633</v>
      </c>
      <c r="AL197" s="963">
        <f>-Master!T55</f>
        <v>18.888972357754415</v>
      </c>
      <c r="AM197" s="963">
        <f>-Master!U55</f>
        <v>19.833420975642138</v>
      </c>
      <c r="AN197" s="963">
        <f>-Master!V55</f>
        <v>20.825092024424247</v>
      </c>
      <c r="AO197" s="154"/>
      <c r="AP197" s="154"/>
      <c r="AQ197" s="154"/>
      <c r="AR197" s="154"/>
      <c r="AS197" s="154"/>
      <c r="AT197" s="154"/>
      <c r="AU197" s="154"/>
      <c r="AV197" s="154"/>
      <c r="AW197" s="154"/>
      <c r="AX197" s="154"/>
      <c r="AY197" s="154"/>
    </row>
    <row r="198" spans="1:51">
      <c r="A198" s="154"/>
      <c r="B198" s="962" t="s">
        <v>665</v>
      </c>
      <c r="C198" s="963"/>
      <c r="D198" s="963"/>
      <c r="E198" s="963"/>
      <c r="F198" s="963"/>
      <c r="G198" s="963"/>
      <c r="H198" s="963"/>
      <c r="I198" s="963"/>
      <c r="J198" s="963"/>
      <c r="K198" s="963"/>
      <c r="L198" s="963"/>
      <c r="M198" s="963"/>
      <c r="N198" s="963"/>
      <c r="O198" s="963"/>
      <c r="P198" s="963"/>
      <c r="Q198" s="963"/>
      <c r="R198" s="963"/>
      <c r="S198" s="963"/>
      <c r="T198" s="963"/>
      <c r="U198" s="963"/>
      <c r="V198" s="963"/>
      <c r="W198" s="963"/>
      <c r="X198" s="963"/>
      <c r="Y198" s="963"/>
      <c r="Z198" s="963"/>
      <c r="AA198" s="963"/>
      <c r="AB198" s="963"/>
      <c r="AC198" s="963"/>
      <c r="AD198" s="963"/>
      <c r="AE198" s="963"/>
      <c r="AF198" s="963"/>
      <c r="AG198" s="963"/>
      <c r="AH198" s="963"/>
      <c r="AI198" s="963"/>
      <c r="AJ198" s="963"/>
      <c r="AK198" s="963"/>
      <c r="AL198" s="963"/>
      <c r="AM198" s="963"/>
      <c r="AN198" s="963"/>
      <c r="AO198" s="154"/>
      <c r="AP198" s="154"/>
      <c r="AQ198" s="154"/>
      <c r="AR198" s="154"/>
      <c r="AS198" s="154"/>
      <c r="AT198" s="154"/>
      <c r="AU198" s="154"/>
      <c r="AV198" s="154"/>
      <c r="AW198" s="154"/>
      <c r="AX198" s="154"/>
      <c r="AY198" s="154"/>
    </row>
    <row r="199" spans="1:51">
      <c r="A199" s="154"/>
      <c r="B199" s="964" t="s">
        <v>1116</v>
      </c>
      <c r="C199" s="965"/>
      <c r="D199" s="965"/>
      <c r="E199" s="965"/>
      <c r="F199" s="965"/>
      <c r="G199" s="965"/>
      <c r="H199" s="965"/>
      <c r="I199" s="965"/>
      <c r="J199" s="965"/>
      <c r="K199" s="965"/>
      <c r="L199" s="965"/>
      <c r="M199" s="965"/>
      <c r="N199" s="965"/>
      <c r="O199" s="965"/>
      <c r="P199" s="965"/>
      <c r="Q199" s="965"/>
      <c r="R199" s="965"/>
      <c r="S199" s="965"/>
      <c r="T199" s="965"/>
      <c r="U199" s="965"/>
      <c r="V199" s="965"/>
      <c r="W199" s="965"/>
      <c r="X199" s="965"/>
      <c r="Y199" s="965">
        <f>SUM(Y192:Y198)</f>
        <v>418.39700000000005</v>
      </c>
      <c r="Z199" s="965">
        <f t="shared" ref="Z199:AI199" si="10">SUM(Z192:Z198)</f>
        <v>425.7109999999999</v>
      </c>
      <c r="AA199" s="965">
        <f t="shared" si="10"/>
        <v>309.85999999999996</v>
      </c>
      <c r="AB199" s="965">
        <f t="shared" si="10"/>
        <v>287.71100000000007</v>
      </c>
      <c r="AC199" s="965">
        <f t="shared" si="10"/>
        <v>486.23399999999987</v>
      </c>
      <c r="AD199" s="965">
        <f t="shared" si="10"/>
        <v>572.51649472278893</v>
      </c>
      <c r="AE199" s="965">
        <f t="shared" si="10"/>
        <v>604.09547241020698</v>
      </c>
      <c r="AF199" s="965">
        <f t="shared" si="10"/>
        <v>680.39062191989262</v>
      </c>
      <c r="AG199" s="965">
        <f t="shared" si="10"/>
        <v>723.34260355329252</v>
      </c>
      <c r="AH199" s="965">
        <f t="shared" si="10"/>
        <v>779.21117210006503</v>
      </c>
      <c r="AI199" s="965">
        <f t="shared" si="10"/>
        <v>828.00978376521562</v>
      </c>
      <c r="AJ199" s="965">
        <f t="shared" ref="AJ199:AN199" si="11">SUM(AJ192:AJ198)</f>
        <v>891.65299718199788</v>
      </c>
      <c r="AK199" s="965">
        <f t="shared" si="11"/>
        <v>933.14855916512238</v>
      </c>
      <c r="AL199" s="965">
        <f t="shared" si="11"/>
        <v>1002.7071534979467</v>
      </c>
      <c r="AM199" s="965">
        <f t="shared" si="11"/>
        <v>1063.9725102961931</v>
      </c>
      <c r="AN199" s="965">
        <f t="shared" si="11"/>
        <v>1115.4727456547298</v>
      </c>
      <c r="AO199" s="154"/>
      <c r="AP199" s="154"/>
      <c r="AQ199" s="154"/>
      <c r="AR199" s="154"/>
      <c r="AS199" s="154"/>
      <c r="AT199" s="154"/>
      <c r="AU199" s="154"/>
      <c r="AV199" s="154"/>
      <c r="AW199" s="154"/>
      <c r="AX199" s="154"/>
      <c r="AY199" s="154"/>
    </row>
    <row r="200" spans="1:51">
      <c r="A200" s="154"/>
      <c r="B200" s="966"/>
      <c r="C200" s="963"/>
      <c r="D200" s="963"/>
      <c r="E200" s="963"/>
      <c r="F200" s="963"/>
      <c r="G200" s="963"/>
      <c r="H200" s="963"/>
      <c r="I200" s="963"/>
      <c r="J200" s="963"/>
      <c r="K200" s="963"/>
      <c r="L200" s="963"/>
      <c r="M200" s="963"/>
      <c r="N200" s="963"/>
      <c r="O200" s="963"/>
      <c r="P200" s="963"/>
      <c r="Q200" s="963"/>
      <c r="R200" s="963"/>
      <c r="S200" s="963"/>
      <c r="T200" s="963"/>
      <c r="U200" s="963"/>
      <c r="V200" s="963"/>
      <c r="W200" s="963"/>
      <c r="X200" s="963"/>
      <c r="Y200" s="963"/>
      <c r="Z200" s="963"/>
      <c r="AA200" s="963"/>
      <c r="AB200" s="963"/>
      <c r="AC200" s="963"/>
      <c r="AD200" s="963"/>
      <c r="AE200" s="963"/>
      <c r="AF200" s="963"/>
      <c r="AG200" s="963"/>
      <c r="AH200" s="963"/>
      <c r="AI200" s="963"/>
      <c r="AJ200" s="963"/>
      <c r="AK200" s="963"/>
      <c r="AL200" s="963"/>
      <c r="AM200" s="963"/>
      <c r="AN200" s="963"/>
      <c r="AO200" s="154"/>
      <c r="AP200" s="154"/>
      <c r="AQ200" s="154"/>
      <c r="AR200" s="154"/>
      <c r="AS200" s="154"/>
      <c r="AT200" s="154"/>
      <c r="AU200" s="154"/>
      <c r="AV200" s="154"/>
      <c r="AW200" s="154"/>
      <c r="AX200" s="154"/>
      <c r="AY200" s="154"/>
    </row>
    <row r="201" spans="1:51">
      <c r="A201" s="154"/>
      <c r="B201" s="962" t="s">
        <v>1117</v>
      </c>
      <c r="C201" s="963"/>
      <c r="D201" s="963"/>
      <c r="E201" s="963"/>
      <c r="F201" s="963"/>
      <c r="G201" s="963"/>
      <c r="H201" s="963"/>
      <c r="I201" s="963"/>
      <c r="J201" s="963"/>
      <c r="K201" s="963"/>
      <c r="L201" s="963"/>
      <c r="M201" s="963"/>
      <c r="N201" s="963"/>
      <c r="O201" s="963"/>
      <c r="P201" s="963"/>
      <c r="Q201" s="963"/>
      <c r="R201" s="963"/>
      <c r="S201" s="963"/>
      <c r="T201" s="963"/>
      <c r="U201" s="963"/>
      <c r="V201" s="963"/>
      <c r="W201" s="963"/>
      <c r="X201" s="963"/>
      <c r="Y201" s="963">
        <f>Master!G111</f>
        <v>-182.07599999999999</v>
      </c>
      <c r="Z201" s="963">
        <f>Master!H111</f>
        <v>-193.41</v>
      </c>
      <c r="AA201" s="963">
        <f>Master!I111</f>
        <v>-255.57500000000002</v>
      </c>
      <c r="AB201" s="963">
        <f>Master!J111</f>
        <v>-332.464</v>
      </c>
      <c r="AC201" s="963">
        <f>Master!K111</f>
        <v>-374.36499999999995</v>
      </c>
      <c r="AD201" s="963">
        <f>Master!L111</f>
        <v>-386.51656725155664</v>
      </c>
      <c r="AE201" s="963">
        <f>Master!M111</f>
        <v>-381.28046923133184</v>
      </c>
      <c r="AF201" s="963">
        <f>Master!N111</f>
        <v>-381.74327613737455</v>
      </c>
      <c r="AG201" s="963">
        <f>Master!O111</f>
        <v>-381.86701110161994</v>
      </c>
      <c r="AH201" s="963">
        <f>Master!P111</f>
        <v>-382.06778073325887</v>
      </c>
      <c r="AI201" s="963">
        <f>Master!Q111</f>
        <v>-382.24070564658905</v>
      </c>
      <c r="AJ201" s="963">
        <f>Master!R111</f>
        <v>-382.44515346579732</v>
      </c>
      <c r="AK201" s="963">
        <f>Master!S111</f>
        <v>-383.0112717254525</v>
      </c>
      <c r="AL201" s="963">
        <f>Master!T111</f>
        <v>-384.09148599816046</v>
      </c>
      <c r="AM201" s="963">
        <f>Master!U111</f>
        <v>-385.59477106074706</v>
      </c>
      <c r="AN201" s="963">
        <f>Master!V111</f>
        <v>-387.69777264614646</v>
      </c>
      <c r="AO201" s="154"/>
      <c r="AP201" s="154"/>
      <c r="AQ201" s="154"/>
      <c r="AR201" s="154"/>
      <c r="AS201" s="154"/>
      <c r="AT201" s="154"/>
      <c r="AU201" s="154"/>
      <c r="AV201" s="154"/>
      <c r="AW201" s="154"/>
      <c r="AX201" s="154"/>
      <c r="AY201" s="154"/>
    </row>
    <row r="202" spans="1:51">
      <c r="A202" s="154"/>
      <c r="B202" s="962" t="s">
        <v>1118</v>
      </c>
      <c r="C202" s="963"/>
      <c r="D202" s="963"/>
      <c r="E202" s="963"/>
      <c r="F202" s="963"/>
      <c r="G202" s="963"/>
      <c r="H202" s="963"/>
      <c r="I202" s="963"/>
      <c r="J202" s="963"/>
      <c r="K202" s="963"/>
      <c r="L202" s="963"/>
      <c r="M202" s="963"/>
      <c r="N202" s="963"/>
      <c r="O202" s="963"/>
      <c r="P202" s="963"/>
      <c r="Q202" s="963"/>
      <c r="R202" s="963"/>
      <c r="S202" s="963"/>
      <c r="T202" s="963"/>
      <c r="U202" s="963"/>
      <c r="V202" s="963"/>
      <c r="W202" s="963"/>
      <c r="X202" s="963"/>
      <c r="Y202" s="963">
        <f>Master!G115</f>
        <v>-39.152999999999999</v>
      </c>
      <c r="Z202" s="963">
        <f>Master!H115</f>
        <v>-63.323999999999998</v>
      </c>
      <c r="AA202" s="963">
        <f>Master!I115</f>
        <v>-76.629000000000005</v>
      </c>
      <c r="AB202" s="963">
        <f>Master!J115</f>
        <v>-72.853999999999999</v>
      </c>
      <c r="AC202" s="963">
        <f>Master!K115</f>
        <v>-55.232999999999997</v>
      </c>
      <c r="AD202" s="963">
        <f>Master!L115</f>
        <v>-60.756300000000003</v>
      </c>
      <c r="AE202" s="963">
        <f>Master!M115</f>
        <v>-66.831930000000014</v>
      </c>
      <c r="AF202" s="963">
        <f>Master!N115</f>
        <v>-73.515123000000017</v>
      </c>
      <c r="AG202" s="963">
        <f>Master!O115</f>
        <v>-80.866635300000027</v>
      </c>
      <c r="AH202" s="963">
        <f>Master!P115</f>
        <v>-88.953298830000037</v>
      </c>
      <c r="AI202" s="963">
        <f>Master!Q115</f>
        <v>-97.848628713000053</v>
      </c>
      <c r="AJ202" s="963">
        <f>Master!R115</f>
        <v>-105.18727586647505</v>
      </c>
      <c r="AK202" s="963">
        <f>Master!S115</f>
        <v>-110.44663965979881</v>
      </c>
      <c r="AL202" s="963">
        <f>Master!T115</f>
        <v>-115.96897164278874</v>
      </c>
      <c r="AM202" s="963">
        <f>Master!U115</f>
        <v>-121.76742022492819</v>
      </c>
      <c r="AN202" s="963">
        <f>Master!V115</f>
        <v>-127.8557912361746</v>
      </c>
      <c r="AO202" s="154"/>
      <c r="AP202" s="154"/>
      <c r="AQ202" s="154"/>
      <c r="AR202" s="154"/>
      <c r="AS202" s="154"/>
      <c r="AT202" s="154"/>
      <c r="AU202" s="154"/>
      <c r="AV202" s="154"/>
      <c r="AW202" s="154"/>
      <c r="AX202" s="154"/>
      <c r="AY202" s="154"/>
    </row>
    <row r="203" spans="1:51">
      <c r="A203" s="154"/>
      <c r="B203" s="967" t="s">
        <v>1119</v>
      </c>
      <c r="C203" s="968"/>
      <c r="D203" s="968"/>
      <c r="E203" s="968"/>
      <c r="F203" s="968"/>
      <c r="G203" s="968"/>
      <c r="H203" s="968"/>
      <c r="I203" s="968"/>
      <c r="J203" s="968"/>
      <c r="K203" s="968"/>
      <c r="L203" s="968"/>
      <c r="M203" s="968"/>
      <c r="N203" s="968"/>
      <c r="O203" s="968"/>
      <c r="P203" s="968"/>
      <c r="Q203" s="968"/>
      <c r="R203" s="968"/>
      <c r="S203" s="968"/>
      <c r="T203" s="968"/>
      <c r="U203" s="968"/>
      <c r="V203" s="968"/>
      <c r="W203" s="968"/>
      <c r="X203" s="968"/>
      <c r="Y203" s="968">
        <f>SUM(Y199:Y202)</f>
        <v>197.16800000000006</v>
      </c>
      <c r="Z203" s="968">
        <f t="shared" ref="Z203:AI203" si="12">SUM(Z199:Z202)</f>
        <v>168.97699999999992</v>
      </c>
      <c r="AA203" s="968">
        <f t="shared" si="12"/>
        <v>-22.344000000000065</v>
      </c>
      <c r="AB203" s="968">
        <f t="shared" si="12"/>
        <v>-117.60699999999993</v>
      </c>
      <c r="AC203" s="968">
        <f t="shared" si="12"/>
        <v>56.635999999999918</v>
      </c>
      <c r="AD203" s="968">
        <f t="shared" si="12"/>
        <v>125.24362747123229</v>
      </c>
      <c r="AE203" s="968">
        <f t="shared" si="12"/>
        <v>155.98307317887515</v>
      </c>
      <c r="AF203" s="968">
        <f t="shared" si="12"/>
        <v>225.13222278251806</v>
      </c>
      <c r="AG203" s="968">
        <f t="shared" si="12"/>
        <v>260.60895715167254</v>
      </c>
      <c r="AH203" s="968">
        <f t="shared" si="12"/>
        <v>308.19009253680611</v>
      </c>
      <c r="AI203" s="968">
        <f t="shared" si="12"/>
        <v>347.92044940562653</v>
      </c>
      <c r="AJ203" s="968">
        <f t="shared" ref="AJ203:AN203" si="13">SUM(AJ199:AJ202)</f>
        <v>404.02056784972552</v>
      </c>
      <c r="AK203" s="968">
        <f t="shared" si="13"/>
        <v>439.69064777987109</v>
      </c>
      <c r="AL203" s="968">
        <f t="shared" si="13"/>
        <v>502.6466958569975</v>
      </c>
      <c r="AM203" s="968">
        <f t="shared" si="13"/>
        <v>556.61031901051797</v>
      </c>
      <c r="AN203" s="968">
        <f t="shared" si="13"/>
        <v>599.91918177240882</v>
      </c>
      <c r="AO203" s="154"/>
      <c r="AP203" s="154"/>
      <c r="AQ203" s="154"/>
      <c r="AR203" s="154"/>
      <c r="AS203" s="154"/>
      <c r="AT203" s="154"/>
      <c r="AU203" s="154"/>
      <c r="AV203" s="154"/>
      <c r="AW203" s="154"/>
      <c r="AX203" s="154"/>
      <c r="AY203" s="154"/>
    </row>
    <row r="204" spans="1:51">
      <c r="A204" s="154"/>
      <c r="B204" s="962"/>
      <c r="C204" s="969"/>
      <c r="D204" s="969"/>
      <c r="E204" s="969"/>
      <c r="F204" s="969"/>
      <c r="G204" s="969"/>
      <c r="H204" s="969"/>
      <c r="I204" s="969"/>
      <c r="J204" s="969"/>
      <c r="K204" s="969"/>
      <c r="L204" s="969"/>
      <c r="M204" s="969"/>
      <c r="N204" s="969"/>
      <c r="O204" s="969"/>
      <c r="P204" s="969"/>
      <c r="Q204" s="969"/>
      <c r="R204" s="969"/>
      <c r="S204" s="969"/>
      <c r="T204" s="969"/>
      <c r="U204" s="969"/>
      <c r="V204" s="969"/>
      <c r="W204" s="969"/>
      <c r="X204" s="969"/>
      <c r="Y204" s="969"/>
      <c r="Z204" s="969"/>
      <c r="AA204" s="969"/>
      <c r="AB204" s="969"/>
      <c r="AC204" s="969"/>
      <c r="AD204" s="969"/>
      <c r="AE204" s="969"/>
      <c r="AF204" s="969"/>
      <c r="AG204" s="969"/>
      <c r="AH204" s="969"/>
      <c r="AI204" s="969"/>
      <c r="AJ204" s="969"/>
      <c r="AK204" s="969"/>
      <c r="AL204" s="969"/>
      <c r="AM204" s="969"/>
      <c r="AN204" s="969"/>
      <c r="AO204" s="154"/>
      <c r="AP204" s="154"/>
      <c r="AQ204" s="154"/>
      <c r="AR204" s="154"/>
      <c r="AS204" s="154"/>
      <c r="AT204" s="154"/>
      <c r="AU204" s="154"/>
      <c r="AV204" s="154"/>
      <c r="AW204" s="154"/>
      <c r="AX204" s="154"/>
      <c r="AY204" s="154"/>
    </row>
    <row r="205" spans="1:51">
      <c r="A205" s="154"/>
      <c r="B205" s="962" t="s">
        <v>1120</v>
      </c>
      <c r="C205" s="969"/>
      <c r="D205" s="969"/>
      <c r="E205" s="969"/>
      <c r="F205" s="969"/>
      <c r="G205" s="969"/>
      <c r="H205" s="969"/>
      <c r="I205" s="969"/>
      <c r="J205" s="969"/>
      <c r="K205" s="969"/>
      <c r="L205" s="969"/>
      <c r="M205" s="969"/>
      <c r="N205" s="969"/>
      <c r="O205" s="969"/>
      <c r="P205" s="969"/>
      <c r="Q205" s="969"/>
      <c r="R205" s="969"/>
      <c r="S205" s="969"/>
      <c r="T205" s="969"/>
      <c r="U205" s="969"/>
      <c r="V205" s="969"/>
      <c r="W205" s="969"/>
      <c r="X205" s="969"/>
      <c r="Y205" s="969">
        <v>0</v>
      </c>
      <c r="Z205" s="969">
        <v>0</v>
      </c>
      <c r="AA205" s="969">
        <v>0</v>
      </c>
      <c r="AB205" s="969">
        <v>0</v>
      </c>
      <c r="AC205" s="969">
        <v>0</v>
      </c>
      <c r="AD205" s="969">
        <v>0</v>
      </c>
      <c r="AE205" s="969">
        <v>0</v>
      </c>
      <c r="AF205" s="969">
        <v>0</v>
      </c>
      <c r="AG205" s="969">
        <v>0</v>
      </c>
      <c r="AH205" s="969">
        <v>0</v>
      </c>
      <c r="AI205" s="969">
        <v>0</v>
      </c>
      <c r="AJ205" s="969">
        <v>0</v>
      </c>
      <c r="AK205" s="969">
        <v>0</v>
      </c>
      <c r="AL205" s="969">
        <v>0</v>
      </c>
      <c r="AM205" s="969">
        <v>0</v>
      </c>
      <c r="AN205" s="969">
        <v>0</v>
      </c>
      <c r="AO205" s="154"/>
      <c r="AP205" s="154"/>
      <c r="AQ205" s="154"/>
      <c r="AR205" s="154"/>
      <c r="AS205" s="154"/>
      <c r="AT205" s="154"/>
      <c r="AU205" s="154"/>
      <c r="AV205" s="154"/>
      <c r="AW205" s="154"/>
      <c r="AX205" s="154"/>
      <c r="AY205" s="154"/>
    </row>
    <row r="206" spans="1:51">
      <c r="A206" s="154"/>
      <c r="B206" s="970" t="s">
        <v>344</v>
      </c>
      <c r="C206" s="965"/>
      <c r="D206" s="965"/>
      <c r="E206" s="965"/>
      <c r="F206" s="965"/>
      <c r="G206" s="965"/>
      <c r="H206" s="965"/>
      <c r="I206" s="965"/>
      <c r="J206" s="965"/>
      <c r="K206" s="965"/>
      <c r="L206" s="965"/>
      <c r="M206" s="965"/>
      <c r="N206" s="965"/>
      <c r="O206" s="965"/>
      <c r="P206" s="965"/>
      <c r="Q206" s="965"/>
      <c r="R206" s="965"/>
      <c r="S206" s="965"/>
      <c r="T206" s="965"/>
      <c r="U206" s="965"/>
      <c r="V206" s="965"/>
      <c r="W206" s="965"/>
      <c r="X206" s="965"/>
      <c r="Y206" s="965">
        <f>SUM(Y203:Y205)</f>
        <v>197.16800000000006</v>
      </c>
      <c r="Z206" s="965">
        <f t="shared" ref="Z206:AI206" si="14">SUM(Z203:Z205)</f>
        <v>168.97699999999992</v>
      </c>
      <c r="AA206" s="965">
        <f t="shared" si="14"/>
        <v>-22.344000000000065</v>
      </c>
      <c r="AB206" s="965">
        <f t="shared" si="14"/>
        <v>-117.60699999999993</v>
      </c>
      <c r="AC206" s="965">
        <f t="shared" si="14"/>
        <v>56.635999999999918</v>
      </c>
      <c r="AD206" s="965">
        <f t="shared" si="14"/>
        <v>125.24362747123229</v>
      </c>
      <c r="AE206" s="965">
        <f t="shared" si="14"/>
        <v>155.98307317887515</v>
      </c>
      <c r="AF206" s="965">
        <f t="shared" si="14"/>
        <v>225.13222278251806</v>
      </c>
      <c r="AG206" s="965">
        <f t="shared" si="14"/>
        <v>260.60895715167254</v>
      </c>
      <c r="AH206" s="965">
        <f t="shared" si="14"/>
        <v>308.19009253680611</v>
      </c>
      <c r="AI206" s="965">
        <f t="shared" si="14"/>
        <v>347.92044940562653</v>
      </c>
      <c r="AJ206" s="965">
        <f t="shared" ref="AJ206:AN206" si="15">SUM(AJ203:AJ205)</f>
        <v>404.02056784972552</v>
      </c>
      <c r="AK206" s="965">
        <f t="shared" si="15"/>
        <v>439.69064777987109</v>
      </c>
      <c r="AL206" s="965">
        <f t="shared" si="15"/>
        <v>502.6466958569975</v>
      </c>
      <c r="AM206" s="965">
        <f t="shared" si="15"/>
        <v>556.61031901051797</v>
      </c>
      <c r="AN206" s="965">
        <f t="shared" si="15"/>
        <v>599.91918177240882</v>
      </c>
      <c r="AO206" s="154"/>
      <c r="AP206" s="154"/>
      <c r="AQ206" s="154"/>
      <c r="AR206" s="154"/>
      <c r="AS206" s="154"/>
      <c r="AT206" s="154"/>
      <c r="AU206" s="154"/>
      <c r="AV206" s="154"/>
      <c r="AW206" s="154"/>
      <c r="AX206" s="154"/>
      <c r="AY206" s="154"/>
    </row>
    <row r="207" spans="1:51">
      <c r="A207" s="154"/>
      <c r="B207" s="962"/>
      <c r="C207" s="971"/>
      <c r="D207" s="971"/>
      <c r="E207" s="971"/>
      <c r="F207" s="971"/>
      <c r="G207" s="971"/>
      <c r="H207" s="971"/>
      <c r="I207" s="971"/>
      <c r="J207" s="971"/>
      <c r="K207" s="971"/>
      <c r="L207" s="971"/>
      <c r="M207" s="971"/>
      <c r="N207" s="971"/>
      <c r="O207" s="971"/>
      <c r="P207" s="971"/>
      <c r="Q207" s="971"/>
      <c r="R207" s="971"/>
      <c r="S207" s="971"/>
      <c r="T207" s="971"/>
      <c r="U207" s="971"/>
      <c r="V207" s="971"/>
      <c r="W207" s="971"/>
      <c r="X207" s="971"/>
      <c r="Y207" s="1014"/>
      <c r="Z207" s="1014"/>
      <c r="AA207" s="1014"/>
      <c r="AB207" s="1014"/>
      <c r="AC207" s="1014"/>
      <c r="AD207" s="1014"/>
      <c r="AE207" s="1014"/>
      <c r="AF207" s="1014"/>
      <c r="AG207" s="1014"/>
      <c r="AH207" s="1014"/>
      <c r="AI207" s="1014"/>
      <c r="AJ207" s="1014"/>
      <c r="AK207" s="1014"/>
      <c r="AL207" s="1014"/>
      <c r="AM207" s="1014"/>
      <c r="AN207" s="1014"/>
      <c r="AO207" s="154"/>
      <c r="AP207" s="154"/>
      <c r="AQ207" s="154"/>
      <c r="AR207" s="154"/>
      <c r="AS207" s="154"/>
      <c r="AT207" s="154"/>
      <c r="AU207" s="154"/>
      <c r="AV207" s="154"/>
      <c r="AW207" s="154"/>
      <c r="AX207" s="154"/>
      <c r="AY207" s="154"/>
    </row>
    <row r="208" spans="1:51">
      <c r="A208" s="154"/>
      <c r="B208" s="962" t="s">
        <v>112</v>
      </c>
      <c r="C208" s="969"/>
      <c r="D208" s="969"/>
      <c r="E208" s="969"/>
      <c r="F208" s="969"/>
      <c r="G208" s="969"/>
      <c r="H208" s="969"/>
      <c r="I208" s="969"/>
      <c r="J208" s="969"/>
      <c r="K208" s="969"/>
      <c r="L208" s="969"/>
      <c r="M208" s="969"/>
      <c r="N208" s="969"/>
      <c r="O208" s="969"/>
      <c r="P208" s="969"/>
      <c r="Q208" s="969"/>
      <c r="R208" s="969"/>
      <c r="S208" s="969"/>
      <c r="T208" s="969"/>
      <c r="U208" s="969"/>
      <c r="V208" s="969"/>
      <c r="W208" s="969"/>
      <c r="X208" s="969"/>
      <c r="Y208" s="969">
        <f>-Master!G117</f>
        <v>0</v>
      </c>
      <c r="Z208" s="969">
        <f>-Master!H117</f>
        <v>0</v>
      </c>
      <c r="AA208" s="969">
        <f>-Master!I117</f>
        <v>0</v>
      </c>
      <c r="AB208" s="969">
        <f>-Master!J117</f>
        <v>0</v>
      </c>
      <c r="AC208" s="969">
        <f>-Master!K117</f>
        <v>0</v>
      </c>
      <c r="AD208" s="969">
        <f>-Master!L117</f>
        <v>0</v>
      </c>
      <c r="AE208" s="969">
        <f>-Master!M117</f>
        <v>57.831694664433911</v>
      </c>
      <c r="AF208" s="969">
        <f>-Master!N117</f>
        <v>76.587615209870577</v>
      </c>
      <c r="AG208" s="969">
        <f>-Master!O117</f>
        <v>102.80022276219552</v>
      </c>
      <c r="AH208" s="969">
        <f>-Master!P117</f>
        <v>124.65131144428392</v>
      </c>
      <c r="AI208" s="969">
        <f>-Master!Q117</f>
        <v>149.01755446565821</v>
      </c>
      <c r="AJ208" s="969">
        <f>-Master!R117</f>
        <v>175.07024156678881</v>
      </c>
      <c r="AK208" s="969">
        <f>-Master!S117</f>
        <v>201.28877661678592</v>
      </c>
      <c r="AL208" s="969">
        <f>-Master!T117</f>
        <v>228.79921402100317</v>
      </c>
      <c r="AM208" s="969">
        <f>-Master!U117</f>
        <v>258.37953261153433</v>
      </c>
      <c r="AN208" s="969">
        <f>-Master!V117</f>
        <v>290.41732067076373</v>
      </c>
      <c r="AO208" s="154"/>
      <c r="AP208" s="154"/>
      <c r="AQ208" s="154"/>
      <c r="AR208" s="154"/>
      <c r="AS208" s="154"/>
      <c r="AT208" s="154"/>
      <c r="AU208" s="154"/>
      <c r="AV208" s="154"/>
      <c r="AW208" s="154"/>
      <c r="AX208" s="154"/>
      <c r="AY208" s="154"/>
    </row>
    <row r="209" spans="1:51">
      <c r="A209" s="154"/>
      <c r="B209" s="962" t="s">
        <v>986</v>
      </c>
      <c r="C209" s="969"/>
      <c r="D209" s="969"/>
      <c r="E209" s="969"/>
      <c r="F209" s="969"/>
      <c r="G209" s="969"/>
      <c r="H209" s="969"/>
      <c r="I209" s="969"/>
      <c r="J209" s="969"/>
      <c r="K209" s="969"/>
      <c r="L209" s="969"/>
      <c r="M209" s="969"/>
      <c r="N209" s="969"/>
      <c r="O209" s="969"/>
      <c r="P209" s="969"/>
      <c r="Q209" s="969"/>
      <c r="R209" s="969"/>
      <c r="S209" s="969"/>
      <c r="T209" s="969"/>
      <c r="U209" s="969"/>
      <c r="V209" s="969"/>
      <c r="W209" s="969"/>
      <c r="X209" s="969"/>
      <c r="Y209" s="969">
        <f>-Master!G118</f>
        <v>0</v>
      </c>
      <c r="Z209" s="969">
        <f>-Master!H118</f>
        <v>0</v>
      </c>
      <c r="AA209" s="969">
        <f>-Master!I118</f>
        <v>0</v>
      </c>
      <c r="AB209" s="969">
        <f>-Master!J118</f>
        <v>10.037000000000001</v>
      </c>
      <c r="AC209" s="969">
        <f>-Master!K118</f>
        <v>0</v>
      </c>
      <c r="AD209" s="969">
        <f>-Master!L118</f>
        <v>40</v>
      </c>
      <c r="AE209" s="969">
        <f>-Master!M118</f>
        <v>50</v>
      </c>
      <c r="AF209" s="969">
        <f>-Master!N118</f>
        <v>60</v>
      </c>
      <c r="AG209" s="969">
        <f>-Master!O118</f>
        <v>70</v>
      </c>
      <c r="AH209" s="969">
        <f>-Master!P118</f>
        <v>80</v>
      </c>
      <c r="AI209" s="969">
        <f>-Master!Q118</f>
        <v>90</v>
      </c>
      <c r="AJ209" s="969">
        <f>-Master!R118</f>
        <v>100</v>
      </c>
      <c r="AK209" s="969">
        <f>-Master!S118</f>
        <v>110</v>
      </c>
      <c r="AL209" s="969">
        <f>-Master!T118</f>
        <v>120</v>
      </c>
      <c r="AM209" s="969">
        <f>-Master!U118</f>
        <v>130</v>
      </c>
      <c r="AN209" s="969">
        <f>-Master!V118</f>
        <v>140</v>
      </c>
      <c r="AO209" s="154"/>
      <c r="AP209" s="154"/>
      <c r="AQ209" s="154"/>
      <c r="AR209" s="154"/>
      <c r="AS209" s="154"/>
      <c r="AT209" s="154"/>
      <c r="AU209" s="154"/>
      <c r="AV209" s="154"/>
      <c r="AW209" s="154"/>
      <c r="AX209" s="154"/>
      <c r="AY209" s="154"/>
    </row>
    <row r="210" spans="1:51">
      <c r="A210" s="154"/>
      <c r="B210" s="1025"/>
      <c r="C210" s="1027"/>
      <c r="D210" s="1027"/>
      <c r="E210" s="1027"/>
      <c r="F210" s="1027"/>
      <c r="G210" s="1027"/>
      <c r="H210" s="1027"/>
      <c r="I210" s="1027"/>
      <c r="J210" s="1027"/>
      <c r="K210" s="1027"/>
      <c r="L210" s="1027"/>
      <c r="M210" s="1027"/>
      <c r="N210" s="1027"/>
      <c r="O210" s="1027"/>
      <c r="P210" s="1027"/>
      <c r="Q210" s="1027"/>
      <c r="R210" s="1027"/>
      <c r="S210" s="1027"/>
      <c r="T210" s="1027"/>
      <c r="U210" s="1027"/>
      <c r="V210" s="1027"/>
      <c r="W210" s="1027"/>
      <c r="X210" s="1027"/>
      <c r="Y210" s="1072"/>
      <c r="Z210" s="1072"/>
      <c r="AA210" s="1072"/>
      <c r="AB210" s="1072"/>
      <c r="AC210" s="1072"/>
      <c r="AD210" s="1072"/>
      <c r="AE210" s="1072"/>
      <c r="AF210" s="1072"/>
      <c r="AG210" s="1072"/>
      <c r="AH210" s="1072"/>
      <c r="AI210" s="1072"/>
      <c r="AJ210" s="1072"/>
      <c r="AK210" s="1072"/>
      <c r="AL210" s="1072"/>
      <c r="AM210" s="1072"/>
      <c r="AN210" s="1072"/>
      <c r="AO210" s="154"/>
      <c r="AP210" s="154"/>
      <c r="AQ210" s="154"/>
      <c r="AR210" s="154"/>
      <c r="AS210" s="154"/>
      <c r="AT210" s="154"/>
      <c r="AU210" s="154"/>
      <c r="AV210" s="154"/>
      <c r="AW210" s="154"/>
      <c r="AX210" s="154"/>
      <c r="AY210" s="154"/>
    </row>
    <row r="211" spans="1:51">
      <c r="A211" s="154"/>
      <c r="B211" s="1025"/>
      <c r="C211" s="1027"/>
      <c r="D211" s="1027"/>
      <c r="E211" s="1027"/>
      <c r="F211" s="1027"/>
      <c r="G211" s="1027"/>
      <c r="H211" s="1027"/>
      <c r="I211" s="1027"/>
      <c r="J211" s="1027"/>
      <c r="K211" s="1027"/>
      <c r="L211" s="1027"/>
      <c r="M211" s="1027"/>
      <c r="N211" s="1027"/>
      <c r="O211" s="1027"/>
      <c r="P211" s="1027"/>
      <c r="Q211" s="1027"/>
      <c r="R211" s="1027"/>
      <c r="S211" s="1027"/>
      <c r="T211" s="1027"/>
      <c r="U211" s="1027"/>
      <c r="V211" s="1027"/>
      <c r="W211" s="1027"/>
      <c r="X211" s="1027"/>
      <c r="Y211" s="1027"/>
      <c r="Z211" s="1027"/>
      <c r="AA211" s="1027"/>
      <c r="AB211" s="1027"/>
      <c r="AC211" s="1027"/>
      <c r="AD211" s="1027"/>
      <c r="AE211" s="1027"/>
      <c r="AF211" s="1027"/>
      <c r="AG211" s="1027"/>
      <c r="AH211" s="1027"/>
      <c r="AI211" s="1027"/>
      <c r="AJ211" s="1027"/>
      <c r="AK211" s="1027"/>
      <c r="AL211" s="1027"/>
      <c r="AM211" s="1027"/>
      <c r="AN211" s="1027"/>
      <c r="AO211" s="154"/>
      <c r="AP211" s="154"/>
      <c r="AQ211" s="154"/>
      <c r="AR211" s="154"/>
      <c r="AS211" s="154"/>
      <c r="AT211" s="154"/>
      <c r="AU211" s="154"/>
      <c r="AV211" s="154"/>
      <c r="AW211" s="154"/>
      <c r="AX211" s="154"/>
      <c r="AY211" s="154"/>
    </row>
    <row r="212" spans="1:51">
      <c r="A212" s="154"/>
      <c r="B212" s="1048" t="s">
        <v>1168</v>
      </c>
      <c r="C212" s="1039"/>
      <c r="D212" s="1039"/>
      <c r="E212" s="1039"/>
      <c r="F212" s="1039"/>
      <c r="G212" s="1039"/>
      <c r="H212" s="1039"/>
      <c r="I212" s="1039"/>
      <c r="J212" s="1039"/>
      <c r="K212" s="1039"/>
      <c r="L212" s="1039"/>
      <c r="M212" s="1039"/>
      <c r="N212" s="1039"/>
      <c r="O212" s="1039"/>
      <c r="P212" s="1039"/>
      <c r="Q212" s="1039"/>
      <c r="R212" s="1039"/>
      <c r="S212" s="1039"/>
      <c r="T212" s="1039"/>
      <c r="U212" s="1039"/>
      <c r="V212" s="1039"/>
      <c r="W212" s="1039"/>
      <c r="X212" s="1039"/>
      <c r="Y212" s="1111">
        <f>Y206/Valuation!D60</f>
        <v>9.1394934752987017E-2</v>
      </c>
      <c r="Z212" s="1111">
        <f>Z206/Valuation!E60</f>
        <v>7.83273243617396E-2</v>
      </c>
      <c r="AA212" s="1111">
        <f>AA206/Valuation!F60</f>
        <v>-1.0061412576665783E-2</v>
      </c>
      <c r="AB212" s="1111">
        <f>AB206/Valuation!G60</f>
        <v>-5.2606201214901865E-2</v>
      </c>
      <c r="AC212" s="1111">
        <f>AC206/Valuation!H60</f>
        <v>2.5342162031410417E-2</v>
      </c>
      <c r="AD212" s="1111">
        <f>AD206/Valuation!I60</f>
        <v>5.7148099934197748E-2</v>
      </c>
      <c r="AE212" s="1111">
        <f>AE206/Valuation!J60</f>
        <v>7.2976261134050494E-2</v>
      </c>
      <c r="AF212" s="1111">
        <f>AF206/Valuation!K60</f>
        <v>0.10862759941545626</v>
      </c>
      <c r="AG212" s="1111">
        <f>AG206/Valuation!L60</f>
        <v>0.13051617870167695</v>
      </c>
      <c r="AH212" s="1111">
        <f>AH206/Valuation!M60</f>
        <v>0.16134126057399148</v>
      </c>
      <c r="AI212" s="1111">
        <f>AI206/Valuation!N60</f>
        <v>0.19192729870207734</v>
      </c>
      <c r="AJ212" s="1111">
        <f>AJ206/Valuation!O60</f>
        <v>0.23702528524600949</v>
      </c>
      <c r="AK212" s="1111">
        <f>AK206/Valuation!P60</f>
        <v>0.27732023498437985</v>
      </c>
      <c r="AL212" s="1111">
        <f>AL206/Valuation!Q60</f>
        <v>0.34531285985813848</v>
      </c>
      <c r="AM212" s="1111">
        <f>AM206/Valuation!R60</f>
        <v>0.42329925570734245</v>
      </c>
      <c r="AN212" s="1111">
        <f>AN206/Valuation!S60</f>
        <v>0.51565264634720132</v>
      </c>
      <c r="AO212" s="154"/>
      <c r="AP212" s="154"/>
      <c r="AQ212" s="154"/>
      <c r="AR212" s="154"/>
      <c r="AS212" s="154"/>
      <c r="AT212" s="154"/>
      <c r="AU212" s="154"/>
      <c r="AV212" s="154"/>
      <c r="AW212" s="154"/>
      <c r="AX212" s="154"/>
      <c r="AY212" s="154"/>
    </row>
    <row r="213" spans="1:51">
      <c r="A213" s="154"/>
      <c r="B213" s="1025" t="s">
        <v>1169</v>
      </c>
      <c r="C213" s="1027"/>
      <c r="D213" s="1027"/>
      <c r="E213" s="1027"/>
      <c r="F213" s="1027"/>
      <c r="G213" s="1027"/>
      <c r="H213" s="1027"/>
      <c r="I213" s="1027"/>
      <c r="J213" s="1027"/>
      <c r="K213" s="1027"/>
      <c r="L213" s="1027"/>
      <c r="M213" s="1027"/>
      <c r="N213" s="1027"/>
      <c r="O213" s="1027"/>
      <c r="P213" s="1027"/>
      <c r="Q213" s="1027"/>
      <c r="R213" s="1027"/>
      <c r="S213" s="1027"/>
      <c r="T213" s="1027"/>
      <c r="U213" s="1027"/>
      <c r="V213" s="1027"/>
      <c r="W213" s="1027"/>
      <c r="X213" s="1027"/>
      <c r="Y213" s="1072">
        <f>Y208/Valuation!D60</f>
        <v>0</v>
      </c>
      <c r="Z213" s="1072">
        <f>Z208/Valuation!E60</f>
        <v>0</v>
      </c>
      <c r="AA213" s="1072">
        <f>AA208/Valuation!F60</f>
        <v>0</v>
      </c>
      <c r="AB213" s="1072">
        <f>AB208/Valuation!G60</f>
        <v>0</v>
      </c>
      <c r="AC213" s="1072">
        <f>AC208/Valuation!H60</f>
        <v>0</v>
      </c>
      <c r="AD213" s="1072">
        <f>AD208/Valuation!I60</f>
        <v>0</v>
      </c>
      <c r="AE213" s="1072">
        <f>AE208/Valuation!J60</f>
        <v>2.7056402759911558E-2</v>
      </c>
      <c r="AF213" s="1072">
        <f>AF208/Valuation!K60</f>
        <v>3.6953967239242103E-2</v>
      </c>
      <c r="AG213" s="1072">
        <f>AG208/Valuation!L60</f>
        <v>5.1483618948654386E-2</v>
      </c>
      <c r="AH213" s="1072">
        <f>AH208/Valuation!M60</f>
        <v>6.5256477114753922E-2</v>
      </c>
      <c r="AI213" s="1072">
        <f>AI208/Valuation!N60</f>
        <v>8.2204241620874779E-2</v>
      </c>
      <c r="AJ213" s="1072">
        <f>AJ208/Valuation!O60</f>
        <v>0.10270782541172574</v>
      </c>
      <c r="AK213" s="1072">
        <f>AK208/Valuation!P60</f>
        <v>0.12695619320753021</v>
      </c>
      <c r="AL213" s="1072">
        <f>AL208/Valuation!Q60</f>
        <v>0.15718259281935956</v>
      </c>
      <c r="AM213" s="1072">
        <f>AM208/Valuation!R60</f>
        <v>0.19649629212570663</v>
      </c>
      <c r="AN213" s="1072">
        <f>AN208/Valuation!S60</f>
        <v>0.2496243902495443</v>
      </c>
      <c r="AO213" s="154"/>
      <c r="AP213" s="154"/>
      <c r="AQ213" s="154"/>
      <c r="AR213" s="154"/>
      <c r="AS213" s="154"/>
      <c r="AT213" s="154"/>
      <c r="AU213" s="154"/>
      <c r="AV213" s="154"/>
      <c r="AW213" s="154"/>
      <c r="AX213" s="154"/>
      <c r="AY213" s="154"/>
    </row>
    <row r="214" spans="1:51">
      <c r="A214" s="154"/>
      <c r="B214" s="1025" t="s">
        <v>1170</v>
      </c>
      <c r="C214" s="1027"/>
      <c r="D214" s="1027"/>
      <c r="E214" s="1027"/>
      <c r="F214" s="1027"/>
      <c r="G214" s="1027"/>
      <c r="H214" s="1027"/>
      <c r="I214" s="1027"/>
      <c r="J214" s="1027"/>
      <c r="K214" s="1027"/>
      <c r="L214" s="1027"/>
      <c r="M214" s="1027"/>
      <c r="N214" s="1027"/>
      <c r="O214" s="1027"/>
      <c r="P214" s="1027"/>
      <c r="Q214" s="1027"/>
      <c r="R214" s="1027"/>
      <c r="S214" s="1027"/>
      <c r="T214" s="1027"/>
      <c r="U214" s="1027"/>
      <c r="V214" s="1027"/>
      <c r="W214" s="1027"/>
      <c r="X214" s="1027"/>
      <c r="Y214" s="1072">
        <f>Y209/Valuation!D60</f>
        <v>0</v>
      </c>
      <c r="Z214" s="1072">
        <f>Z209/Valuation!E60</f>
        <v>0</v>
      </c>
      <c r="AA214" s="1072">
        <f>AA209/Valuation!F60</f>
        <v>0</v>
      </c>
      <c r="AB214" s="1072">
        <f>AB209/Valuation!G60</f>
        <v>4.4896004625062319E-3</v>
      </c>
      <c r="AC214" s="1072">
        <f>AC209/Valuation!H60</f>
        <v>0</v>
      </c>
      <c r="AD214" s="1072">
        <f>AD209/Valuation!I60</f>
        <v>1.8251818823220949E-2</v>
      </c>
      <c r="AE214" s="1072">
        <f>AE209/Valuation!J60</f>
        <v>2.3392365481337916E-2</v>
      </c>
      <c r="AF214" s="1072">
        <f>AF209/Valuation!K60</f>
        <v>2.8950346975535144E-2</v>
      </c>
      <c r="AG214" s="1072">
        <f>AG209/Valuation!L60</f>
        <v>3.5056863006440037E-2</v>
      </c>
      <c r="AH214" s="1072">
        <f>AH209/Valuation!M60</f>
        <v>4.1880972680449949E-2</v>
      </c>
      <c r="AI214" s="1072">
        <f>AI209/Valuation!N60</f>
        <v>4.9647719507997436E-2</v>
      </c>
      <c r="AJ214" s="1072">
        <f>AJ209/Valuation!O60</f>
        <v>5.8666638311881798E-2</v>
      </c>
      <c r="AK214" s="1072">
        <f>AK209/Valuation!P60</f>
        <v>6.9378837149054115E-2</v>
      </c>
      <c r="AL214" s="1072">
        <f>AL209/Valuation!Q60</f>
        <v>8.2438706002686157E-2</v>
      </c>
      <c r="AM214" s="1072">
        <f>AM209/Valuation!R60</f>
        <v>9.886432457770275E-2</v>
      </c>
      <c r="AN214" s="1072">
        <f>AN209/Valuation!S60</f>
        <v>0.12033515960487391</v>
      </c>
      <c r="AO214" s="154"/>
      <c r="AP214" s="154"/>
      <c r="AQ214" s="154"/>
      <c r="AR214" s="154"/>
      <c r="AS214" s="154"/>
      <c r="AT214" s="154"/>
      <c r="AU214" s="154"/>
      <c r="AV214" s="154"/>
      <c r="AW214" s="154"/>
      <c r="AX214" s="154"/>
      <c r="AY214" s="154"/>
    </row>
    <row r="215" spans="1:51">
      <c r="A215" s="154"/>
      <c r="B215" s="1048" t="s">
        <v>1175</v>
      </c>
      <c r="C215" s="1039"/>
      <c r="D215" s="1039"/>
      <c r="E215" s="1039"/>
      <c r="F215" s="1039"/>
      <c r="G215" s="1039"/>
      <c r="H215" s="1039"/>
      <c r="I215" s="1039"/>
      <c r="J215" s="1039"/>
      <c r="K215" s="1039"/>
      <c r="L215" s="1039"/>
      <c r="M215" s="1039"/>
      <c r="N215" s="1039"/>
      <c r="O215" s="1039"/>
      <c r="P215" s="1039"/>
      <c r="Q215" s="1039"/>
      <c r="R215" s="1039"/>
      <c r="S215" s="1039"/>
      <c r="T215" s="1039"/>
      <c r="U215" s="1039"/>
      <c r="V215" s="1039"/>
      <c r="W215" s="1039"/>
      <c r="X215" s="1039"/>
      <c r="Y215" s="1112">
        <f>Y213+Y214</f>
        <v>0</v>
      </c>
      <c r="Z215" s="1112">
        <f t="shared" ref="Z215:AN215" si="16">Z213+Z214</f>
        <v>0</v>
      </c>
      <c r="AA215" s="1112">
        <f t="shared" si="16"/>
        <v>0</v>
      </c>
      <c r="AB215" s="1112">
        <f t="shared" si="16"/>
        <v>4.4896004625062319E-3</v>
      </c>
      <c r="AC215" s="1112">
        <f t="shared" si="16"/>
        <v>0</v>
      </c>
      <c r="AD215" s="1112">
        <f t="shared" si="16"/>
        <v>1.8251818823220949E-2</v>
      </c>
      <c r="AE215" s="1112">
        <f t="shared" si="16"/>
        <v>5.044876824124947E-2</v>
      </c>
      <c r="AF215" s="1112">
        <f t="shared" si="16"/>
        <v>6.5904314214777243E-2</v>
      </c>
      <c r="AG215" s="1112">
        <f t="shared" si="16"/>
        <v>8.6540481955094423E-2</v>
      </c>
      <c r="AH215" s="1112">
        <f t="shared" si="16"/>
        <v>0.10713744979520387</v>
      </c>
      <c r="AI215" s="1112">
        <f t="shared" si="16"/>
        <v>0.13185196112887221</v>
      </c>
      <c r="AJ215" s="1112">
        <f t="shared" si="16"/>
        <v>0.16137446372360753</v>
      </c>
      <c r="AK215" s="1112">
        <f t="shared" si="16"/>
        <v>0.19633503035658434</v>
      </c>
      <c r="AL215" s="1112">
        <f t="shared" si="16"/>
        <v>0.23962129882204572</v>
      </c>
      <c r="AM215" s="1112">
        <f t="shared" si="16"/>
        <v>0.29536061670340941</v>
      </c>
      <c r="AN215" s="1112">
        <f t="shared" si="16"/>
        <v>0.3699595498544182</v>
      </c>
      <c r="AO215" s="154"/>
      <c r="AP215" s="154"/>
      <c r="AQ215" s="154"/>
      <c r="AR215" s="154"/>
      <c r="AS215" s="154"/>
      <c r="AT215" s="154"/>
      <c r="AU215" s="154"/>
      <c r="AV215" s="154"/>
      <c r="AW215" s="154"/>
      <c r="AX215" s="154"/>
      <c r="AY215" s="154"/>
    </row>
    <row r="216" spans="1:51">
      <c r="A216" s="154"/>
      <c r="B216" s="1025"/>
      <c r="C216" s="1027"/>
      <c r="D216" s="1027"/>
      <c r="E216" s="1027"/>
      <c r="F216" s="1027"/>
      <c r="G216" s="1027"/>
      <c r="H216" s="1027"/>
      <c r="I216" s="1027"/>
      <c r="J216" s="1027"/>
      <c r="K216" s="1027"/>
      <c r="L216" s="1027"/>
      <c r="M216" s="1027"/>
      <c r="N216" s="1027"/>
      <c r="O216" s="1027"/>
      <c r="P216" s="1027"/>
      <c r="Q216" s="1027"/>
      <c r="R216" s="1027"/>
      <c r="S216" s="1027"/>
      <c r="T216" s="1027"/>
      <c r="U216" s="1027"/>
      <c r="V216" s="1027"/>
      <c r="W216" s="1027"/>
      <c r="X216" s="1027"/>
      <c r="Y216" s="1027"/>
      <c r="Z216" s="1027"/>
      <c r="AA216" s="1027"/>
      <c r="AB216" s="1027"/>
      <c r="AC216" s="1027"/>
      <c r="AD216" s="1027"/>
      <c r="AE216" s="1027"/>
      <c r="AF216" s="1027"/>
      <c r="AG216" s="1027"/>
      <c r="AH216" s="1027"/>
      <c r="AI216" s="1027"/>
      <c r="AJ216" s="1027"/>
      <c r="AK216" s="1027"/>
      <c r="AL216" s="1027"/>
      <c r="AM216" s="1027"/>
      <c r="AN216" s="1027"/>
      <c r="AO216" s="154"/>
      <c r="AP216" s="154"/>
      <c r="AQ216" s="154"/>
      <c r="AR216" s="154"/>
      <c r="AS216" s="154"/>
      <c r="AT216" s="154"/>
      <c r="AU216" s="154"/>
      <c r="AV216" s="154"/>
      <c r="AW216" s="154"/>
      <c r="AX216" s="154"/>
      <c r="AY216" s="154"/>
    </row>
    <row r="217" spans="1:51">
      <c r="A217" s="154"/>
      <c r="B217" s="1025"/>
      <c r="C217" s="1027"/>
      <c r="D217" s="1027"/>
      <c r="E217" s="1027"/>
      <c r="F217" s="1027"/>
      <c r="G217" s="1027"/>
      <c r="H217" s="1027"/>
      <c r="I217" s="1027"/>
      <c r="J217" s="1027"/>
      <c r="K217" s="1027"/>
      <c r="L217" s="1027"/>
      <c r="M217" s="1027"/>
      <c r="N217" s="1027"/>
      <c r="O217" s="1027"/>
      <c r="P217" s="1027"/>
      <c r="Q217" s="1027"/>
      <c r="R217" s="1027"/>
      <c r="S217" s="1027"/>
      <c r="T217" s="1027"/>
      <c r="U217" s="1027"/>
      <c r="V217" s="1027"/>
      <c r="W217" s="1027"/>
      <c r="X217" s="1027"/>
      <c r="Y217" s="1027"/>
      <c r="Z217" s="1027"/>
      <c r="AA217" s="1027"/>
      <c r="AB217" s="1027"/>
      <c r="AC217" s="1027"/>
      <c r="AD217" s="1027"/>
      <c r="AE217" s="1027"/>
      <c r="AF217" s="1027"/>
      <c r="AG217" s="1027"/>
      <c r="AH217" s="1027"/>
      <c r="AI217" s="1027"/>
      <c r="AJ217" s="1027"/>
      <c r="AK217" s="1027"/>
      <c r="AL217" s="1027"/>
      <c r="AM217" s="1027"/>
      <c r="AN217" s="1027"/>
      <c r="AO217" s="154"/>
      <c r="AP217" s="154"/>
      <c r="AQ217" s="154"/>
      <c r="AR217" s="154"/>
      <c r="AS217" s="154"/>
      <c r="AT217" s="154"/>
      <c r="AU217" s="154"/>
      <c r="AV217" s="154"/>
      <c r="AW217" s="154"/>
      <c r="AX217" s="154"/>
      <c r="AY217" s="154"/>
    </row>
    <row r="218" spans="1:51">
      <c r="A218" s="154"/>
      <c r="B218" s="1025"/>
      <c r="C218" s="1027"/>
      <c r="D218" s="1027"/>
      <c r="E218" s="1027"/>
      <c r="F218" s="1027"/>
      <c r="G218" s="1027"/>
      <c r="H218" s="1027"/>
      <c r="I218" s="1027"/>
      <c r="J218" s="1027"/>
      <c r="K218" s="1027"/>
      <c r="L218" s="1027"/>
      <c r="M218" s="1027"/>
      <c r="N218" s="1027"/>
      <c r="O218" s="1027"/>
      <c r="P218" s="1027"/>
      <c r="Q218" s="1027"/>
      <c r="R218" s="1027"/>
      <c r="S218" s="1027"/>
      <c r="T218" s="1027"/>
      <c r="U218" s="1027"/>
      <c r="V218" s="1027"/>
      <c r="W218" s="1027"/>
      <c r="X218" s="1027"/>
      <c r="Y218" s="1027"/>
      <c r="Z218" s="1027"/>
      <c r="AA218" s="1027"/>
      <c r="AB218" s="1027"/>
      <c r="AC218" s="1027"/>
      <c r="AD218" s="1027"/>
      <c r="AE218" s="1027"/>
      <c r="AF218" s="1027"/>
      <c r="AG218" s="1027"/>
      <c r="AH218" s="1027"/>
      <c r="AI218" s="1027"/>
      <c r="AJ218" s="1027"/>
      <c r="AK218" s="1027"/>
      <c r="AL218" s="1027"/>
      <c r="AM218" s="1027"/>
      <c r="AN218" s="1027"/>
      <c r="AO218" s="154"/>
      <c r="AP218" s="154"/>
      <c r="AQ218" s="154"/>
      <c r="AR218" s="154"/>
      <c r="AS218" s="154"/>
      <c r="AT218" s="154"/>
      <c r="AU218" s="154"/>
      <c r="AV218" s="154"/>
      <c r="AW218" s="154"/>
      <c r="AX218" s="154"/>
      <c r="AY218" s="154"/>
    </row>
    <row r="219" spans="1:51">
      <c r="A219" s="154"/>
      <c r="B219" s="1025"/>
      <c r="C219" s="1027"/>
      <c r="D219" s="1027"/>
      <c r="E219" s="1027"/>
      <c r="F219" s="1027"/>
      <c r="G219" s="1027"/>
      <c r="H219" s="1027"/>
      <c r="I219" s="1027"/>
      <c r="J219" s="1027"/>
      <c r="K219" s="1027"/>
      <c r="L219" s="1027"/>
      <c r="M219" s="1027"/>
      <c r="N219" s="1027"/>
      <c r="O219" s="1027"/>
      <c r="P219" s="1027"/>
      <c r="Q219" s="1027"/>
      <c r="R219" s="1027"/>
      <c r="S219" s="1027"/>
      <c r="T219" s="1027"/>
      <c r="U219" s="1027"/>
      <c r="V219" s="1027"/>
      <c r="W219" s="1027"/>
      <c r="X219" s="1027"/>
      <c r="Y219" s="1027"/>
      <c r="Z219" s="1027"/>
      <c r="AA219" s="1027"/>
      <c r="AB219" s="1027"/>
      <c r="AC219" s="1027"/>
      <c r="AD219" s="1027"/>
      <c r="AE219" s="1027"/>
      <c r="AF219" s="1027"/>
      <c r="AG219" s="1027"/>
      <c r="AH219" s="1027"/>
      <c r="AI219" s="1027"/>
      <c r="AJ219" s="1027"/>
      <c r="AK219" s="1027"/>
      <c r="AL219" s="1027"/>
      <c r="AM219" s="1027"/>
      <c r="AN219" s="1027"/>
      <c r="AO219" s="154"/>
      <c r="AP219" s="154"/>
      <c r="AQ219" s="154"/>
      <c r="AR219" s="154"/>
      <c r="AS219" s="154"/>
      <c r="AT219" s="154"/>
      <c r="AU219" s="154"/>
      <c r="AV219" s="154"/>
      <c r="AW219" s="154"/>
      <c r="AX219" s="154"/>
      <c r="AY219" s="154"/>
    </row>
    <row r="220" spans="1:51">
      <c r="A220" s="154"/>
      <c r="B220" s="1025"/>
      <c r="C220" s="1027"/>
      <c r="D220" s="1027"/>
      <c r="E220" s="1027"/>
      <c r="F220" s="1027"/>
      <c r="G220" s="1027"/>
      <c r="H220" s="1027"/>
      <c r="I220" s="1027"/>
      <c r="J220" s="1027"/>
      <c r="K220" s="1027"/>
      <c r="L220" s="1027"/>
      <c r="M220" s="1027"/>
      <c r="N220" s="1027"/>
      <c r="O220" s="1027"/>
      <c r="P220" s="1027"/>
      <c r="Q220" s="1027"/>
      <c r="R220" s="1027"/>
      <c r="S220" s="1027"/>
      <c r="T220" s="1027"/>
      <c r="U220" s="1027"/>
      <c r="V220" s="1027"/>
      <c r="W220" s="1027"/>
      <c r="X220" s="1027"/>
      <c r="Y220" s="1027"/>
      <c r="Z220" s="1027"/>
      <c r="AA220" s="1027"/>
      <c r="AB220" s="1027"/>
      <c r="AC220" s="1027"/>
      <c r="AD220" s="1027"/>
      <c r="AE220" s="1027"/>
      <c r="AF220" s="1027"/>
      <c r="AG220" s="1027"/>
      <c r="AH220" s="1027"/>
      <c r="AI220" s="1027"/>
      <c r="AJ220" s="1027"/>
      <c r="AK220" s="1027"/>
      <c r="AL220" s="1027"/>
      <c r="AM220" s="1027"/>
      <c r="AN220" s="1027"/>
      <c r="AO220" s="154"/>
      <c r="AP220" s="154"/>
      <c r="AQ220" s="154"/>
      <c r="AR220" s="154"/>
      <c r="AS220" s="154"/>
      <c r="AT220" s="154"/>
      <c r="AU220" s="154"/>
      <c r="AV220" s="154"/>
      <c r="AW220" s="154"/>
      <c r="AX220" s="154"/>
      <c r="AY220" s="154"/>
    </row>
    <row r="221" spans="1:51">
      <c r="A221" s="154"/>
      <c r="B221" s="1025"/>
      <c r="C221" s="1027"/>
      <c r="D221" s="1027"/>
      <c r="E221" s="1027"/>
      <c r="F221" s="1027"/>
      <c r="G221" s="1027"/>
      <c r="H221" s="1027"/>
      <c r="I221" s="1027"/>
      <c r="J221" s="1027"/>
      <c r="K221" s="1027"/>
      <c r="L221" s="1027"/>
      <c r="M221" s="1027"/>
      <c r="N221" s="1027"/>
      <c r="O221" s="1027"/>
      <c r="P221" s="1027"/>
      <c r="Q221" s="1027"/>
      <c r="R221" s="1027"/>
      <c r="S221" s="1027"/>
      <c r="T221" s="1027"/>
      <c r="U221" s="1027"/>
      <c r="V221" s="1027"/>
      <c r="W221" s="1027"/>
      <c r="X221" s="1027"/>
      <c r="Y221" s="1027"/>
      <c r="Z221" s="1027"/>
      <c r="AA221" s="1027"/>
      <c r="AB221" s="1027"/>
      <c r="AC221" s="1027"/>
      <c r="AD221" s="1027"/>
      <c r="AE221" s="1027"/>
      <c r="AF221" s="1027"/>
      <c r="AG221" s="1027"/>
      <c r="AH221" s="1027"/>
      <c r="AI221" s="1027"/>
      <c r="AJ221" s="1027"/>
      <c r="AK221" s="1027"/>
      <c r="AL221" s="1027"/>
      <c r="AM221" s="1027"/>
      <c r="AN221" s="1027"/>
      <c r="AO221" s="154"/>
      <c r="AP221" s="154"/>
      <c r="AQ221" s="154"/>
      <c r="AR221" s="154"/>
      <c r="AS221" s="154"/>
      <c r="AT221" s="154"/>
      <c r="AU221" s="154"/>
      <c r="AV221" s="154"/>
      <c r="AW221" s="154"/>
      <c r="AX221" s="154"/>
      <c r="AY221" s="154"/>
    </row>
    <row r="222" spans="1:51">
      <c r="A222" s="154"/>
      <c r="B222" s="1025"/>
      <c r="C222" s="1027"/>
      <c r="D222" s="1027"/>
      <c r="E222" s="1027"/>
      <c r="F222" s="1027"/>
      <c r="G222" s="1027"/>
      <c r="H222" s="1027"/>
      <c r="I222" s="1027"/>
      <c r="J222" s="1027"/>
      <c r="K222" s="1027"/>
      <c r="L222" s="1027"/>
      <c r="M222" s="1027"/>
      <c r="N222" s="1027"/>
      <c r="O222" s="1027"/>
      <c r="P222" s="1027"/>
      <c r="Q222" s="1027"/>
      <c r="R222" s="1027"/>
      <c r="S222" s="1027"/>
      <c r="T222" s="1027"/>
      <c r="U222" s="1027"/>
      <c r="V222" s="1027"/>
      <c r="W222" s="1027"/>
      <c r="X222" s="1027"/>
      <c r="Y222" s="1027"/>
      <c r="Z222" s="1027"/>
      <c r="AA222" s="1027"/>
      <c r="AB222" s="1027"/>
      <c r="AC222" s="1027"/>
      <c r="AD222" s="1027"/>
      <c r="AE222" s="1027"/>
      <c r="AF222" s="1027"/>
      <c r="AG222" s="1027"/>
      <c r="AH222" s="1027"/>
      <c r="AI222" s="1027"/>
      <c r="AJ222" s="1027"/>
      <c r="AK222" s="1027"/>
      <c r="AL222" s="1027"/>
      <c r="AM222" s="1027"/>
      <c r="AN222" s="1027"/>
      <c r="AO222" s="154"/>
      <c r="AP222" s="154"/>
      <c r="AQ222" s="154"/>
      <c r="AR222" s="154"/>
      <c r="AS222" s="154"/>
      <c r="AT222" s="154"/>
      <c r="AU222" s="154"/>
      <c r="AV222" s="154"/>
      <c r="AW222" s="154"/>
      <c r="AX222" s="154"/>
      <c r="AY222" s="154"/>
    </row>
    <row r="223" spans="1:51">
      <c r="A223" s="154"/>
      <c r="B223" s="1054" t="s">
        <v>623</v>
      </c>
      <c r="C223" s="961">
        <f t="shared" ref="C223:AN223" si="17">C$4</f>
        <v>1998</v>
      </c>
      <c r="D223" s="961">
        <f t="shared" si="17"/>
        <v>1999</v>
      </c>
      <c r="E223" s="961">
        <f t="shared" si="17"/>
        <v>2000</v>
      </c>
      <c r="F223" s="961">
        <f t="shared" si="17"/>
        <v>2001</v>
      </c>
      <c r="G223" s="961">
        <f t="shared" si="17"/>
        <v>2002</v>
      </c>
      <c r="H223" s="961">
        <f t="shared" si="17"/>
        <v>2003</v>
      </c>
      <c r="I223" s="961">
        <f t="shared" si="17"/>
        <v>2004</v>
      </c>
      <c r="J223" s="961">
        <f t="shared" si="17"/>
        <v>2005</v>
      </c>
      <c r="K223" s="961">
        <f t="shared" si="17"/>
        <v>2006</v>
      </c>
      <c r="L223" s="961">
        <f t="shared" si="17"/>
        <v>2007</v>
      </c>
      <c r="M223" s="961">
        <f t="shared" si="17"/>
        <v>2008</v>
      </c>
      <c r="N223" s="961">
        <f t="shared" si="17"/>
        <v>2009</v>
      </c>
      <c r="O223" s="961">
        <f t="shared" si="17"/>
        <v>2010</v>
      </c>
      <c r="P223" s="961">
        <f t="shared" si="17"/>
        <v>2011</v>
      </c>
      <c r="Q223" s="961">
        <f t="shared" si="17"/>
        <v>2012</v>
      </c>
      <c r="R223" s="961">
        <f t="shared" si="17"/>
        <v>2013</v>
      </c>
      <c r="S223" s="961">
        <f t="shared" si="17"/>
        <v>2014</v>
      </c>
      <c r="T223" s="961">
        <f t="shared" si="17"/>
        <v>2015</v>
      </c>
      <c r="U223" s="961">
        <f t="shared" si="17"/>
        <v>2016</v>
      </c>
      <c r="V223" s="961">
        <f t="shared" si="17"/>
        <v>2017</v>
      </c>
      <c r="W223" s="961">
        <f t="shared" si="17"/>
        <v>2018</v>
      </c>
      <c r="X223" s="961">
        <f t="shared" si="17"/>
        <v>2019</v>
      </c>
      <c r="Y223" s="961">
        <f t="shared" si="17"/>
        <v>2020</v>
      </c>
      <c r="Z223" s="961">
        <f t="shared" si="17"/>
        <v>2021</v>
      </c>
      <c r="AA223" s="961">
        <f t="shared" si="17"/>
        <v>2022</v>
      </c>
      <c r="AB223" s="961">
        <f t="shared" si="17"/>
        <v>2023</v>
      </c>
      <c r="AC223" s="961">
        <f t="shared" si="17"/>
        <v>2024</v>
      </c>
      <c r="AD223" s="961">
        <f t="shared" si="17"/>
        <v>2025</v>
      </c>
      <c r="AE223" s="961">
        <f t="shared" si="17"/>
        <v>2026</v>
      </c>
      <c r="AF223" s="961">
        <f t="shared" si="17"/>
        <v>2027</v>
      </c>
      <c r="AG223" s="961">
        <f t="shared" si="17"/>
        <v>2028</v>
      </c>
      <c r="AH223" s="961">
        <f t="shared" si="17"/>
        <v>2029</v>
      </c>
      <c r="AI223" s="961">
        <f t="shared" si="17"/>
        <v>2030</v>
      </c>
      <c r="AJ223" s="961">
        <f t="shared" si="17"/>
        <v>2031</v>
      </c>
      <c r="AK223" s="961">
        <f t="shared" si="17"/>
        <v>2032</v>
      </c>
      <c r="AL223" s="961">
        <f t="shared" si="17"/>
        <v>2033</v>
      </c>
      <c r="AM223" s="961">
        <f t="shared" si="17"/>
        <v>2034</v>
      </c>
      <c r="AN223" s="961">
        <f t="shared" si="17"/>
        <v>2035</v>
      </c>
      <c r="AO223" s="154"/>
      <c r="AP223" s="154"/>
      <c r="AQ223" s="154"/>
      <c r="AR223" s="154"/>
      <c r="AS223" s="154"/>
      <c r="AT223" s="154"/>
      <c r="AU223" s="154"/>
      <c r="AV223" s="154"/>
      <c r="AW223" s="154"/>
      <c r="AX223" s="154"/>
      <c r="AY223" s="154"/>
    </row>
    <row r="224" spans="1:51">
      <c r="A224" s="154"/>
      <c r="B224" s="1055" t="s">
        <v>162</v>
      </c>
      <c r="C224" s="1051"/>
      <c r="D224" s="1051"/>
      <c r="E224" s="1051"/>
      <c r="F224" s="1051"/>
      <c r="G224" s="1051"/>
      <c r="H224" s="1051"/>
      <c r="I224" s="1051"/>
      <c r="J224" s="1051"/>
      <c r="K224" s="1051"/>
      <c r="L224" s="1051"/>
      <c r="M224" s="1051"/>
      <c r="N224" s="1051"/>
      <c r="O224" s="1051"/>
      <c r="P224" s="1051"/>
      <c r="Q224" s="1051"/>
      <c r="R224" s="1051"/>
      <c r="S224" s="1051"/>
      <c r="T224" s="1051"/>
      <c r="U224" s="1051"/>
      <c r="V224" s="1051"/>
      <c r="W224" s="1027"/>
      <c r="X224" s="1040"/>
      <c r="Y224" s="1040"/>
      <c r="Z224" s="1040"/>
      <c r="AA224" s="1040"/>
      <c r="AB224" s="1040"/>
      <c r="AC224" s="1040"/>
      <c r="AD224" s="1040"/>
      <c r="AE224" s="1040"/>
      <c r="AF224" s="1040"/>
      <c r="AG224" s="1040"/>
      <c r="AH224" s="1040"/>
      <c r="AI224" s="1040"/>
      <c r="AJ224" s="1040"/>
      <c r="AK224" s="1040"/>
      <c r="AL224" s="1040"/>
      <c r="AM224" s="1040"/>
      <c r="AN224" s="1040"/>
      <c r="AO224" s="154"/>
      <c r="AP224" s="154"/>
      <c r="AQ224" s="154"/>
      <c r="AR224" s="154"/>
      <c r="AS224" s="154"/>
      <c r="AT224" s="154"/>
      <c r="AU224" s="154"/>
      <c r="AV224" s="154"/>
      <c r="AW224" s="154"/>
      <c r="AX224" s="154"/>
      <c r="AY224" s="154"/>
    </row>
    <row r="225" spans="1:51">
      <c r="A225" s="154"/>
      <c r="B225" s="1056" t="str">
        <f>'Sites and tenancies'!A3</f>
        <v>Nigeria</v>
      </c>
      <c r="C225" s="1051"/>
      <c r="D225" s="1051"/>
      <c r="E225" s="1015"/>
      <c r="F225" s="1015"/>
      <c r="G225" s="1015"/>
      <c r="H225" s="1015"/>
      <c r="I225" s="1015"/>
      <c r="J225" s="1015"/>
      <c r="K225" s="1015"/>
      <c r="L225" s="1015"/>
      <c r="M225" s="1015"/>
      <c r="N225" s="1015"/>
      <c r="O225" s="1015"/>
      <c r="P225" s="1015"/>
      <c r="Q225" s="1015"/>
      <c r="R225" s="1015"/>
      <c r="S225" s="1015"/>
      <c r="T225" s="1015"/>
      <c r="U225" s="1015"/>
      <c r="V225" s="1015"/>
      <c r="W225" s="1015"/>
      <c r="X225" s="1040"/>
      <c r="Y225" s="1040">
        <f>'Sites and tenancies'!C3</f>
        <v>16537</v>
      </c>
      <c r="Z225" s="1040">
        <f>'Sites and tenancies'!D3</f>
        <v>16854</v>
      </c>
      <c r="AA225" s="1040">
        <f>'Sites and tenancies'!E3</f>
        <v>16995</v>
      </c>
      <c r="AB225" s="1040">
        <f>'Sites and tenancies'!F3</f>
        <v>16395</v>
      </c>
      <c r="AC225" s="1040">
        <f>'Sites and tenancies'!G3</f>
        <v>16495</v>
      </c>
      <c r="AD225" s="1040">
        <f>'Sites and tenancies'!H3</f>
        <v>16536.237499999999</v>
      </c>
      <c r="AE225" s="1040">
        <f>'Sites and tenancies'!I3</f>
        <v>16618.918687499998</v>
      </c>
      <c r="AF225" s="1040">
        <f>'Sites and tenancies'!J3</f>
        <v>16718.632199624997</v>
      </c>
      <c r="AG225" s="1040">
        <f>'Sites and tenancies'!K3</f>
        <v>16835.662625022371</v>
      </c>
      <c r="AH225" s="1040">
        <f>'Sites and tenancies'!L3</f>
        <v>16953.512263397526</v>
      </c>
      <c r="AI225" s="1040">
        <f>'Sites and tenancies'!M3</f>
        <v>17072.186849241309</v>
      </c>
      <c r="AJ225" s="1040">
        <f>'Sites and tenancies'!N3</f>
        <v>17191.692157185997</v>
      </c>
      <c r="AK225" s="1040">
        <f>'Sites and tenancies'!O3</f>
        <v>17312.034002286298</v>
      </c>
      <c r="AL225" s="1040">
        <f>'Sites and tenancies'!P3</f>
        <v>17433.2182403023</v>
      </c>
      <c r="AM225" s="1040">
        <f>'Sites and tenancies'!Q3</f>
        <v>17555.250767984413</v>
      </c>
      <c r="AN225" s="1040">
        <f>'Sites and tenancies'!R3</f>
        <v>17678.137523360303</v>
      </c>
      <c r="AO225" s="154"/>
      <c r="AP225" s="154"/>
      <c r="AQ225" s="154"/>
      <c r="AR225" s="154"/>
      <c r="AS225" s="154"/>
      <c r="AT225" s="154"/>
      <c r="AU225" s="154"/>
      <c r="AV225" s="154"/>
      <c r="AW225" s="154"/>
      <c r="AX225" s="154"/>
      <c r="AY225" s="154"/>
    </row>
    <row r="226" spans="1:51">
      <c r="A226" s="154"/>
      <c r="B226" s="1056" t="str">
        <f>'Sites and tenancies'!A4</f>
        <v>Cote D'Ivoire</v>
      </c>
      <c r="C226" s="1051"/>
      <c r="D226" s="1051"/>
      <c r="E226" s="1015"/>
      <c r="F226" s="1015"/>
      <c r="G226" s="1015"/>
      <c r="H226" s="1015"/>
      <c r="I226" s="1015"/>
      <c r="J226" s="1015"/>
      <c r="K226" s="1015"/>
      <c r="L226" s="1015"/>
      <c r="M226" s="1015"/>
      <c r="N226" s="1015"/>
      <c r="O226" s="1015"/>
      <c r="P226" s="1015"/>
      <c r="Q226" s="1015"/>
      <c r="R226" s="1015"/>
      <c r="S226" s="1015"/>
      <c r="T226" s="1015"/>
      <c r="U226" s="1015"/>
      <c r="V226" s="1015"/>
      <c r="W226" s="1015"/>
      <c r="X226" s="1040"/>
      <c r="Y226" s="1040">
        <f>'Sites and tenancies'!C4</f>
        <v>2702</v>
      </c>
      <c r="Z226" s="1040">
        <f>'Sites and tenancies'!D4</f>
        <v>2693</v>
      </c>
      <c r="AA226" s="1040">
        <f>'Sites and tenancies'!E4</f>
        <v>2699</v>
      </c>
      <c r="AB226" s="1040">
        <f>'Sites and tenancies'!F4</f>
        <v>2694</v>
      </c>
      <c r="AC226" s="1040">
        <f>'Sites and tenancies'!G4</f>
        <v>2682</v>
      </c>
      <c r="AD226" s="1040">
        <f>'Sites and tenancies'!H4</f>
        <v>2665.9128264999999</v>
      </c>
      <c r="AE226" s="1040">
        <f>'Sites and tenancies'!I4</f>
        <v>2681.8659032549999</v>
      </c>
      <c r="AF226" s="1040">
        <f>'Sites and tenancies'!J4</f>
        <v>2695.1681722561748</v>
      </c>
      <c r="AG226" s="1040">
        <f>'Sites and tenancies'!K4</f>
        <v>2705.73798926071</v>
      </c>
      <c r="AH226" s="1040">
        <f>'Sites and tenancies'!L4</f>
        <v>2716.2496857881106</v>
      </c>
      <c r="AI226" s="1040">
        <f>'Sites and tenancies'!M4</f>
        <v>2726.7010424471327</v>
      </c>
      <c r="AJ226" s="1040">
        <f>'Sites and tenancies'!N4</f>
        <v>2737.0898012707567</v>
      </c>
      <c r="AK226" s="1040">
        <f>'Sites and tenancies'!O4</f>
        <v>2747.4136651666081</v>
      </c>
      <c r="AL226" s="1040">
        <f>'Sites and tenancies'!P4</f>
        <v>2757.6702973602501</v>
      </c>
      <c r="AM226" s="1040">
        <f>'Sites and tenancies'!Q4</f>
        <v>2767.8573208312478</v>
      </c>
      <c r="AN226" s="1040">
        <f>'Sites and tenancies'!R4</f>
        <v>2777.9723177419296</v>
      </c>
      <c r="AO226" s="154"/>
      <c r="AP226" s="154"/>
      <c r="AQ226" s="154"/>
      <c r="AR226" s="154"/>
      <c r="AS226" s="154"/>
      <c r="AT226" s="154"/>
      <c r="AU226" s="154"/>
      <c r="AV226" s="154"/>
      <c r="AW226" s="154"/>
      <c r="AX226" s="154"/>
      <c r="AY226" s="154"/>
    </row>
    <row r="227" spans="1:51">
      <c r="A227" s="154"/>
      <c r="B227" s="1056" t="str">
        <f>'Sites and tenancies'!A5</f>
        <v>Cameroon</v>
      </c>
      <c r="C227" s="1051"/>
      <c r="D227" s="1051"/>
      <c r="E227" s="1016"/>
      <c r="F227" s="1016"/>
      <c r="G227" s="1016"/>
      <c r="H227" s="1016"/>
      <c r="I227" s="1016"/>
      <c r="J227" s="1016"/>
      <c r="K227" s="1016"/>
      <c r="L227" s="1016"/>
      <c r="M227" s="1016"/>
      <c r="N227" s="1016"/>
      <c r="O227" s="1016"/>
      <c r="P227" s="1016"/>
      <c r="Q227" s="1016"/>
      <c r="R227" s="1016"/>
      <c r="S227" s="1016"/>
      <c r="T227" s="1016"/>
      <c r="U227" s="1016"/>
      <c r="V227" s="1016"/>
      <c r="W227" s="1016"/>
      <c r="X227" s="1040"/>
      <c r="Y227" s="1040">
        <f>'Sites and tenancies'!C5</f>
        <v>2214</v>
      </c>
      <c r="Z227" s="1040">
        <f>'Sites and tenancies'!D5</f>
        <v>2226</v>
      </c>
      <c r="AA227" s="1040">
        <f>'Sites and tenancies'!E5</f>
        <v>2279</v>
      </c>
      <c r="AB227" s="1040">
        <f>'Sites and tenancies'!F5</f>
        <v>2358</v>
      </c>
      <c r="AC227" s="1040">
        <f>'Sites and tenancies'!G5</f>
        <v>2443</v>
      </c>
      <c r="AD227" s="1040">
        <f>'Sites and tenancies'!H5</f>
        <v>2490.1303559999997</v>
      </c>
      <c r="AE227" s="1040">
        <f>'Sites and tenancies'!I5</f>
        <v>2525.8723132649993</v>
      </c>
      <c r="AF227" s="1040">
        <f>'Sites and tenancies'!J5</f>
        <v>2562.0800966396991</v>
      </c>
      <c r="AG227" s="1040">
        <f>'Sites and tenancies'!K5</f>
        <v>2598.7594484505667</v>
      </c>
      <c r="AH227" s="1040">
        <f>'Sites and tenancies'!L5</f>
        <v>2635.9161792879877</v>
      </c>
      <c r="AI227" s="1040">
        <f>'Sites and tenancies'!M5</f>
        <v>2673.5561687973118</v>
      </c>
      <c r="AJ227" s="1040">
        <f>'Sites and tenancies'!N5</f>
        <v>2711.6853664788932</v>
      </c>
      <c r="AK227" s="1040">
        <f>'Sites and tenancies'!O5</f>
        <v>2750.3097924972267</v>
      </c>
      <c r="AL227" s="1040">
        <f>'Sites and tenancies'!P5</f>
        <v>2789.4355384992791</v>
      </c>
      <c r="AM227" s="1040">
        <f>'Sites and tenancies'!Q5</f>
        <v>2829.0687684421232</v>
      </c>
      <c r="AN227" s="1040">
        <f>'Sites and tenancies'!R5</f>
        <v>2869.2157194299739</v>
      </c>
      <c r="AO227" s="154"/>
      <c r="AP227" s="154"/>
      <c r="AQ227" s="154"/>
      <c r="AR227" s="154"/>
      <c r="AS227" s="154"/>
      <c r="AT227" s="154"/>
      <c r="AU227" s="154"/>
      <c r="AV227" s="154"/>
      <c r="AW227" s="154"/>
      <c r="AX227" s="154"/>
      <c r="AY227" s="154"/>
    </row>
    <row r="228" spans="1:51">
      <c r="A228" s="154"/>
      <c r="B228" s="1056" t="str">
        <f>'Sites and tenancies'!A6</f>
        <v>Zambia</v>
      </c>
      <c r="C228" s="1051"/>
      <c r="D228" s="1051"/>
      <c r="E228" s="1015"/>
      <c r="F228" s="1015"/>
      <c r="G228" s="1015"/>
      <c r="H228" s="1015"/>
      <c r="I228" s="1015"/>
      <c r="J228" s="1015"/>
      <c r="K228" s="1015"/>
      <c r="L228" s="1015"/>
      <c r="M228" s="1015"/>
      <c r="N228" s="1015"/>
      <c r="O228" s="1015"/>
      <c r="P228" s="1015"/>
      <c r="Q228" s="1015"/>
      <c r="R228" s="1015"/>
      <c r="S228" s="1015"/>
      <c r="T228" s="1015"/>
      <c r="U228" s="1015"/>
      <c r="V228" s="1015"/>
      <c r="W228" s="1015"/>
      <c r="X228" s="1040"/>
      <c r="Y228" s="1040">
        <f>'Sites and tenancies'!C6</f>
        <v>1753</v>
      </c>
      <c r="Z228" s="1040">
        <f>'Sites and tenancies'!D6</f>
        <v>1745</v>
      </c>
      <c r="AA228" s="1040">
        <f>'Sites and tenancies'!E6</f>
        <v>1862</v>
      </c>
      <c r="AB228" s="1040">
        <f>'Sites and tenancies'!F6</f>
        <v>1879</v>
      </c>
      <c r="AC228" s="1040">
        <f>'Sites and tenancies'!G6</f>
        <v>1875</v>
      </c>
      <c r="AD228" s="1040">
        <f>'Sites and tenancies'!H6</f>
        <v>1868.3593953749994</v>
      </c>
      <c r="AE228" s="1040">
        <f>'Sites and tenancies'!I6</f>
        <v>1885.2878638361242</v>
      </c>
      <c r="AF228" s="1040">
        <f>'Sites and tenancies'!J6</f>
        <v>1894.7143031553046</v>
      </c>
      <c r="AG228" s="1040">
        <f>'Sites and tenancies'!K6</f>
        <v>1904.1878746710809</v>
      </c>
      <c r="AH228" s="1040">
        <f>'Sites and tenancies'!L6</f>
        <v>1913.7088140444362</v>
      </c>
      <c r="AI228" s="1040">
        <f>'Sites and tenancies'!M6</f>
        <v>1923.2773581146582</v>
      </c>
      <c r="AJ228" s="1040">
        <f>'Sites and tenancies'!N6</f>
        <v>1932.8937449052314</v>
      </c>
      <c r="AK228" s="1040">
        <f>'Sites and tenancies'!O6</f>
        <v>1942.5582136297573</v>
      </c>
      <c r="AL228" s="1040">
        <f>'Sites and tenancies'!P6</f>
        <v>1952.2710046979059</v>
      </c>
      <c r="AM228" s="1040">
        <f>'Sites and tenancies'!Q6</f>
        <v>1962.0323597213951</v>
      </c>
      <c r="AN228" s="1040">
        <f>'Sites and tenancies'!R6</f>
        <v>1971.8425215200018</v>
      </c>
      <c r="AO228" s="154"/>
      <c r="AP228" s="154"/>
      <c r="AQ228" s="154"/>
      <c r="AR228" s="154"/>
      <c r="AS228" s="154"/>
      <c r="AT228" s="154"/>
      <c r="AU228" s="154"/>
      <c r="AV228" s="154"/>
      <c r="AW228" s="154"/>
      <c r="AX228" s="154"/>
      <c r="AY228" s="154"/>
    </row>
    <row r="229" spans="1:51">
      <c r="A229" s="154"/>
      <c r="B229" s="1056" t="str">
        <f>'Sites and tenancies'!A7</f>
        <v>Rwanda</v>
      </c>
      <c r="C229" s="1051"/>
      <c r="D229" s="1051"/>
      <c r="E229" s="1015"/>
      <c r="F229" s="1015"/>
      <c r="G229" s="1015"/>
      <c r="H229" s="1015"/>
      <c r="I229" s="1015"/>
      <c r="J229" s="1015"/>
      <c r="K229" s="1015"/>
      <c r="L229" s="1015"/>
      <c r="M229" s="1015"/>
      <c r="N229" s="1015"/>
      <c r="O229" s="1015"/>
      <c r="P229" s="1015"/>
      <c r="Q229" s="1015"/>
      <c r="R229" s="1015"/>
      <c r="S229" s="1015"/>
      <c r="T229" s="1015"/>
      <c r="U229" s="1015"/>
      <c r="V229" s="1015"/>
      <c r="W229" s="1015"/>
      <c r="X229" s="1040"/>
      <c r="Y229" s="1040">
        <f>'Sites and tenancies'!C7</f>
        <v>958</v>
      </c>
      <c r="Z229" s="1040">
        <f>'Sites and tenancies'!D7</f>
        <v>1214</v>
      </c>
      <c r="AA229" s="1040">
        <f>'Sites and tenancies'!E7</f>
        <v>1319</v>
      </c>
      <c r="AB229" s="1040">
        <f>'Sites and tenancies'!F7</f>
        <v>1434</v>
      </c>
      <c r="AC229" s="1040">
        <f>'Sites and tenancies'!G7</f>
        <v>1462</v>
      </c>
      <c r="AD229" s="1040">
        <f>'Sites and tenancies'!H7</f>
        <v>0</v>
      </c>
      <c r="AE229" s="1040">
        <f>'Sites and tenancies'!I7</f>
        <v>0</v>
      </c>
      <c r="AF229" s="1040">
        <f>'Sites and tenancies'!J7</f>
        <v>0</v>
      </c>
      <c r="AG229" s="1040">
        <f>'Sites and tenancies'!K7</f>
        <v>0</v>
      </c>
      <c r="AH229" s="1040">
        <f>'Sites and tenancies'!L7</f>
        <v>0</v>
      </c>
      <c r="AI229" s="1040">
        <f>'Sites and tenancies'!M7</f>
        <v>0</v>
      </c>
      <c r="AJ229" s="1040">
        <f>'Sites and tenancies'!N7</f>
        <v>0</v>
      </c>
      <c r="AK229" s="1040">
        <f>'Sites and tenancies'!O7</f>
        <v>0</v>
      </c>
      <c r="AL229" s="1040">
        <f>'Sites and tenancies'!P7</f>
        <v>0</v>
      </c>
      <c r="AM229" s="1040">
        <f>'Sites and tenancies'!Q7</f>
        <v>0</v>
      </c>
      <c r="AN229" s="1040">
        <f>'Sites and tenancies'!R7</f>
        <v>0</v>
      </c>
      <c r="AO229" s="154"/>
      <c r="AP229" s="154"/>
      <c r="AQ229" s="154"/>
      <c r="AR229" s="154"/>
      <c r="AS229" s="154"/>
      <c r="AT229" s="154"/>
      <c r="AU229" s="154"/>
      <c r="AV229" s="154"/>
      <c r="AW229" s="154"/>
      <c r="AX229" s="154"/>
      <c r="AY229" s="154"/>
    </row>
    <row r="230" spans="1:51">
      <c r="A230" s="154"/>
      <c r="B230" s="1056" t="str">
        <f>'Sites and tenancies'!A8</f>
        <v>Kuwait population</v>
      </c>
      <c r="C230" s="1051"/>
      <c r="D230" s="1051"/>
      <c r="E230" s="1015"/>
      <c r="F230" s="1015"/>
      <c r="G230" s="1015"/>
      <c r="H230" s="1015"/>
      <c r="I230" s="1015"/>
      <c r="J230" s="1015"/>
      <c r="K230" s="1015"/>
      <c r="L230" s="1015"/>
      <c r="M230" s="1015"/>
      <c r="N230" s="1015"/>
      <c r="O230" s="1015"/>
      <c r="P230" s="1015"/>
      <c r="Q230" s="1015"/>
      <c r="R230" s="1015"/>
      <c r="S230" s="1015"/>
      <c r="T230" s="1015"/>
      <c r="U230" s="1015"/>
      <c r="V230" s="1015"/>
      <c r="W230" s="1015"/>
      <c r="X230" s="1040"/>
      <c r="Y230" s="1040">
        <f>'Sites and tenancies'!C8</f>
        <v>1162</v>
      </c>
      <c r="Z230" s="1040">
        <f>'Sites and tenancies'!D8</f>
        <v>1402</v>
      </c>
      <c r="AA230" s="1040">
        <f>'Sites and tenancies'!E8</f>
        <v>1531</v>
      </c>
      <c r="AB230" s="1040">
        <f>'Sites and tenancies'!F8</f>
        <v>1672</v>
      </c>
      <c r="AC230" s="1040">
        <f>'Sites and tenancies'!G8</f>
        <v>1675</v>
      </c>
      <c r="AD230" s="1040">
        <f>'Sites and tenancies'!H8</f>
        <v>1813.7119874299997</v>
      </c>
      <c r="AE230" s="1040">
        <f>'Sites and tenancies'!I8</f>
        <v>1865.4017070723996</v>
      </c>
      <c r="AF230" s="1040">
        <f>'Sites and tenancies'!J8</f>
        <v>1917.9438499089049</v>
      </c>
      <c r="AG230" s="1040">
        <f>'Sites and tenancies'!K8</f>
        <v>1971.3502954314326</v>
      </c>
      <c r="AH230" s="1040">
        <f>'Sites and tenancies'!L8</f>
        <v>2025.6330754794203</v>
      </c>
      <c r="AI230" s="1040">
        <f>'Sites and tenancies'!M8</f>
        <v>2080.8043760988244</v>
      </c>
      <c r="AJ230" s="1040">
        <f>'Sites and tenancies'!N8</f>
        <v>2136.8765394230686</v>
      </c>
      <c r="AK230" s="1040">
        <f>'Sites and tenancies'!O8</f>
        <v>2193.8620655761879</v>
      </c>
      <c r="AL230" s="1040">
        <f>'Sites and tenancies'!P8</f>
        <v>2251.7736145984277</v>
      </c>
      <c r="AM230" s="1040">
        <f>'Sites and tenancies'!Q8</f>
        <v>2310.624008394554</v>
      </c>
      <c r="AN230" s="1040">
        <f>'Sites and tenancies'!R8</f>
        <v>2370.4262327051433</v>
      </c>
      <c r="AO230" s="154"/>
      <c r="AP230" s="154"/>
      <c r="AQ230" s="154"/>
      <c r="AR230" s="154"/>
      <c r="AS230" s="154"/>
      <c r="AT230" s="154"/>
      <c r="AU230" s="154"/>
      <c r="AV230" s="154"/>
      <c r="AW230" s="154"/>
      <c r="AX230" s="154"/>
      <c r="AY230" s="154"/>
    </row>
    <row r="231" spans="1:51">
      <c r="A231" s="154"/>
      <c r="B231" s="1056" t="str">
        <f>'Sites and tenancies'!A9</f>
        <v>Latam</v>
      </c>
      <c r="C231" s="1051"/>
      <c r="D231" s="1051"/>
      <c r="E231" s="1015"/>
      <c r="F231" s="1015"/>
      <c r="G231" s="1015"/>
      <c r="H231" s="1015"/>
      <c r="I231" s="1015"/>
      <c r="J231" s="1015"/>
      <c r="K231" s="1015"/>
      <c r="L231" s="1015"/>
      <c r="M231" s="1015"/>
      <c r="N231" s="1015"/>
      <c r="O231" s="1015"/>
      <c r="P231" s="1015"/>
      <c r="Q231" s="1015"/>
      <c r="R231" s="1015"/>
      <c r="S231" s="1015"/>
      <c r="T231" s="1015"/>
      <c r="U231" s="1015"/>
      <c r="V231" s="1015"/>
      <c r="W231" s="1015"/>
      <c r="X231" s="1040"/>
      <c r="Y231" s="1040">
        <f>'Sites and tenancies'!C9</f>
        <v>2481</v>
      </c>
      <c r="Z231" s="1040">
        <f>'Sites and tenancies'!D9</f>
        <v>4909</v>
      </c>
      <c r="AA231" s="1040">
        <f>'Sites and tenancies'!E9</f>
        <v>7276</v>
      </c>
      <c r="AB231" s="1040">
        <f>'Sites and tenancies'!F9</f>
        <v>7952</v>
      </c>
      <c r="AC231" s="1040">
        <f>'Sites and tenancies'!G9</f>
        <v>8579</v>
      </c>
      <c r="AD231" s="1040">
        <f>'Sites and tenancies'!H9</f>
        <v>9002.9836957499992</v>
      </c>
      <c r="AE231" s="1040">
        <f>'Sites and tenancies'!I9</f>
        <v>9451.9337809050012</v>
      </c>
      <c r="AF231" s="1040">
        <f>'Sites and tenancies'!J9</f>
        <v>9851.6845487214014</v>
      </c>
      <c r="AG231" s="1040">
        <f>'Sites and tenancies'!K9</f>
        <v>10218.384122736637</v>
      </c>
      <c r="AH231" s="1040">
        <f>'Sites and tenancies'!L9</f>
        <v>10595.811005892994</v>
      </c>
      <c r="AI231" s="1040">
        <f>'Sites and tenancies'!M9</f>
        <v>10984.24761072651</v>
      </c>
      <c r="AJ231" s="1040">
        <f>'Sites and tenancies'!N9</f>
        <v>11383.983355351009</v>
      </c>
      <c r="AK231" s="1040">
        <f>'Sites and tenancies'!O9</f>
        <v>11795.314830716197</v>
      </c>
      <c r="AL231" s="1040">
        <f>'Sites and tenancies'!P9</f>
        <v>12218.545971753854</v>
      </c>
      <c r="AM231" s="1040">
        <f>'Sites and tenancies'!Q9</f>
        <v>12653.988232500731</v>
      </c>
      <c r="AN231" s="1040">
        <f>'Sites and tenancies'!R9</f>
        <v>13101.960765288781</v>
      </c>
      <c r="AO231" s="154"/>
      <c r="AP231" s="154"/>
      <c r="AQ231" s="154"/>
      <c r="AR231" s="154"/>
      <c r="AS231" s="154"/>
      <c r="AT231" s="154"/>
      <c r="AU231" s="154"/>
      <c r="AV231" s="154"/>
      <c r="AW231" s="154"/>
      <c r="AX231" s="154"/>
      <c r="AY231" s="154"/>
    </row>
    <row r="232" spans="1:51">
      <c r="A232" s="154"/>
      <c r="B232" s="1055" t="str">
        <f>'Sites and tenancies'!A10</f>
        <v>Total</v>
      </c>
      <c r="C232" s="1057"/>
      <c r="D232" s="1057"/>
      <c r="E232" s="1017"/>
      <c r="F232" s="1017"/>
      <c r="G232" s="1017"/>
      <c r="H232" s="1017"/>
      <c r="I232" s="1017"/>
      <c r="J232" s="1017"/>
      <c r="K232" s="1017"/>
      <c r="L232" s="1017"/>
      <c r="M232" s="1017"/>
      <c r="N232" s="1017"/>
      <c r="O232" s="1017"/>
      <c r="P232" s="1017"/>
      <c r="Q232" s="1017"/>
      <c r="R232" s="1017"/>
      <c r="S232" s="1017"/>
      <c r="T232" s="1017"/>
      <c r="U232" s="1017"/>
      <c r="V232" s="1017"/>
      <c r="W232" s="1017"/>
      <c r="X232" s="1041"/>
      <c r="Y232" s="1041">
        <f>'Sites and tenancies'!C10</f>
        <v>27807</v>
      </c>
      <c r="Z232" s="1041">
        <f>'Sites and tenancies'!D10</f>
        <v>31043</v>
      </c>
      <c r="AA232" s="1041">
        <f>'Sites and tenancies'!E10</f>
        <v>33961</v>
      </c>
      <c r="AB232" s="1041">
        <f>'Sites and tenancies'!F10</f>
        <v>34384</v>
      </c>
      <c r="AC232" s="1041">
        <f>'Sites and tenancies'!G10</f>
        <v>35211</v>
      </c>
      <c r="AD232" s="1041">
        <f>'Sites and tenancies'!H10</f>
        <v>34377.335761055001</v>
      </c>
      <c r="AE232" s="1041">
        <f>'Sites and tenancies'!I10</f>
        <v>35029.280255833524</v>
      </c>
      <c r="AF232" s="1041">
        <f>'Sites and tenancies'!J10</f>
        <v>35640.223170306483</v>
      </c>
      <c r="AG232" s="1041">
        <f>'Sites and tenancies'!K10</f>
        <v>36234.082355572798</v>
      </c>
      <c r="AH232" s="1041">
        <f>'Sites and tenancies'!L10</f>
        <v>36840.831023890481</v>
      </c>
      <c r="AI232" s="1041">
        <f>'Sites and tenancies'!M10</f>
        <v>37460.773405425745</v>
      </c>
      <c r="AJ232" s="1041">
        <f>'Sites and tenancies'!N10</f>
        <v>38094.220964614957</v>
      </c>
      <c r="AK232" s="1041">
        <f>'Sites and tenancies'!O10</f>
        <v>38741.49256987228</v>
      </c>
      <c r="AL232" s="1041">
        <f>'Sites and tenancies'!P10</f>
        <v>39402.914667212011</v>
      </c>
      <c r="AM232" s="1041">
        <f>'Sites and tenancies'!Q10</f>
        <v>40078.821457874466</v>
      </c>
      <c r="AN232" s="1041">
        <f>'Sites and tenancies'!R10</f>
        <v>40769.555080046128</v>
      </c>
      <c r="AO232" s="154"/>
      <c r="AP232" s="154"/>
      <c r="AQ232" s="154"/>
      <c r="AR232" s="154"/>
      <c r="AS232" s="154"/>
      <c r="AT232" s="154"/>
      <c r="AU232" s="154"/>
      <c r="AV232" s="154"/>
      <c r="AW232" s="154"/>
      <c r="AX232" s="154"/>
      <c r="AY232" s="154"/>
    </row>
    <row r="233" spans="1:51">
      <c r="A233" s="154"/>
      <c r="B233" s="1056"/>
      <c r="C233" s="1051"/>
      <c r="D233" s="1051"/>
      <c r="E233" s="1015"/>
      <c r="F233" s="1015"/>
      <c r="G233" s="1015"/>
      <c r="H233" s="1015"/>
      <c r="I233" s="1015"/>
      <c r="J233" s="1015"/>
      <c r="K233" s="1015"/>
      <c r="L233" s="1015"/>
      <c r="M233" s="1015"/>
      <c r="N233" s="1015"/>
      <c r="O233" s="1015"/>
      <c r="P233" s="1015"/>
      <c r="Q233" s="1015"/>
      <c r="R233" s="1015"/>
      <c r="S233" s="1015"/>
      <c r="T233" s="1015"/>
      <c r="U233" s="1015"/>
      <c r="V233" s="1015"/>
      <c r="W233" s="1015"/>
      <c r="X233" s="1015"/>
      <c r="Y233" s="1027"/>
      <c r="Z233" s="1027"/>
      <c r="AA233" s="1027"/>
      <c r="AB233" s="1027"/>
      <c r="AC233" s="1027"/>
      <c r="AD233" s="1027"/>
      <c r="AE233" s="1027"/>
      <c r="AF233" s="1027"/>
      <c r="AG233" s="1027"/>
      <c r="AH233" s="1027"/>
      <c r="AI233" s="1027"/>
      <c r="AJ233" s="1027"/>
      <c r="AK233" s="1027"/>
      <c r="AL233" s="1027"/>
      <c r="AM233" s="1027"/>
      <c r="AN233" s="1027"/>
      <c r="AO233" s="154"/>
      <c r="AP233" s="154"/>
      <c r="AQ233" s="154"/>
      <c r="AR233" s="154"/>
      <c r="AS233" s="154"/>
      <c r="AT233" s="154"/>
      <c r="AU233" s="154"/>
      <c r="AV233" s="154"/>
      <c r="AW233" s="154"/>
      <c r="AX233" s="154"/>
      <c r="AY233" s="154"/>
    </row>
    <row r="234" spans="1:51">
      <c r="A234" s="154"/>
      <c r="B234" s="1055" t="s">
        <v>2</v>
      </c>
      <c r="C234" s="1051"/>
      <c r="D234" s="1051"/>
      <c r="E234" s="1015"/>
      <c r="F234" s="1015"/>
      <c r="G234" s="1015"/>
      <c r="H234" s="1015"/>
      <c r="I234" s="1015"/>
      <c r="J234" s="1015"/>
      <c r="K234" s="1015"/>
      <c r="L234" s="1015"/>
      <c r="M234" s="1015"/>
      <c r="N234" s="1015"/>
      <c r="O234" s="1015"/>
      <c r="P234" s="1015"/>
      <c r="Q234" s="1015"/>
      <c r="R234" s="1015"/>
      <c r="S234" s="1015"/>
      <c r="T234" s="1015"/>
      <c r="U234" s="1015"/>
      <c r="V234" s="1015"/>
      <c r="W234" s="1015"/>
      <c r="X234" s="1015"/>
      <c r="Y234" s="1027"/>
      <c r="Z234" s="1027"/>
      <c r="AA234" s="1027"/>
      <c r="AB234" s="1027"/>
      <c r="AC234" s="1027"/>
      <c r="AD234" s="1027"/>
      <c r="AE234" s="1027"/>
      <c r="AF234" s="1027"/>
      <c r="AG234" s="1027"/>
      <c r="AH234" s="1027"/>
      <c r="AI234" s="1027"/>
      <c r="AJ234" s="1027"/>
      <c r="AK234" s="1027"/>
      <c r="AL234" s="1027"/>
      <c r="AM234" s="1027"/>
      <c r="AN234" s="1027"/>
      <c r="AO234" s="154"/>
      <c r="AP234" s="154"/>
      <c r="AQ234" s="154"/>
      <c r="AR234" s="154"/>
      <c r="AS234" s="154"/>
      <c r="AT234" s="154"/>
      <c r="AU234" s="154"/>
      <c r="AV234" s="154"/>
      <c r="AW234" s="154"/>
      <c r="AX234" s="154"/>
      <c r="AY234" s="154"/>
    </row>
    <row r="235" spans="1:51">
      <c r="A235" s="154"/>
      <c r="B235" s="1056" t="str">
        <f>'Sites and tenancies'!A15</f>
        <v>Nigeria</v>
      </c>
      <c r="C235" s="1051"/>
      <c r="D235" s="1051"/>
      <c r="E235" s="1015"/>
      <c r="F235" s="1015"/>
      <c r="G235" s="1015"/>
      <c r="H235" s="1015"/>
      <c r="I235" s="1015"/>
      <c r="J235" s="1015"/>
      <c r="K235" s="1015"/>
      <c r="L235" s="1015"/>
      <c r="M235" s="1015"/>
      <c r="N235" s="1015"/>
      <c r="O235" s="1015"/>
      <c r="P235" s="1015"/>
      <c r="Q235" s="1015"/>
      <c r="R235" s="1015"/>
      <c r="S235" s="1015"/>
      <c r="T235" s="1015"/>
      <c r="U235" s="1015"/>
      <c r="V235" s="1015"/>
      <c r="W235" s="1015"/>
      <c r="X235" s="1015"/>
      <c r="Y235" s="1040">
        <f>'Sites and tenancies'!C15</f>
        <v>24834</v>
      </c>
      <c r="Z235" s="1040">
        <f>'Sites and tenancies'!D15</f>
        <v>25621</v>
      </c>
      <c r="AA235" s="1040">
        <f>'Sites and tenancies'!E15</f>
        <v>26210</v>
      </c>
      <c r="AB235" s="1040">
        <f>'Sites and tenancies'!F15</f>
        <v>26009</v>
      </c>
      <c r="AC235" s="1040">
        <f>'Sites and tenancies'!G15</f>
        <v>25740</v>
      </c>
      <c r="AD235" s="1040">
        <f>'Sites and tenancies'!H15</f>
        <v>26127.255249999998</v>
      </c>
      <c r="AE235" s="1040">
        <f>'Sites and tenancies'!I15</f>
        <v>27255.026647499995</v>
      </c>
      <c r="AF235" s="1040">
        <f>'Sites and tenancies'!J15</f>
        <v>27752.929451377495</v>
      </c>
      <c r="AG235" s="1040">
        <f>'Sites and tenancies'!K15</f>
        <v>28283.913210037583</v>
      </c>
      <c r="AH235" s="1040">
        <f>'Sites and tenancies'!L15</f>
        <v>28820.970847775792</v>
      </c>
      <c r="AI235" s="1040">
        <f>'Sites and tenancies'!M15</f>
        <v>29193.439512202636</v>
      </c>
      <c r="AJ235" s="1040">
        <f>'Sites and tenancies'!N15</f>
        <v>29397.793588788052</v>
      </c>
      <c r="AK235" s="1040">
        <f>'Sites and tenancies'!O15</f>
        <v>29603.57814390957</v>
      </c>
      <c r="AL235" s="1040">
        <f>'Sites and tenancies'!P15</f>
        <v>29810.803190916933</v>
      </c>
      <c r="AM235" s="1040">
        <f>'Sites and tenancies'!Q15</f>
        <v>30019.478813253347</v>
      </c>
      <c r="AN235" s="1040">
        <f>'Sites and tenancies'!R15</f>
        <v>30229.615164946117</v>
      </c>
      <c r="AO235" s="154"/>
      <c r="AP235" s="154"/>
      <c r="AQ235" s="154"/>
      <c r="AR235" s="154"/>
      <c r="AS235" s="154"/>
      <c r="AT235" s="154"/>
      <c r="AU235" s="154"/>
      <c r="AV235" s="154"/>
      <c r="AW235" s="154"/>
      <c r="AX235" s="154"/>
      <c r="AY235" s="154"/>
    </row>
    <row r="236" spans="1:51">
      <c r="A236" s="154"/>
      <c r="B236" s="1056" t="str">
        <f>'Sites and tenancies'!A16</f>
        <v>Cote D'Ivoire</v>
      </c>
      <c r="C236" s="1051"/>
      <c r="D236" s="1051"/>
      <c r="E236" s="1015"/>
      <c r="F236" s="1015"/>
      <c r="G236" s="1015"/>
      <c r="H236" s="1015"/>
      <c r="I236" s="1015"/>
      <c r="J236" s="1015"/>
      <c r="K236" s="1015"/>
      <c r="L236" s="1015"/>
      <c r="M236" s="1015"/>
      <c r="N236" s="1015"/>
      <c r="O236" s="1015"/>
      <c r="P236" s="1015"/>
      <c r="Q236" s="1015"/>
      <c r="R236" s="1015"/>
      <c r="S236" s="1015"/>
      <c r="T236" s="1015"/>
      <c r="U236" s="1015"/>
      <c r="V236" s="1015"/>
      <c r="W236" s="1015"/>
      <c r="X236" s="1015"/>
      <c r="Y236" s="1040">
        <f>'Sites and tenancies'!C16</f>
        <v>4769</v>
      </c>
      <c r="Z236" s="1040">
        <f>'Sites and tenancies'!D16</f>
        <v>4750</v>
      </c>
      <c r="AA236" s="1040">
        <f>'Sites and tenancies'!E16</f>
        <v>4846</v>
      </c>
      <c r="AB236" s="1040">
        <f>'Sites and tenancies'!F16</f>
        <v>4871</v>
      </c>
      <c r="AC236" s="1040">
        <f>'Sites and tenancies'!G16</f>
        <v>4939</v>
      </c>
      <c r="AD236" s="1040">
        <f>'Sites and tenancies'!H16</f>
        <v>4985.256985555</v>
      </c>
      <c r="AE236" s="1040">
        <f>'Sites and tenancies'!I16</f>
        <v>5082.1358866682249</v>
      </c>
      <c r="AF236" s="1040">
        <f>'Sites and tenancies'!J16</f>
        <v>5174.7228907318558</v>
      </c>
      <c r="AG236" s="1040">
        <f>'Sites and tenancies'!K16</f>
        <v>5262.6603891120803</v>
      </c>
      <c r="AH236" s="1040">
        <f>'Sites and tenancies'!L16</f>
        <v>5351.011881002577</v>
      </c>
      <c r="AI236" s="1040">
        <f>'Sites and tenancies'!M16</f>
        <v>5439.7685796820288</v>
      </c>
      <c r="AJ236" s="1040">
        <f>'Sites and tenancies'!N16</f>
        <v>5528.9213985669276</v>
      </c>
      <c r="AK236" s="1040">
        <f>'Sites and tenancies'!O16</f>
        <v>5618.4609452657123</v>
      </c>
      <c r="AL236" s="1040">
        <f>'Sites and tenancies'!P16</f>
        <v>5708.3775155357162</v>
      </c>
      <c r="AM236" s="1040">
        <f>'Sites and tenancies'!Q16</f>
        <v>5798.6610871414623</v>
      </c>
      <c r="AN236" s="1040">
        <f>'Sites and tenancies'!R16</f>
        <v>5889.3013136128884</v>
      </c>
      <c r="AO236" s="154"/>
      <c r="AP236" s="154"/>
      <c r="AQ236" s="154"/>
      <c r="AR236" s="154"/>
      <c r="AS236" s="154"/>
      <c r="AT236" s="154"/>
      <c r="AU236" s="154"/>
      <c r="AV236" s="154"/>
      <c r="AW236" s="154"/>
      <c r="AX236" s="154"/>
      <c r="AY236" s="154"/>
    </row>
    <row r="237" spans="1:51">
      <c r="A237" s="154"/>
      <c r="B237" s="1056" t="str">
        <f>'Sites and tenancies'!A17</f>
        <v>Cameroon</v>
      </c>
      <c r="C237" s="1051"/>
      <c r="D237" s="1051"/>
      <c r="E237" s="1015"/>
      <c r="F237" s="1015"/>
      <c r="G237" s="1015"/>
      <c r="H237" s="1015"/>
      <c r="I237" s="1015"/>
      <c r="J237" s="1015"/>
      <c r="K237" s="1015"/>
      <c r="L237" s="1015"/>
      <c r="M237" s="1015"/>
      <c r="N237" s="1015"/>
      <c r="O237" s="1015"/>
      <c r="P237" s="1015"/>
      <c r="Q237" s="1015"/>
      <c r="R237" s="1015"/>
      <c r="S237" s="1015"/>
      <c r="T237" s="1015"/>
      <c r="U237" s="1015"/>
      <c r="V237" s="1015"/>
      <c r="W237" s="1015"/>
      <c r="X237" s="1015"/>
      <c r="Y237" s="1040">
        <f>'Sites and tenancies'!C17</f>
        <v>3648</v>
      </c>
      <c r="Z237" s="1040">
        <f>'Sites and tenancies'!D17</f>
        <v>3344</v>
      </c>
      <c r="AA237" s="1040">
        <f>'Sites and tenancies'!E17</f>
        <v>3444</v>
      </c>
      <c r="AB237" s="1040">
        <f>'Sites and tenancies'!F17</f>
        <v>3743</v>
      </c>
      <c r="AC237" s="1040">
        <f>'Sites and tenancies'!G17</f>
        <v>3899</v>
      </c>
      <c r="AD237" s="1040">
        <f>'Sites and tenancies'!H17</f>
        <v>4034.0111767199996</v>
      </c>
      <c r="AE237" s="1040">
        <f>'Sites and tenancies'!I17</f>
        <v>4155.059955320924</v>
      </c>
      <c r="AF237" s="1040">
        <f>'Sites and tenancies'!J17</f>
        <v>4278.673761388297</v>
      </c>
      <c r="AG237" s="1040">
        <f>'Sites and tenancies'!K17</f>
        <v>4404.89726512371</v>
      </c>
      <c r="AH237" s="1040">
        <f>'Sites and tenancies'!L17</f>
        <v>4533.7758283753383</v>
      </c>
      <c r="AI237" s="1040">
        <f>'Sites and tenancies'!M17</f>
        <v>4665.3555145513083</v>
      </c>
      <c r="AJ237" s="1040">
        <f>'Sites and tenancies'!N17</f>
        <v>4799.6830986676396</v>
      </c>
      <c r="AK237" s="1040">
        <f>'Sites and tenancies'!O17</f>
        <v>4936.8060775325202</v>
      </c>
      <c r="AL237" s="1040">
        <f>'Sites and tenancies'!P17</f>
        <v>5076.772680068686</v>
      </c>
      <c r="AM237" s="1040">
        <f>'Sites and tenancies'!Q17</f>
        <v>5219.6318777757151</v>
      </c>
      <c r="AN237" s="1040">
        <f>'Sites and tenancies'!R17</f>
        <v>5365.4333953340492</v>
      </c>
      <c r="AO237" s="154"/>
      <c r="AP237" s="154"/>
      <c r="AQ237" s="154"/>
      <c r="AR237" s="154"/>
      <c r="AS237" s="154"/>
      <c r="AT237" s="154"/>
      <c r="AU237" s="154"/>
      <c r="AV237" s="154"/>
      <c r="AW237" s="154"/>
      <c r="AX237" s="154"/>
      <c r="AY237" s="154"/>
    </row>
    <row r="238" spans="1:51">
      <c r="A238" s="154"/>
      <c r="B238" s="1056" t="str">
        <f>'Sites and tenancies'!A18</f>
        <v>Zambia</v>
      </c>
      <c r="C238" s="1051"/>
      <c r="D238" s="1051"/>
      <c r="E238" s="1015"/>
      <c r="F238" s="1015"/>
      <c r="G238" s="1015"/>
      <c r="H238" s="1015"/>
      <c r="I238" s="1015"/>
      <c r="J238" s="1015"/>
      <c r="K238" s="1015"/>
      <c r="L238" s="1015"/>
      <c r="M238" s="1015"/>
      <c r="N238" s="1015"/>
      <c r="O238" s="1015"/>
      <c r="P238" s="1015"/>
      <c r="Q238" s="1015"/>
      <c r="R238" s="1015"/>
      <c r="S238" s="1015"/>
      <c r="T238" s="1015"/>
      <c r="U238" s="1015"/>
      <c r="V238" s="1015"/>
      <c r="W238" s="1015"/>
      <c r="X238" s="1015"/>
      <c r="Y238" s="1040">
        <f>'Sites and tenancies'!C18</f>
        <v>3240</v>
      </c>
      <c r="Z238" s="1040">
        <f>'Sites and tenancies'!D18</f>
        <v>2799</v>
      </c>
      <c r="AA238" s="1040">
        <f>'Sites and tenancies'!E18</f>
        <v>2922</v>
      </c>
      <c r="AB238" s="1040">
        <f>'Sites and tenancies'!F18</f>
        <v>2942</v>
      </c>
      <c r="AC238" s="1040">
        <f>'Sites and tenancies'!G18</f>
        <v>3308</v>
      </c>
      <c r="AD238" s="1040">
        <f>'Sites and tenancies'!H18</f>
        <v>3512.5156633049987</v>
      </c>
      <c r="AE238" s="1040">
        <f>'Sites and tenancies'!I18</f>
        <v>3591.4733806078161</v>
      </c>
      <c r="AF238" s="1040">
        <f>'Sites and tenancies'!J18</f>
        <v>3656.7986050897375</v>
      </c>
      <c r="AG238" s="1040">
        <f>'Sites and tenancies'!K18</f>
        <v>3722.6872949819622</v>
      </c>
      <c r="AH238" s="1040">
        <f>'Sites and tenancies'!L18</f>
        <v>3789.1434518079827</v>
      </c>
      <c r="AI238" s="1040">
        <f>'Sites and tenancies'!M18</f>
        <v>3856.1711030198885</v>
      </c>
      <c r="AJ238" s="1040">
        <f>'Sites and tenancies'!N18</f>
        <v>3923.7743021576184</v>
      </c>
      <c r="AK238" s="1040">
        <f>'Sites and tenancies'!O18</f>
        <v>3991.9571290091499</v>
      </c>
      <c r="AL238" s="1040">
        <f>'Sites and tenancies'!P18</f>
        <v>4060.723689771643</v>
      </c>
      <c r="AM238" s="1040">
        <f>'Sites and tenancies'!Q18</f>
        <v>4130.0781172135348</v>
      </c>
      <c r="AN238" s="1040">
        <f>'Sites and tenancies'!R18</f>
        <v>4200.0245708376015</v>
      </c>
      <c r="AO238" s="154"/>
      <c r="AP238" s="154"/>
      <c r="AQ238" s="154"/>
      <c r="AR238" s="154"/>
      <c r="AS238" s="154"/>
      <c r="AT238" s="154"/>
      <c r="AU238" s="154"/>
      <c r="AV238" s="154"/>
      <c r="AW238" s="154"/>
      <c r="AX238" s="154"/>
      <c r="AY238" s="154"/>
    </row>
    <row r="239" spans="1:51">
      <c r="A239" s="154"/>
      <c r="B239" s="1056" t="str">
        <f>'Sites and tenancies'!A19</f>
        <v>Rwanda</v>
      </c>
      <c r="C239" s="1051"/>
      <c r="D239" s="1051"/>
      <c r="E239" s="1015"/>
      <c r="F239" s="1015"/>
      <c r="G239" s="1015"/>
      <c r="H239" s="1015"/>
      <c r="I239" s="1015"/>
      <c r="J239" s="1015"/>
      <c r="K239" s="1015"/>
      <c r="L239" s="1015"/>
      <c r="M239" s="1015"/>
      <c r="N239" s="1015"/>
      <c r="O239" s="1015"/>
      <c r="P239" s="1015"/>
      <c r="Q239" s="1015"/>
      <c r="R239" s="1015"/>
      <c r="S239" s="1015"/>
      <c r="T239" s="1015"/>
      <c r="U239" s="1015"/>
      <c r="V239" s="1015"/>
      <c r="W239" s="1015"/>
      <c r="X239" s="1015"/>
      <c r="Y239" s="1040">
        <f>'Sites and tenancies'!C19</f>
        <v>2383</v>
      </c>
      <c r="Z239" s="1040">
        <f>'Sites and tenancies'!D19</f>
        <v>2523</v>
      </c>
      <c r="AA239" s="1040">
        <f>'Sites and tenancies'!E19</f>
        <v>2673</v>
      </c>
      <c r="AB239" s="1040">
        <f>'Sites and tenancies'!F19</f>
        <v>2786</v>
      </c>
      <c r="AC239" s="1040">
        <f>'Sites and tenancies'!G19</f>
        <v>3000</v>
      </c>
      <c r="AD239" s="1040">
        <f>'Sites and tenancies'!H19</f>
        <v>0</v>
      </c>
      <c r="AE239" s="1040">
        <f>'Sites and tenancies'!I19</f>
        <v>0</v>
      </c>
      <c r="AF239" s="1040">
        <f>'Sites and tenancies'!J19</f>
        <v>0</v>
      </c>
      <c r="AG239" s="1040">
        <f>'Sites and tenancies'!K19</f>
        <v>0</v>
      </c>
      <c r="AH239" s="1040">
        <f>'Sites and tenancies'!L19</f>
        <v>0</v>
      </c>
      <c r="AI239" s="1040">
        <f>'Sites and tenancies'!M19</f>
        <v>0</v>
      </c>
      <c r="AJ239" s="1040">
        <f>'Sites and tenancies'!N19</f>
        <v>0</v>
      </c>
      <c r="AK239" s="1040">
        <f>'Sites and tenancies'!O19</f>
        <v>0</v>
      </c>
      <c r="AL239" s="1040">
        <f>'Sites and tenancies'!P19</f>
        <v>0</v>
      </c>
      <c r="AM239" s="1040">
        <f>'Sites and tenancies'!Q19</f>
        <v>0</v>
      </c>
      <c r="AN239" s="1040">
        <f>'Sites and tenancies'!R19</f>
        <v>0</v>
      </c>
      <c r="AO239" s="154"/>
      <c r="AP239" s="154"/>
      <c r="AQ239" s="154"/>
      <c r="AR239" s="154"/>
      <c r="AS239" s="154"/>
      <c r="AT239" s="154"/>
      <c r="AU239" s="154"/>
      <c r="AV239" s="154"/>
      <c r="AW239" s="154"/>
      <c r="AX239" s="154"/>
      <c r="AY239" s="154"/>
    </row>
    <row r="240" spans="1:51">
      <c r="A240" s="154"/>
      <c r="B240" s="1056" t="str">
        <f>'Sites and tenancies'!A20</f>
        <v>Kuwait population</v>
      </c>
      <c r="C240" s="1051"/>
      <c r="D240" s="1051"/>
      <c r="E240" s="1015"/>
      <c r="F240" s="1015"/>
      <c r="G240" s="1015"/>
      <c r="H240" s="1015"/>
      <c r="I240" s="1015"/>
      <c r="J240" s="1015"/>
      <c r="K240" s="1015"/>
      <c r="L240" s="1015"/>
      <c r="M240" s="1015"/>
      <c r="N240" s="1015"/>
      <c r="O240" s="1015"/>
      <c r="P240" s="1015"/>
      <c r="Q240" s="1015"/>
      <c r="R240" s="1015"/>
      <c r="S240" s="1015"/>
      <c r="T240" s="1015"/>
      <c r="U240" s="1015"/>
      <c r="V240" s="1015"/>
      <c r="W240" s="1015"/>
      <c r="X240" s="1015"/>
      <c r="Y240" s="1040">
        <f>'Sites and tenancies'!C20</f>
        <v>1162</v>
      </c>
      <c r="Z240" s="1040">
        <f>'Sites and tenancies'!D20</f>
        <v>1416</v>
      </c>
      <c r="AA240" s="1040">
        <f>'Sites and tenancies'!E20</f>
        <v>1546</v>
      </c>
      <c r="AB240" s="1040">
        <f>'Sites and tenancies'!F20</f>
        <v>1696</v>
      </c>
      <c r="AC240" s="1040">
        <f>'Sites and tenancies'!G20</f>
        <v>1697</v>
      </c>
      <c r="AD240" s="1040">
        <f>'Sites and tenancies'!H20</f>
        <v>1846.602436157275</v>
      </c>
      <c r="AE240" s="1040">
        <f>'Sites and tenancies'!I20</f>
        <v>1908.5565226837757</v>
      </c>
      <c r="AF240" s="1040">
        <f>'Sites and tenancies'!J20</f>
        <v>1971.903911954849</v>
      </c>
      <c r="AG240" s="1040">
        <f>'Sites and tenancies'!K20</f>
        <v>2036.6696634293094</v>
      </c>
      <c r="AH240" s="1040">
        <f>'Sites and tenancies'!L20</f>
        <v>2102.8792323130001</v>
      </c>
      <c r="AI240" s="1040">
        <f>'Sites and tenancies'!M20</f>
        <v>2170.5584753066682</v>
      </c>
      <c r="AJ240" s="1040">
        <f>'Sites and tenancies'!N20</f>
        <v>2239.7336564326106</v>
      </c>
      <c r="AK240" s="1040">
        <f>'Sites and tenancies'!O20</f>
        <v>2310.4314529411299</v>
      </c>
      <c r="AL240" s="1040">
        <f>'Sites and tenancies'!P20</f>
        <v>2382.6789612978419</v>
      </c>
      <c r="AM240" s="1040">
        <f>'Sites and tenancies'!Q20</f>
        <v>2456.5037032528944</v>
      </c>
      <c r="AN240" s="1040">
        <f>'Sites and tenancies'!R20</f>
        <v>2531.9336319931854</v>
      </c>
      <c r="AO240" s="154"/>
      <c r="AP240" s="154"/>
      <c r="AQ240" s="154"/>
      <c r="AR240" s="154"/>
      <c r="AS240" s="154"/>
      <c r="AT240" s="154"/>
      <c r="AU240" s="154"/>
      <c r="AV240" s="154"/>
      <c r="AW240" s="154"/>
      <c r="AX240" s="154"/>
      <c r="AY240" s="154"/>
    </row>
    <row r="241" spans="1:51">
      <c r="A241" s="154"/>
      <c r="B241" s="1056" t="str">
        <f>'Sites and tenancies'!A21</f>
        <v>Latam</v>
      </c>
      <c r="C241" s="1051"/>
      <c r="D241" s="1051"/>
      <c r="E241" s="1015"/>
      <c r="F241" s="1015"/>
      <c r="G241" s="1015"/>
      <c r="H241" s="1015"/>
      <c r="I241" s="1015"/>
      <c r="J241" s="1015"/>
      <c r="K241" s="1015"/>
      <c r="L241" s="1015"/>
      <c r="M241" s="1015"/>
      <c r="N241" s="1015"/>
      <c r="O241" s="1015"/>
      <c r="P241" s="1015"/>
      <c r="Q241" s="1015"/>
      <c r="R241" s="1015"/>
      <c r="S241" s="1015"/>
      <c r="T241" s="1015"/>
      <c r="U241" s="1015"/>
      <c r="V241" s="1015"/>
      <c r="W241" s="1015"/>
      <c r="X241" s="1015"/>
      <c r="Y241" s="1040">
        <f>'Sites and tenancies'!C21</f>
        <v>3245</v>
      </c>
      <c r="Z241" s="1040">
        <f>'Sites and tenancies'!D21</f>
        <v>5961</v>
      </c>
      <c r="AA241" s="1040">
        <f>'Sites and tenancies'!E21</f>
        <v>9781</v>
      </c>
      <c r="AB241" s="1040">
        <f>'Sites and tenancies'!F21</f>
        <v>10429</v>
      </c>
      <c r="AC241" s="1040">
        <f>'Sites and tenancies'!G21</f>
        <v>11175</v>
      </c>
      <c r="AD241" s="1040">
        <f>'Sites and tenancies'!H21</f>
        <v>11883.93847839</v>
      </c>
      <c r="AE241" s="1040">
        <f>'Sites and tenancies'!I21</f>
        <v>12571.071928603653</v>
      </c>
      <c r="AF241" s="1040">
        <f>'Sites and tenancies'!J21</f>
        <v>13201.257295286679</v>
      </c>
      <c r="AG241" s="1040">
        <f>'Sites and tenancies'!K21</f>
        <v>13794.818565694461</v>
      </c>
      <c r="AH241" s="1040">
        <f>'Sites and tenancies'!L21</f>
        <v>14410.302968014474</v>
      </c>
      <c r="AI241" s="1040">
        <f>'Sites and tenancies'!M21</f>
        <v>15048.41922669532</v>
      </c>
      <c r="AJ241" s="1040">
        <f>'Sites and tenancies'!N21</f>
        <v>15709.897030384394</v>
      </c>
      <c r="AK241" s="1040">
        <f>'Sites and tenancies'!O21</f>
        <v>16395.487614695518</v>
      </c>
      <c r="AL241" s="1040">
        <f>'Sites and tenancies'!P21</f>
        <v>17105.964360455397</v>
      </c>
      <c r="AM241" s="1040">
        <f>'Sites and tenancies'!Q21</f>
        <v>17842.123407826031</v>
      </c>
      <c r="AN241" s="1040">
        <f>'Sites and tenancies'!R21</f>
        <v>18604.78428671007</v>
      </c>
      <c r="AO241" s="154"/>
      <c r="AP241" s="154"/>
      <c r="AQ241" s="154"/>
      <c r="AR241" s="154"/>
      <c r="AS241" s="154"/>
      <c r="AT241" s="154"/>
      <c r="AU241" s="154"/>
      <c r="AV241" s="154"/>
      <c r="AW241" s="154"/>
      <c r="AX241" s="154"/>
      <c r="AY241" s="154"/>
    </row>
    <row r="242" spans="1:51">
      <c r="A242" s="154"/>
      <c r="B242" s="1055" t="s">
        <v>181</v>
      </c>
      <c r="C242" s="1057"/>
      <c r="D242" s="1057"/>
      <c r="E242" s="1057"/>
      <c r="F242" s="1057"/>
      <c r="G242" s="1057"/>
      <c r="H242" s="1057"/>
      <c r="I242" s="1057"/>
      <c r="J242" s="1057"/>
      <c r="K242" s="1057"/>
      <c r="L242" s="1057"/>
      <c r="M242" s="1057"/>
      <c r="N242" s="1057"/>
      <c r="O242" s="1057"/>
      <c r="P242" s="1057"/>
      <c r="Q242" s="1057"/>
      <c r="R242" s="1057"/>
      <c r="S242" s="1057"/>
      <c r="T242" s="1057"/>
      <c r="U242" s="1057"/>
      <c r="V242" s="1057"/>
      <c r="W242" s="1058"/>
      <c r="X242" s="1058"/>
      <c r="Y242" s="1041">
        <f>'Sites and tenancies'!C22</f>
        <v>43281</v>
      </c>
      <c r="Z242" s="1041">
        <f>'Sites and tenancies'!D22</f>
        <v>46414</v>
      </c>
      <c r="AA242" s="1041">
        <f>'Sites and tenancies'!E22</f>
        <v>51422</v>
      </c>
      <c r="AB242" s="1041">
        <f>'Sites and tenancies'!F22</f>
        <v>52476</v>
      </c>
      <c r="AC242" s="1041">
        <f>'Sites and tenancies'!G22</f>
        <v>53758</v>
      </c>
      <c r="AD242" s="1041">
        <f>'Sites and tenancies'!H22</f>
        <v>52389.579990127277</v>
      </c>
      <c r="AE242" s="1041">
        <f>'Sites and tenancies'!I22</f>
        <v>54563.324321384389</v>
      </c>
      <c r="AF242" s="1041">
        <f>'Sites and tenancies'!J22</f>
        <v>56036.285915828907</v>
      </c>
      <c r="AG242" s="1041">
        <f>'Sites and tenancies'!K22</f>
        <v>57505.646388379108</v>
      </c>
      <c r="AH242" s="1041">
        <f>'Sites and tenancies'!L22</f>
        <v>59008.084209289162</v>
      </c>
      <c r="AI242" s="1041">
        <f>'Sites and tenancies'!M22</f>
        <v>60373.71241145784</v>
      </c>
      <c r="AJ242" s="1041">
        <f>'Sites and tenancies'!N22</f>
        <v>61599.803074997239</v>
      </c>
      <c r="AK242" s="1041">
        <f>'Sites and tenancies'!O22</f>
        <v>62856.721363353601</v>
      </c>
      <c r="AL242" s="1041">
        <f>'Sites and tenancies'!P22</f>
        <v>64145.320398046213</v>
      </c>
      <c r="AM242" s="1041">
        <f>'Sites and tenancies'!Q22</f>
        <v>65466.477006462985</v>
      </c>
      <c r="AN242" s="1041">
        <f>'Sites and tenancies'!R22</f>
        <v>66821.092363433912</v>
      </c>
      <c r="AO242" s="154"/>
      <c r="AP242" s="154"/>
      <c r="AQ242" s="154"/>
      <c r="AR242" s="154"/>
      <c r="AS242" s="154"/>
      <c r="AT242" s="154"/>
      <c r="AU242" s="154"/>
      <c r="AV242" s="154"/>
      <c r="AW242" s="154"/>
      <c r="AX242" s="154"/>
      <c r="AY242" s="154"/>
    </row>
    <row r="243" spans="1:51">
      <c r="A243" s="154"/>
      <c r="B243" s="1056"/>
      <c r="C243" s="1051"/>
      <c r="D243" s="1051"/>
      <c r="E243" s="1018"/>
      <c r="F243" s="1018"/>
      <c r="G243" s="1018"/>
      <c r="H243" s="1019"/>
      <c r="I243" s="1019"/>
      <c r="J243" s="1019"/>
      <c r="K243" s="1019"/>
      <c r="L243" s="1019"/>
      <c r="M243" s="1019"/>
      <c r="N243" s="1019"/>
      <c r="O243" s="1019"/>
      <c r="P243" s="1019"/>
      <c r="Q243" s="1019"/>
      <c r="R243" s="1019"/>
      <c r="S243" s="1019"/>
      <c r="T243" s="1019"/>
      <c r="U243" s="1019"/>
      <c r="V243" s="1019"/>
      <c r="W243" s="1019"/>
      <c r="X243" s="1019"/>
      <c r="Y243" s="1027"/>
      <c r="Z243" s="1027"/>
      <c r="AA243" s="1027"/>
      <c r="AB243" s="1027"/>
      <c r="AC243" s="1027"/>
      <c r="AD243" s="1027"/>
      <c r="AE243" s="1027"/>
      <c r="AF243" s="1027"/>
      <c r="AG243" s="1027"/>
      <c r="AH243" s="1027"/>
      <c r="AI243" s="1027"/>
      <c r="AJ243" s="1027"/>
      <c r="AK243" s="1027"/>
      <c r="AL243" s="1027"/>
      <c r="AM243" s="1027"/>
      <c r="AN243" s="1027"/>
      <c r="AO243" s="154"/>
      <c r="AP243" s="154"/>
      <c r="AQ243" s="154"/>
      <c r="AR243" s="154"/>
      <c r="AS243" s="154"/>
      <c r="AT243" s="154"/>
      <c r="AU243" s="154"/>
      <c r="AV243" s="154"/>
      <c r="AW243" s="154"/>
      <c r="AX243" s="154"/>
      <c r="AY243" s="154"/>
    </row>
    <row r="244" spans="1:51">
      <c r="A244" s="154"/>
      <c r="B244" s="1055" t="s">
        <v>624</v>
      </c>
      <c r="C244" s="1051"/>
      <c r="D244" s="1051"/>
      <c r="E244" s="1051"/>
      <c r="F244" s="1051"/>
      <c r="G244" s="1051"/>
      <c r="H244" s="1051"/>
      <c r="I244" s="1015"/>
      <c r="J244" s="1015"/>
      <c r="K244" s="1015"/>
      <c r="L244" s="1015"/>
      <c r="M244" s="1015"/>
      <c r="N244" s="1015"/>
      <c r="O244" s="1015"/>
      <c r="P244" s="1015"/>
      <c r="Q244" s="1015"/>
      <c r="R244" s="1015"/>
      <c r="S244" s="1015"/>
      <c r="T244" s="1015"/>
      <c r="U244" s="1015"/>
      <c r="V244" s="1015"/>
      <c r="W244" s="1027"/>
      <c r="X244" s="1027"/>
      <c r="Y244" s="1027"/>
      <c r="Z244" s="1027"/>
      <c r="AA244" s="1027"/>
      <c r="AB244" s="1027"/>
      <c r="AC244" s="1027"/>
      <c r="AD244" s="1027"/>
      <c r="AE244" s="1027"/>
      <c r="AF244" s="1027"/>
      <c r="AG244" s="1027"/>
      <c r="AH244" s="1027"/>
      <c r="AI244" s="1027"/>
      <c r="AJ244" s="1027"/>
      <c r="AK244" s="1027"/>
      <c r="AL244" s="1027"/>
      <c r="AM244" s="1027"/>
      <c r="AN244" s="1027"/>
      <c r="AO244" s="154"/>
      <c r="AP244" s="154"/>
      <c r="AQ244" s="154"/>
      <c r="AR244" s="154"/>
      <c r="AS244" s="154"/>
      <c r="AT244" s="154"/>
      <c r="AU244" s="154"/>
      <c r="AV244" s="154"/>
      <c r="AW244" s="154"/>
      <c r="AX244" s="154"/>
      <c r="AY244" s="154"/>
    </row>
    <row r="245" spans="1:51">
      <c r="A245" s="154"/>
      <c r="B245" s="1056" t="str">
        <f>'Sites and tenancies'!A25</f>
        <v>Nigeria</v>
      </c>
      <c r="C245" s="1059"/>
      <c r="D245" s="1059"/>
      <c r="E245" s="1059"/>
      <c r="F245" s="1059"/>
      <c r="G245" s="1059"/>
      <c r="H245" s="1059"/>
      <c r="I245" s="1059"/>
      <c r="J245" s="1059"/>
      <c r="K245" s="1059"/>
      <c r="L245" s="1059"/>
      <c r="M245" s="1059"/>
      <c r="N245" s="1059"/>
      <c r="O245" s="1059"/>
      <c r="P245" s="1059"/>
      <c r="Q245" s="1059"/>
      <c r="R245" s="1059"/>
      <c r="S245" s="1051"/>
      <c r="T245" s="1051"/>
      <c r="U245" s="1051"/>
      <c r="V245" s="1051"/>
      <c r="W245" s="1060"/>
      <c r="X245" s="1060"/>
      <c r="Y245" s="1061">
        <f>'Sites and tenancies'!C25</f>
        <v>1.5017234081151358</v>
      </c>
      <c r="Z245" s="1061">
        <f>'Sites and tenancies'!D25</f>
        <v>1.5201732526403229</v>
      </c>
      <c r="AA245" s="1061">
        <f>'Sites and tenancies'!E25</f>
        <v>1.542218299499853</v>
      </c>
      <c r="AB245" s="1061">
        <f>'Sites and tenancies'!F25</f>
        <v>1.5863982921622446</v>
      </c>
      <c r="AC245" s="1061">
        <f>'Sites and tenancies'!G25</f>
        <v>1.5604728705668385</v>
      </c>
      <c r="AD245" s="1061">
        <f>'Sites and tenancies'!H25</f>
        <v>1.58</v>
      </c>
      <c r="AE245" s="1061">
        <f>'Sites and tenancies'!I25</f>
        <v>1.64</v>
      </c>
      <c r="AF245" s="1061">
        <f>'Sites and tenancies'!J25</f>
        <v>1.66</v>
      </c>
      <c r="AG245" s="1061">
        <f>'Sites and tenancies'!K25</f>
        <v>1.68</v>
      </c>
      <c r="AH245" s="1061">
        <f>'Sites and tenancies'!L25</f>
        <v>1.7</v>
      </c>
      <c r="AI245" s="1061">
        <f>'Sites and tenancies'!M25</f>
        <v>1.71</v>
      </c>
      <c r="AJ245" s="1061">
        <f>'Sites and tenancies'!N25</f>
        <v>1.71</v>
      </c>
      <c r="AK245" s="1061">
        <f>'Sites and tenancies'!O25</f>
        <v>1.71</v>
      </c>
      <c r="AL245" s="1061">
        <f>'Sites and tenancies'!P25</f>
        <v>1.71</v>
      </c>
      <c r="AM245" s="1061">
        <f>'Sites and tenancies'!Q25</f>
        <v>1.71</v>
      </c>
      <c r="AN245" s="1061">
        <f>'Sites and tenancies'!R25</f>
        <v>1.71</v>
      </c>
      <c r="AO245" s="154"/>
      <c r="AP245" s="154"/>
      <c r="AQ245" s="154"/>
      <c r="AR245" s="154"/>
      <c r="AS245" s="154"/>
      <c r="AT245" s="154"/>
      <c r="AU245" s="154"/>
      <c r="AV245" s="154"/>
      <c r="AW245" s="154"/>
      <c r="AX245" s="154"/>
      <c r="AY245" s="154"/>
    </row>
    <row r="246" spans="1:51">
      <c r="A246" s="154"/>
      <c r="B246" s="1056" t="str">
        <f>'Sites and tenancies'!A26</f>
        <v>Cote D'Ivoire</v>
      </c>
      <c r="C246" s="1059"/>
      <c r="D246" s="1059"/>
      <c r="E246" s="1059"/>
      <c r="F246" s="1059"/>
      <c r="G246" s="1059"/>
      <c r="H246" s="1059"/>
      <c r="I246" s="1059"/>
      <c r="J246" s="1059"/>
      <c r="K246" s="1059"/>
      <c r="L246" s="1059"/>
      <c r="M246" s="1059"/>
      <c r="N246" s="1059"/>
      <c r="O246" s="1059"/>
      <c r="P246" s="1059"/>
      <c r="Q246" s="1059"/>
      <c r="R246" s="1059"/>
      <c r="S246" s="1051"/>
      <c r="T246" s="1051"/>
      <c r="U246" s="1051"/>
      <c r="V246" s="1051"/>
      <c r="W246" s="1060"/>
      <c r="X246" s="1060"/>
      <c r="Y246" s="1061">
        <f>'Sites and tenancies'!C26</f>
        <v>1.7649888971132495</v>
      </c>
      <c r="Z246" s="1061">
        <f>'Sites and tenancies'!D26</f>
        <v>1.7638321574452285</v>
      </c>
      <c r="AA246" s="1061">
        <f>'Sites and tenancies'!E26</f>
        <v>1.7954798073360503</v>
      </c>
      <c r="AB246" s="1061">
        <f>'Sites and tenancies'!F26</f>
        <v>1.8080920564216778</v>
      </c>
      <c r="AC246" s="1061">
        <f>'Sites and tenancies'!G26</f>
        <v>1.8415361670395227</v>
      </c>
      <c r="AD246" s="1061">
        <f>'Sites and tenancies'!H26</f>
        <v>1.87</v>
      </c>
      <c r="AE246" s="1061">
        <f>'Sites and tenancies'!I26</f>
        <v>1.895</v>
      </c>
      <c r="AF246" s="1061">
        <f>'Sites and tenancies'!J26</f>
        <v>1.9200000000000002</v>
      </c>
      <c r="AG246" s="1061">
        <f>'Sites and tenancies'!K26</f>
        <v>1.9449999999999998</v>
      </c>
      <c r="AH246" s="1061">
        <f>'Sites and tenancies'!L26</f>
        <v>1.9699999999999998</v>
      </c>
      <c r="AI246" s="1061">
        <f>'Sites and tenancies'!M26</f>
        <v>1.9949999999999997</v>
      </c>
      <c r="AJ246" s="1061">
        <f>'Sites and tenancies'!N26</f>
        <v>2.0199999999999996</v>
      </c>
      <c r="AK246" s="1061">
        <f>'Sites and tenancies'!O26</f>
        <v>2.0449999999999995</v>
      </c>
      <c r="AL246" s="1061">
        <f>'Sites and tenancies'!P26</f>
        <v>2.0699999999999994</v>
      </c>
      <c r="AM246" s="1061">
        <f>'Sites and tenancies'!Q26</f>
        <v>2.0949999999999993</v>
      </c>
      <c r="AN246" s="1061">
        <f>'Sites and tenancies'!R26</f>
        <v>2.1199999999999992</v>
      </c>
      <c r="AO246" s="154"/>
      <c r="AP246" s="154"/>
      <c r="AQ246" s="154"/>
      <c r="AR246" s="154"/>
      <c r="AS246" s="154"/>
      <c r="AT246" s="154"/>
      <c r="AU246" s="154"/>
      <c r="AV246" s="154"/>
      <c r="AW246" s="154"/>
      <c r="AX246" s="154"/>
      <c r="AY246" s="154"/>
    </row>
    <row r="247" spans="1:51">
      <c r="A247" s="154"/>
      <c r="B247" s="1056" t="str">
        <f>'Sites and tenancies'!A27</f>
        <v>Cameroon</v>
      </c>
      <c r="C247" s="1059"/>
      <c r="D247" s="1059"/>
      <c r="E247" s="1059"/>
      <c r="F247" s="1059"/>
      <c r="G247" s="1059"/>
      <c r="H247" s="1059"/>
      <c r="I247" s="1059"/>
      <c r="J247" s="1059"/>
      <c r="K247" s="1059"/>
      <c r="L247" s="1059"/>
      <c r="M247" s="1059"/>
      <c r="N247" s="1059"/>
      <c r="O247" s="1059"/>
      <c r="P247" s="1059"/>
      <c r="Q247" s="1059"/>
      <c r="R247" s="1059"/>
      <c r="S247" s="1051"/>
      <c r="T247" s="1051"/>
      <c r="U247" s="1051"/>
      <c r="V247" s="1051"/>
      <c r="W247" s="1060"/>
      <c r="X247" s="1060"/>
      <c r="Y247" s="1061">
        <f>'Sites and tenancies'!C27</f>
        <v>1.6476964769647697</v>
      </c>
      <c r="Z247" s="1061">
        <f>'Sites and tenancies'!D27</f>
        <v>1.5022461814914645</v>
      </c>
      <c r="AA247" s="1061">
        <f>'Sites and tenancies'!E27</f>
        <v>1.5111891180342256</v>
      </c>
      <c r="AB247" s="1061">
        <f>'Sites and tenancies'!F27</f>
        <v>1.587362171331637</v>
      </c>
      <c r="AC247" s="1061">
        <f>'Sites and tenancies'!G27</f>
        <v>1.5959885386819483</v>
      </c>
      <c r="AD247" s="1061">
        <f>'Sites and tenancies'!H27</f>
        <v>1.62</v>
      </c>
      <c r="AE247" s="1061">
        <f>'Sites and tenancies'!I27</f>
        <v>1.645</v>
      </c>
      <c r="AF247" s="1061">
        <f>'Sites and tenancies'!J27</f>
        <v>1.6699999999999997</v>
      </c>
      <c r="AG247" s="1061">
        <f>'Sites and tenancies'!K27</f>
        <v>1.6949999999999998</v>
      </c>
      <c r="AH247" s="1061">
        <f>'Sites and tenancies'!L27</f>
        <v>1.7199999999999998</v>
      </c>
      <c r="AI247" s="1061">
        <f>'Sites and tenancies'!M27</f>
        <v>1.7449999999999997</v>
      </c>
      <c r="AJ247" s="1061">
        <f>'Sites and tenancies'!N27</f>
        <v>1.7699999999999996</v>
      </c>
      <c r="AK247" s="1061">
        <f>'Sites and tenancies'!O27</f>
        <v>1.7949999999999995</v>
      </c>
      <c r="AL247" s="1061">
        <f>'Sites and tenancies'!P27</f>
        <v>1.8199999999999992</v>
      </c>
      <c r="AM247" s="1061">
        <f>'Sites and tenancies'!Q27</f>
        <v>1.8449999999999993</v>
      </c>
      <c r="AN247" s="1061">
        <f>'Sites and tenancies'!R27</f>
        <v>1.8699999999999992</v>
      </c>
      <c r="AO247" s="154"/>
      <c r="AP247" s="154"/>
      <c r="AQ247" s="154"/>
      <c r="AR247" s="154"/>
      <c r="AS247" s="154"/>
      <c r="AT247" s="154"/>
      <c r="AU247" s="154"/>
      <c r="AV247" s="154"/>
      <c r="AW247" s="154"/>
      <c r="AX247" s="154"/>
      <c r="AY247" s="154"/>
    </row>
    <row r="248" spans="1:51">
      <c r="A248" s="154"/>
      <c r="B248" s="1056" t="str">
        <f>'Sites and tenancies'!A28</f>
        <v>Zambia</v>
      </c>
      <c r="C248" s="1059"/>
      <c r="D248" s="1059"/>
      <c r="E248" s="1059"/>
      <c r="F248" s="1059"/>
      <c r="G248" s="1059"/>
      <c r="H248" s="1059"/>
      <c r="I248" s="1059"/>
      <c r="J248" s="1059"/>
      <c r="K248" s="1059"/>
      <c r="L248" s="1059"/>
      <c r="M248" s="1059"/>
      <c r="N248" s="1059"/>
      <c r="O248" s="1059"/>
      <c r="P248" s="1059"/>
      <c r="Q248" s="1059"/>
      <c r="R248" s="1059"/>
      <c r="S248" s="1059"/>
      <c r="T248" s="1059"/>
      <c r="U248" s="1059"/>
      <c r="V248" s="1059"/>
      <c r="W248" s="1060"/>
      <c r="X248" s="1060"/>
      <c r="Y248" s="1061">
        <f>'Sites and tenancies'!C28</f>
        <v>1.8482601254991444</v>
      </c>
      <c r="Z248" s="1061">
        <f>'Sites and tenancies'!D28</f>
        <v>1.6040114613180516</v>
      </c>
      <c r="AA248" s="1061">
        <f>'Sites and tenancies'!E28</f>
        <v>1.569280343716434</v>
      </c>
      <c r="AB248" s="1061">
        <f>'Sites and tenancies'!F28</f>
        <v>1.5657264502394892</v>
      </c>
      <c r="AC248" s="1061">
        <f>'Sites and tenancies'!G28</f>
        <v>1.7642666666666666</v>
      </c>
      <c r="AD248" s="1061">
        <f>'Sites and tenancies'!H28</f>
        <v>1.88</v>
      </c>
      <c r="AE248" s="1061">
        <f>'Sites and tenancies'!I28</f>
        <v>1.9049999999999998</v>
      </c>
      <c r="AF248" s="1061">
        <f>'Sites and tenancies'!J28</f>
        <v>1.9299999999999997</v>
      </c>
      <c r="AG248" s="1061">
        <f>'Sites and tenancies'!K28</f>
        <v>1.9549999999999996</v>
      </c>
      <c r="AH248" s="1061">
        <f>'Sites and tenancies'!L28</f>
        <v>1.9799999999999995</v>
      </c>
      <c r="AI248" s="1061">
        <f>'Sites and tenancies'!M28</f>
        <v>2.0049999999999994</v>
      </c>
      <c r="AJ248" s="1061">
        <f>'Sites and tenancies'!N28</f>
        <v>2.0299999999999994</v>
      </c>
      <c r="AK248" s="1061">
        <f>'Sites and tenancies'!O28</f>
        <v>2.0549999999999993</v>
      </c>
      <c r="AL248" s="1061">
        <f>'Sites and tenancies'!P28</f>
        <v>2.0799999999999992</v>
      </c>
      <c r="AM248" s="1061">
        <f>'Sites and tenancies'!Q28</f>
        <v>2.1049999999999991</v>
      </c>
      <c r="AN248" s="1061">
        <f>'Sites and tenancies'!R28</f>
        <v>2.129999999999999</v>
      </c>
      <c r="AO248" s="154"/>
      <c r="AP248" s="154"/>
      <c r="AQ248" s="154"/>
      <c r="AR248" s="154"/>
      <c r="AS248" s="154"/>
      <c r="AT248" s="154"/>
      <c r="AU248" s="154"/>
      <c r="AV248" s="154"/>
      <c r="AW248" s="154"/>
      <c r="AX248" s="154"/>
      <c r="AY248" s="154"/>
    </row>
    <row r="249" spans="1:51">
      <c r="A249" s="154"/>
      <c r="B249" s="1056" t="str">
        <f>'Sites and tenancies'!A29</f>
        <v>Rwanda</v>
      </c>
      <c r="C249" s="1059"/>
      <c r="D249" s="1059"/>
      <c r="E249" s="1059"/>
      <c r="F249" s="1059"/>
      <c r="G249" s="1059"/>
      <c r="H249" s="1059"/>
      <c r="I249" s="1059"/>
      <c r="J249" s="1059"/>
      <c r="K249" s="1059"/>
      <c r="L249" s="1059"/>
      <c r="M249" s="1059"/>
      <c r="N249" s="1059"/>
      <c r="O249" s="1059"/>
      <c r="P249" s="1059"/>
      <c r="Q249" s="1059"/>
      <c r="R249" s="1059"/>
      <c r="S249" s="1059"/>
      <c r="T249" s="1059"/>
      <c r="U249" s="1059"/>
      <c r="V249" s="1059"/>
      <c r="W249" s="1060"/>
      <c r="X249" s="1060"/>
      <c r="Y249" s="1061">
        <f>'Sites and tenancies'!C29</f>
        <v>2.4874739039665972</v>
      </c>
      <c r="Z249" s="1061">
        <f>'Sites and tenancies'!D29</f>
        <v>2.0782537067545306</v>
      </c>
      <c r="AA249" s="1061">
        <f>'Sites and tenancies'!E29</f>
        <v>2.0265352539802879</v>
      </c>
      <c r="AB249" s="1061">
        <f>'Sites and tenancies'!F29</f>
        <v>1.9428172942817294</v>
      </c>
      <c r="AC249" s="1061">
        <f>'Sites and tenancies'!G29</f>
        <v>2.0519835841313268</v>
      </c>
      <c r="AD249" s="1061">
        <f>'Sites and tenancies'!H29</f>
        <v>0</v>
      </c>
      <c r="AE249" s="1061">
        <f>'Sites and tenancies'!I29</f>
        <v>0</v>
      </c>
      <c r="AF249" s="1061">
        <f>'Sites and tenancies'!J29</f>
        <v>0</v>
      </c>
      <c r="AG249" s="1061">
        <f>'Sites and tenancies'!K29</f>
        <v>0</v>
      </c>
      <c r="AH249" s="1061">
        <f>'Sites and tenancies'!L29</f>
        <v>0</v>
      </c>
      <c r="AI249" s="1061">
        <f>'Sites and tenancies'!M29</f>
        <v>0</v>
      </c>
      <c r="AJ249" s="1061">
        <f>'Sites and tenancies'!N29</f>
        <v>0</v>
      </c>
      <c r="AK249" s="1061">
        <f>'Sites and tenancies'!O29</f>
        <v>0</v>
      </c>
      <c r="AL249" s="1061">
        <f>'Sites and tenancies'!P29</f>
        <v>0</v>
      </c>
      <c r="AM249" s="1061">
        <f>'Sites and tenancies'!Q29</f>
        <v>0</v>
      </c>
      <c r="AN249" s="1061">
        <f>'Sites and tenancies'!R29</f>
        <v>0</v>
      </c>
      <c r="AO249" s="154"/>
      <c r="AP249" s="154"/>
      <c r="AQ249" s="154"/>
      <c r="AR249" s="154"/>
      <c r="AS249" s="154"/>
      <c r="AT249" s="154"/>
      <c r="AU249" s="154"/>
      <c r="AV249" s="154"/>
      <c r="AW249" s="154"/>
      <c r="AX249" s="154"/>
      <c r="AY249" s="154"/>
    </row>
    <row r="250" spans="1:51">
      <c r="A250" s="154"/>
      <c r="B250" s="1056" t="str">
        <f>'Sites and tenancies'!A30</f>
        <v>Kuwait population</v>
      </c>
      <c r="C250" s="1059"/>
      <c r="D250" s="1062"/>
      <c r="E250" s="1062"/>
      <c r="F250" s="1062"/>
      <c r="G250" s="1062"/>
      <c r="H250" s="1062"/>
      <c r="I250" s="1062"/>
      <c r="J250" s="1063"/>
      <c r="K250" s="1062"/>
      <c r="L250" s="1062"/>
      <c r="M250" s="1062"/>
      <c r="N250" s="1062"/>
      <c r="O250" s="1062"/>
      <c r="P250" s="1062"/>
      <c r="Q250" s="1062"/>
      <c r="R250" s="1062"/>
      <c r="S250" s="1062"/>
      <c r="T250" s="1062"/>
      <c r="U250" s="1062"/>
      <c r="V250" s="1062"/>
      <c r="W250" s="1060"/>
      <c r="X250" s="1060"/>
      <c r="Y250" s="1061">
        <f>'Sites and tenancies'!C30</f>
        <v>1</v>
      </c>
      <c r="Z250" s="1061">
        <f>'Sites and tenancies'!D30</f>
        <v>1.0099857346647647</v>
      </c>
      <c r="AA250" s="1061">
        <f>'Sites and tenancies'!E30</f>
        <v>1.0097975179621164</v>
      </c>
      <c r="AB250" s="1061">
        <f>'Sites and tenancies'!F30</f>
        <v>1.0143540669856459</v>
      </c>
      <c r="AC250" s="1061">
        <f>'Sites and tenancies'!G30</f>
        <v>1.013134328358209</v>
      </c>
      <c r="AD250" s="1061">
        <f>'Sites and tenancies'!H30</f>
        <v>1.0181343283582089</v>
      </c>
      <c r="AE250" s="1061">
        <f>'Sites and tenancies'!I30</f>
        <v>1.0231343283582088</v>
      </c>
      <c r="AF250" s="1061">
        <f>'Sites and tenancies'!J30</f>
        <v>1.0281343283582087</v>
      </c>
      <c r="AG250" s="1061">
        <f>'Sites and tenancies'!K30</f>
        <v>1.0331343283582086</v>
      </c>
      <c r="AH250" s="1061">
        <f>'Sites and tenancies'!L30</f>
        <v>1.0381343283582085</v>
      </c>
      <c r="AI250" s="1061">
        <f>'Sites and tenancies'!M30</f>
        <v>1.0431343283582084</v>
      </c>
      <c r="AJ250" s="1061">
        <f>'Sites and tenancies'!N30</f>
        <v>1.0481343283582083</v>
      </c>
      <c r="AK250" s="1061">
        <f>'Sites and tenancies'!O30</f>
        <v>1.0531343283582082</v>
      </c>
      <c r="AL250" s="1061">
        <f>'Sites and tenancies'!P30</f>
        <v>1.0581343283582081</v>
      </c>
      <c r="AM250" s="1061">
        <f>'Sites and tenancies'!Q30</f>
        <v>1.063134328358208</v>
      </c>
      <c r="AN250" s="1061">
        <f>'Sites and tenancies'!R30</f>
        <v>1.0681343283582079</v>
      </c>
      <c r="AO250" s="154"/>
      <c r="AP250" s="154"/>
      <c r="AQ250" s="154"/>
      <c r="AR250" s="154"/>
      <c r="AS250" s="154"/>
      <c r="AT250" s="154"/>
      <c r="AU250" s="154"/>
      <c r="AV250" s="154"/>
      <c r="AW250" s="154"/>
      <c r="AX250" s="154"/>
      <c r="AY250" s="154"/>
    </row>
    <row r="251" spans="1:51">
      <c r="A251" s="154"/>
      <c r="B251" s="1056" t="str">
        <f>'Sites and tenancies'!A31</f>
        <v>Latam</v>
      </c>
      <c r="C251" s="1059"/>
      <c r="D251" s="1059"/>
      <c r="E251" s="1059"/>
      <c r="F251" s="1059"/>
      <c r="G251" s="1059"/>
      <c r="H251" s="1059"/>
      <c r="I251" s="1059"/>
      <c r="J251" s="1059"/>
      <c r="K251" s="1059"/>
      <c r="L251" s="1059"/>
      <c r="M251" s="1059"/>
      <c r="N251" s="1059"/>
      <c r="O251" s="1059"/>
      <c r="P251" s="1059"/>
      <c r="Q251" s="1059"/>
      <c r="R251" s="1059"/>
      <c r="S251" s="1059"/>
      <c r="T251" s="1059"/>
      <c r="U251" s="1059"/>
      <c r="V251" s="1059"/>
      <c r="W251" s="1060"/>
      <c r="X251" s="1060"/>
      <c r="Y251" s="1061">
        <f>'Sites and tenancies'!C31</f>
        <v>1.3079403466344217</v>
      </c>
      <c r="Z251" s="1061">
        <f>'Sites and tenancies'!D31</f>
        <v>1.214300264819719</v>
      </c>
      <c r="AA251" s="1061">
        <f>'Sites and tenancies'!E31</f>
        <v>1.344282572842221</v>
      </c>
      <c r="AB251" s="1061">
        <f>'Sites and tenancies'!F31</f>
        <v>1.3114939637826961</v>
      </c>
      <c r="AC251" s="1061">
        <f>'Sites and tenancies'!G31</f>
        <v>1.3025993705560088</v>
      </c>
      <c r="AD251" s="1061">
        <f>'Sites and tenancies'!H31</f>
        <v>1.32</v>
      </c>
      <c r="AE251" s="1061">
        <f>'Sites and tenancies'!I31</f>
        <v>1.33</v>
      </c>
      <c r="AF251" s="1061">
        <f>'Sites and tenancies'!J31</f>
        <v>1.34</v>
      </c>
      <c r="AG251" s="1061">
        <f>'Sites and tenancies'!K31</f>
        <v>1.35</v>
      </c>
      <c r="AH251" s="1061">
        <f>'Sites and tenancies'!L31</f>
        <v>1.36</v>
      </c>
      <c r="AI251" s="1061">
        <f>'Sites and tenancies'!M31</f>
        <v>1.37</v>
      </c>
      <c r="AJ251" s="1061">
        <f>'Sites and tenancies'!N31</f>
        <v>1.3800000000000001</v>
      </c>
      <c r="AK251" s="1061">
        <f>'Sites and tenancies'!O31</f>
        <v>1.3900000000000003</v>
      </c>
      <c r="AL251" s="1061">
        <f>'Sites and tenancies'!P31</f>
        <v>1.4000000000000001</v>
      </c>
      <c r="AM251" s="1061">
        <f>'Sites and tenancies'!Q31</f>
        <v>1.4100000000000001</v>
      </c>
      <c r="AN251" s="1061">
        <f>'Sites and tenancies'!R31</f>
        <v>1.4200000000000002</v>
      </c>
      <c r="AO251" s="154"/>
      <c r="AP251" s="154"/>
      <c r="AQ251" s="154"/>
      <c r="AR251" s="154"/>
      <c r="AS251" s="154"/>
      <c r="AT251" s="154"/>
      <c r="AU251" s="154"/>
      <c r="AV251" s="154"/>
      <c r="AW251" s="154"/>
      <c r="AX251" s="154"/>
      <c r="AY251" s="154"/>
    </row>
    <row r="252" spans="1:51">
      <c r="A252" s="154"/>
      <c r="B252" s="1056" t="str">
        <f>'Sites and tenancies'!A32</f>
        <v>Total</v>
      </c>
      <c r="C252" s="1059"/>
      <c r="D252" s="1059"/>
      <c r="E252" s="1059"/>
      <c r="F252" s="1059"/>
      <c r="G252" s="1059"/>
      <c r="H252" s="1059"/>
      <c r="I252" s="1059"/>
      <c r="J252" s="1059"/>
      <c r="K252" s="1059"/>
      <c r="L252" s="1059"/>
      <c r="M252" s="1059"/>
      <c r="N252" s="1059"/>
      <c r="O252" s="1059"/>
      <c r="P252" s="1059"/>
      <c r="Q252" s="1059"/>
      <c r="R252" s="1059"/>
      <c r="S252" s="1059"/>
      <c r="T252" s="1059"/>
      <c r="U252" s="1059"/>
      <c r="V252" s="1059"/>
      <c r="W252" s="1060"/>
      <c r="X252" s="1060"/>
      <c r="Y252" s="1064">
        <f>'Sites and tenancies'!C32</f>
        <v>1.5564785845290754</v>
      </c>
      <c r="Z252" s="1064">
        <f>'Sites and tenancies'!D32</f>
        <v>1.4951518860934832</v>
      </c>
      <c r="AA252" s="1064">
        <f>'Sites and tenancies'!E32</f>
        <v>1.5141485821972263</v>
      </c>
      <c r="AB252" s="1064">
        <f>'Sites and tenancies'!F32</f>
        <v>1.5261749651000465</v>
      </c>
      <c r="AC252" s="1064">
        <f>'Sites and tenancies'!G32</f>
        <v>1.5267388032149045</v>
      </c>
      <c r="AD252" s="1064">
        <f>'Sites and tenancies'!H32</f>
        <v>1.5239569568237972</v>
      </c>
      <c r="AE252" s="1064">
        <f>'Sites and tenancies'!I32</f>
        <v>1.5576490274103707</v>
      </c>
      <c r="AF252" s="1064">
        <f>'Sites and tenancies'!J32</f>
        <v>1.5722765160044039</v>
      </c>
      <c r="AG252" s="1064">
        <f>'Sites and tenancies'!K32</f>
        <v>1.587059548633353</v>
      </c>
      <c r="AH252" s="1064">
        <f>'Sites and tenancies'!L32</f>
        <v>1.6017033972720023</v>
      </c>
      <c r="AI252" s="1064">
        <f>'Sites and tenancies'!M32</f>
        <v>1.6116515203264177</v>
      </c>
      <c r="AJ252" s="1064">
        <f>'Sites and tenancies'!N32</f>
        <v>1.6170380051141142</v>
      </c>
      <c r="AK252" s="1064">
        <f>'Sites and tenancies'!O32</f>
        <v>1.6224651450892931</v>
      </c>
      <c r="AL252" s="1064">
        <f>'Sites and tenancies'!P32</f>
        <v>1.6279333886795657</v>
      </c>
      <c r="AM252" s="1064">
        <f>'Sites and tenancies'!Q32</f>
        <v>1.633443165869352</v>
      </c>
      <c r="AN252" s="1064">
        <f>'Sites and tenancies'!R32</f>
        <v>1.6389948880295289</v>
      </c>
      <c r="AO252" s="154"/>
      <c r="AP252" s="154"/>
      <c r="AQ252" s="154"/>
      <c r="AR252" s="154"/>
      <c r="AS252" s="154"/>
      <c r="AT252" s="154"/>
      <c r="AU252" s="154"/>
      <c r="AV252" s="154"/>
      <c r="AW252" s="154"/>
      <c r="AX252" s="154"/>
      <c r="AY252" s="154"/>
    </row>
    <row r="253" spans="1:51">
      <c r="A253" s="154"/>
      <c r="B253" s="1056"/>
      <c r="C253" s="1059"/>
      <c r="D253" s="1059"/>
      <c r="E253" s="1059"/>
      <c r="F253" s="1059"/>
      <c r="G253" s="1059"/>
      <c r="H253" s="1059"/>
      <c r="I253" s="1059"/>
      <c r="J253" s="1059"/>
      <c r="K253" s="1059"/>
      <c r="L253" s="1059"/>
      <c r="M253" s="1059"/>
      <c r="N253" s="1059"/>
      <c r="O253" s="1059"/>
      <c r="P253" s="1059"/>
      <c r="Q253" s="1059"/>
      <c r="R253" s="1059"/>
      <c r="S253" s="1059"/>
      <c r="T253" s="1059"/>
      <c r="U253" s="1059"/>
      <c r="V253" s="1059"/>
      <c r="W253" s="1060"/>
      <c r="X253" s="1060"/>
      <c r="Y253" s="1060"/>
      <c r="Z253" s="1060"/>
      <c r="AA253" s="1060"/>
      <c r="AB253" s="1060"/>
      <c r="AC253" s="1060"/>
      <c r="AD253" s="1060"/>
      <c r="AE253" s="1060"/>
      <c r="AF253" s="1060"/>
      <c r="AG253" s="1060"/>
      <c r="AH253" s="1060"/>
      <c r="AI253" s="1060"/>
      <c r="AJ253" s="1060"/>
      <c r="AK253" s="1060"/>
      <c r="AL253" s="1060"/>
      <c r="AM253" s="1060"/>
      <c r="AN253" s="1060"/>
      <c r="AO253" s="154"/>
      <c r="AP253" s="154"/>
      <c r="AQ253" s="154"/>
      <c r="AR253" s="154"/>
      <c r="AS253" s="154"/>
      <c r="AT253" s="154"/>
      <c r="AU253" s="154"/>
      <c r="AV253" s="154"/>
      <c r="AW253" s="154"/>
      <c r="AX253" s="154"/>
      <c r="AY253" s="154"/>
    </row>
    <row r="254" spans="1:51">
      <c r="A254" s="154"/>
      <c r="B254" s="1056"/>
      <c r="C254" s="1059"/>
      <c r="D254" s="1059"/>
      <c r="E254" s="1059"/>
      <c r="F254" s="1059"/>
      <c r="G254" s="1059"/>
      <c r="H254" s="1059"/>
      <c r="I254" s="1059"/>
      <c r="J254" s="1059"/>
      <c r="K254" s="1059"/>
      <c r="L254" s="1059"/>
      <c r="M254" s="1059"/>
      <c r="N254" s="1059"/>
      <c r="O254" s="1059"/>
      <c r="P254" s="1059"/>
      <c r="Q254" s="1059"/>
      <c r="R254" s="1059"/>
      <c r="S254" s="1059"/>
      <c r="T254" s="1059"/>
      <c r="U254" s="1059"/>
      <c r="V254" s="1059"/>
      <c r="W254" s="1060"/>
      <c r="X254" s="1060"/>
      <c r="Y254" s="1060"/>
      <c r="Z254" s="1060"/>
      <c r="AA254" s="1060"/>
      <c r="AB254" s="1060"/>
      <c r="AC254" s="1060"/>
      <c r="AD254" s="1060"/>
      <c r="AE254" s="1060"/>
      <c r="AF254" s="1060"/>
      <c r="AG254" s="1060"/>
      <c r="AH254" s="1060"/>
      <c r="AI254" s="1060"/>
      <c r="AJ254" s="1060"/>
      <c r="AK254" s="1060"/>
      <c r="AL254" s="1060"/>
      <c r="AM254" s="1060"/>
      <c r="AN254" s="1060"/>
      <c r="AO254" s="154"/>
      <c r="AP254" s="154"/>
      <c r="AQ254" s="154"/>
      <c r="AR254" s="154"/>
      <c r="AS254" s="154"/>
      <c r="AT254" s="154"/>
      <c r="AU254" s="154"/>
      <c r="AV254" s="154"/>
      <c r="AW254" s="154"/>
      <c r="AX254" s="154"/>
      <c r="AY254" s="154"/>
    </row>
    <row r="255" spans="1:51">
      <c r="A255" s="154"/>
      <c r="B255" s="1056"/>
      <c r="C255" s="1059"/>
      <c r="D255" s="1059"/>
      <c r="E255" s="1059"/>
      <c r="F255" s="1059"/>
      <c r="G255" s="1059"/>
      <c r="H255" s="1059"/>
      <c r="I255" s="1059"/>
      <c r="J255" s="1059"/>
      <c r="K255" s="1059"/>
      <c r="L255" s="1059"/>
      <c r="M255" s="1059"/>
      <c r="N255" s="1059"/>
      <c r="O255" s="1059"/>
      <c r="P255" s="1059"/>
      <c r="Q255" s="1059"/>
      <c r="R255" s="1059"/>
      <c r="S255" s="1059"/>
      <c r="T255" s="1059"/>
      <c r="U255" s="1059"/>
      <c r="V255" s="1059"/>
      <c r="W255" s="1060"/>
      <c r="X255" s="1060"/>
      <c r="Y255" s="1060"/>
      <c r="Z255" s="1060"/>
      <c r="AA255" s="1060"/>
      <c r="AB255" s="1060"/>
      <c r="AC255" s="1060"/>
      <c r="AD255" s="1060"/>
      <c r="AE255" s="1060"/>
      <c r="AF255" s="1060"/>
      <c r="AG255" s="1060"/>
      <c r="AH255" s="1060"/>
      <c r="AI255" s="1060"/>
      <c r="AJ255" s="1060"/>
      <c r="AK255" s="1060"/>
      <c r="AL255" s="1060"/>
      <c r="AM255" s="1060"/>
      <c r="AN255" s="1060"/>
      <c r="AO255" s="154"/>
      <c r="AP255" s="154"/>
      <c r="AQ255" s="154"/>
      <c r="AR255" s="154"/>
      <c r="AS255" s="154"/>
      <c r="AT255" s="154"/>
      <c r="AU255" s="154"/>
      <c r="AV255" s="154"/>
      <c r="AW255" s="154"/>
      <c r="AX255" s="154"/>
      <c r="AY255" s="154"/>
    </row>
    <row r="256" spans="1:51">
      <c r="A256" s="154"/>
      <c r="B256" s="1056"/>
      <c r="C256" s="1059"/>
      <c r="D256" s="1059"/>
      <c r="E256" s="1059"/>
      <c r="F256" s="1059"/>
      <c r="G256" s="1059"/>
      <c r="H256" s="1059"/>
      <c r="I256" s="1059"/>
      <c r="J256" s="1059"/>
      <c r="K256" s="1059"/>
      <c r="L256" s="1059"/>
      <c r="M256" s="1059"/>
      <c r="N256" s="1059"/>
      <c r="O256" s="1059"/>
      <c r="P256" s="1059"/>
      <c r="Q256" s="1059"/>
      <c r="R256" s="1059"/>
      <c r="S256" s="1059"/>
      <c r="T256" s="1059"/>
      <c r="U256" s="1059"/>
      <c r="V256" s="1059"/>
      <c r="W256" s="1060"/>
      <c r="X256" s="1060"/>
      <c r="Y256" s="1060"/>
      <c r="Z256" s="1060"/>
      <c r="AA256" s="1060"/>
      <c r="AB256" s="1060"/>
      <c r="AC256" s="1060"/>
      <c r="AD256" s="1060"/>
      <c r="AE256" s="1060"/>
      <c r="AF256" s="1060"/>
      <c r="AG256" s="1060"/>
      <c r="AH256" s="1060"/>
      <c r="AI256" s="1060"/>
      <c r="AJ256" s="1060"/>
      <c r="AK256" s="1060"/>
      <c r="AL256" s="1060"/>
      <c r="AM256" s="1060"/>
      <c r="AN256" s="1060"/>
      <c r="AO256" s="154"/>
      <c r="AP256" s="154"/>
      <c r="AQ256" s="154"/>
      <c r="AR256" s="154"/>
      <c r="AS256" s="154"/>
      <c r="AT256" s="154"/>
      <c r="AU256" s="154"/>
      <c r="AV256" s="154"/>
      <c r="AW256" s="154"/>
      <c r="AX256" s="154"/>
      <c r="AY256" s="154"/>
    </row>
    <row r="257" spans="1:51">
      <c r="A257" s="154"/>
      <c r="B257" s="1056"/>
      <c r="C257" s="1059"/>
      <c r="D257" s="1059"/>
      <c r="E257" s="1059"/>
      <c r="F257" s="1059"/>
      <c r="G257" s="1059"/>
      <c r="H257" s="1059"/>
      <c r="I257" s="1059"/>
      <c r="J257" s="1059"/>
      <c r="K257" s="1059"/>
      <c r="L257" s="1059"/>
      <c r="M257" s="1059"/>
      <c r="N257" s="1059"/>
      <c r="O257" s="1059"/>
      <c r="P257" s="1059"/>
      <c r="Q257" s="1059"/>
      <c r="R257" s="1059"/>
      <c r="S257" s="1059"/>
      <c r="T257" s="1059"/>
      <c r="U257" s="1059"/>
      <c r="V257" s="1059"/>
      <c r="W257" s="1060"/>
      <c r="X257" s="1060"/>
      <c r="Y257" s="1060"/>
      <c r="Z257" s="1060"/>
      <c r="AA257" s="1060"/>
      <c r="AB257" s="1060"/>
      <c r="AC257" s="1060"/>
      <c r="AD257" s="1060"/>
      <c r="AE257" s="1060"/>
      <c r="AF257" s="1060"/>
      <c r="AG257" s="1060"/>
      <c r="AH257" s="1060"/>
      <c r="AI257" s="1060"/>
      <c r="AJ257" s="1060"/>
      <c r="AK257" s="1060"/>
      <c r="AL257" s="1060"/>
      <c r="AM257" s="1060"/>
      <c r="AN257" s="1060"/>
      <c r="AO257" s="154"/>
      <c r="AP257" s="154"/>
      <c r="AQ257" s="154"/>
      <c r="AR257" s="154"/>
      <c r="AS257" s="154"/>
      <c r="AT257" s="154"/>
      <c r="AU257" s="154"/>
      <c r="AV257" s="154"/>
      <c r="AW257" s="154"/>
      <c r="AX257" s="154"/>
      <c r="AY257" s="154"/>
    </row>
    <row r="258" spans="1:51">
      <c r="A258" s="154"/>
      <c r="B258" s="1056"/>
      <c r="C258" s="1059"/>
      <c r="D258" s="1059"/>
      <c r="E258" s="1059"/>
      <c r="F258" s="1059"/>
      <c r="G258" s="1059"/>
      <c r="H258" s="1059"/>
      <c r="I258" s="1059"/>
      <c r="J258" s="1059"/>
      <c r="K258" s="1059"/>
      <c r="L258" s="1059"/>
      <c r="M258" s="1059"/>
      <c r="N258" s="1059"/>
      <c r="O258" s="1059"/>
      <c r="P258" s="1059"/>
      <c r="Q258" s="1059"/>
      <c r="R258" s="1059"/>
      <c r="S258" s="1059"/>
      <c r="T258" s="1059"/>
      <c r="U258" s="1059"/>
      <c r="V258" s="1059"/>
      <c r="W258" s="1060"/>
      <c r="X258" s="1060"/>
      <c r="Y258" s="1060"/>
      <c r="Z258" s="1060"/>
      <c r="AA258" s="1060"/>
      <c r="AB258" s="1060"/>
      <c r="AC258" s="1060"/>
      <c r="AD258" s="1060"/>
      <c r="AE258" s="1060"/>
      <c r="AF258" s="1060"/>
      <c r="AG258" s="1060"/>
      <c r="AH258" s="1060"/>
      <c r="AI258" s="1060"/>
      <c r="AJ258" s="1060"/>
      <c r="AK258" s="1060"/>
      <c r="AL258" s="1060"/>
      <c r="AM258" s="1060"/>
      <c r="AN258" s="1060"/>
      <c r="AO258" s="154"/>
      <c r="AP258" s="154"/>
      <c r="AQ258" s="154"/>
      <c r="AR258" s="154"/>
      <c r="AS258" s="154"/>
      <c r="AT258" s="154"/>
      <c r="AU258" s="154"/>
      <c r="AV258" s="154"/>
      <c r="AW258" s="154"/>
      <c r="AX258" s="154"/>
      <c r="AY258" s="154"/>
    </row>
    <row r="259" spans="1:51">
      <c r="A259" s="154"/>
      <c r="B259" s="1056"/>
      <c r="C259" s="1059"/>
      <c r="D259" s="1059"/>
      <c r="E259" s="1059"/>
      <c r="F259" s="1059"/>
      <c r="G259" s="1059"/>
      <c r="H259" s="1059"/>
      <c r="I259" s="1059"/>
      <c r="J259" s="1059"/>
      <c r="K259" s="1059"/>
      <c r="L259" s="1059"/>
      <c r="M259" s="1059"/>
      <c r="N259" s="1059"/>
      <c r="O259" s="1059"/>
      <c r="P259" s="1059"/>
      <c r="Q259" s="1059"/>
      <c r="R259" s="1059"/>
      <c r="S259" s="1059"/>
      <c r="T259" s="1059"/>
      <c r="U259" s="1059"/>
      <c r="V259" s="1059"/>
      <c r="W259" s="1060"/>
      <c r="X259" s="1060"/>
      <c r="Y259" s="1060"/>
      <c r="Z259" s="1060"/>
      <c r="AA259" s="1060"/>
      <c r="AB259" s="1060"/>
      <c r="AC259" s="1060"/>
      <c r="AD259" s="1060"/>
      <c r="AE259" s="1060"/>
      <c r="AF259" s="1060"/>
      <c r="AG259" s="1060"/>
      <c r="AH259" s="1060"/>
      <c r="AI259" s="1060"/>
      <c r="AJ259" s="1060"/>
      <c r="AK259" s="1060"/>
      <c r="AL259" s="1060"/>
      <c r="AM259" s="1060"/>
      <c r="AN259" s="1060"/>
      <c r="AO259" s="154"/>
      <c r="AP259" s="154"/>
      <c r="AQ259" s="154"/>
      <c r="AR259" s="154"/>
      <c r="AS259" s="154"/>
      <c r="AT259" s="154"/>
      <c r="AU259" s="154"/>
      <c r="AV259" s="154"/>
      <c r="AW259" s="154"/>
      <c r="AX259" s="154"/>
      <c r="AY259" s="154"/>
    </row>
    <row r="260" spans="1:51">
      <c r="A260" s="154"/>
      <c r="B260" s="1056"/>
      <c r="C260" s="1059"/>
      <c r="D260" s="1059"/>
      <c r="E260" s="1059"/>
      <c r="F260" s="1059"/>
      <c r="G260" s="1059"/>
      <c r="H260" s="1059"/>
      <c r="I260" s="1059"/>
      <c r="J260" s="1059"/>
      <c r="K260" s="1059"/>
      <c r="L260" s="1059"/>
      <c r="M260" s="1059"/>
      <c r="N260" s="1059"/>
      <c r="O260" s="1059"/>
      <c r="P260" s="1059"/>
      <c r="Q260" s="1059"/>
      <c r="R260" s="1059"/>
      <c r="S260" s="1059"/>
      <c r="T260" s="1059"/>
      <c r="U260" s="1059"/>
      <c r="V260" s="1059"/>
      <c r="W260" s="1060"/>
      <c r="X260" s="1060"/>
      <c r="Y260" s="1060"/>
      <c r="Z260" s="1060"/>
      <c r="AA260" s="1060"/>
      <c r="AB260" s="1060"/>
      <c r="AC260" s="1060"/>
      <c r="AD260" s="1060"/>
      <c r="AE260" s="1060"/>
      <c r="AF260" s="1060"/>
      <c r="AG260" s="1060"/>
      <c r="AH260" s="1060"/>
      <c r="AI260" s="1060"/>
      <c r="AJ260" s="1060"/>
      <c r="AK260" s="1060"/>
      <c r="AL260" s="1060"/>
      <c r="AM260" s="1060"/>
      <c r="AN260" s="1060"/>
      <c r="AO260" s="154"/>
      <c r="AP260" s="154"/>
      <c r="AQ260" s="154"/>
      <c r="AR260" s="154"/>
      <c r="AS260" s="154"/>
      <c r="AT260" s="154"/>
      <c r="AU260" s="154"/>
      <c r="AV260" s="154"/>
      <c r="AW260" s="154"/>
      <c r="AX260" s="154"/>
      <c r="AY260" s="154"/>
    </row>
    <row r="261" spans="1:51">
      <c r="A261" s="154"/>
      <c r="B261" s="1056"/>
      <c r="C261" s="1059"/>
      <c r="D261" s="1059"/>
      <c r="E261" s="1059"/>
      <c r="F261" s="1059"/>
      <c r="G261" s="1059"/>
      <c r="H261" s="1059"/>
      <c r="I261" s="1059"/>
      <c r="J261" s="1059"/>
      <c r="K261" s="1059"/>
      <c r="L261" s="1059"/>
      <c r="M261" s="1059"/>
      <c r="N261" s="1059"/>
      <c r="O261" s="1059"/>
      <c r="P261" s="1059"/>
      <c r="Q261" s="1059"/>
      <c r="R261" s="1059"/>
      <c r="S261" s="1059"/>
      <c r="T261" s="1059"/>
      <c r="U261" s="1059"/>
      <c r="V261" s="1059"/>
      <c r="W261" s="1060"/>
      <c r="X261" s="1060"/>
      <c r="Y261" s="1060"/>
      <c r="Z261" s="1060"/>
      <c r="AA261" s="1060"/>
      <c r="AB261" s="1060"/>
      <c r="AC261" s="1060"/>
      <c r="AD261" s="1060"/>
      <c r="AE261" s="1060"/>
      <c r="AF261" s="1060"/>
      <c r="AG261" s="1060"/>
      <c r="AH261" s="1060"/>
      <c r="AI261" s="1060"/>
      <c r="AJ261" s="1060"/>
      <c r="AK261" s="1060"/>
      <c r="AL261" s="1060"/>
      <c r="AM261" s="1060"/>
      <c r="AN261" s="1060"/>
      <c r="AO261" s="154"/>
      <c r="AP261" s="154"/>
      <c r="AQ261" s="154"/>
      <c r="AR261" s="154"/>
      <c r="AS261" s="154"/>
      <c r="AT261" s="154"/>
      <c r="AU261" s="154"/>
      <c r="AV261" s="154"/>
      <c r="AW261" s="154"/>
      <c r="AX261" s="154"/>
      <c r="AY261" s="154"/>
    </row>
    <row r="262" spans="1:51">
      <c r="A262" s="154"/>
      <c r="B262" s="1056"/>
      <c r="C262" s="1059"/>
      <c r="D262" s="1059"/>
      <c r="E262" s="1059"/>
      <c r="F262" s="1059"/>
      <c r="G262" s="1059"/>
      <c r="H262" s="1059"/>
      <c r="I262" s="1059"/>
      <c r="J262" s="1059"/>
      <c r="K262" s="1059"/>
      <c r="L262" s="1059"/>
      <c r="M262" s="1059"/>
      <c r="N262" s="1059"/>
      <c r="O262" s="1059"/>
      <c r="P262" s="1059"/>
      <c r="Q262" s="1059"/>
      <c r="R262" s="1059"/>
      <c r="S262" s="1059"/>
      <c r="T262" s="1059"/>
      <c r="U262" s="1059"/>
      <c r="V262" s="1059"/>
      <c r="W262" s="1060"/>
      <c r="X262" s="1060"/>
      <c r="Y262" s="1060"/>
      <c r="Z262" s="1060"/>
      <c r="AA262" s="1060"/>
      <c r="AB262" s="1060"/>
      <c r="AC262" s="1060"/>
      <c r="AD262" s="1060"/>
      <c r="AE262" s="1060"/>
      <c r="AF262" s="1060"/>
      <c r="AG262" s="1060"/>
      <c r="AH262" s="1060"/>
      <c r="AI262" s="1060"/>
      <c r="AJ262" s="1060"/>
      <c r="AK262" s="1060"/>
      <c r="AL262" s="1060"/>
      <c r="AM262" s="1060"/>
      <c r="AN262" s="1060"/>
      <c r="AO262" s="154"/>
      <c r="AP262" s="154"/>
      <c r="AQ262" s="154"/>
      <c r="AR262" s="154"/>
      <c r="AS262" s="154"/>
      <c r="AT262" s="154"/>
      <c r="AU262" s="154"/>
      <c r="AV262" s="154"/>
      <c r="AW262" s="154"/>
      <c r="AX262" s="154"/>
      <c r="AY262" s="154"/>
    </row>
    <row r="263" spans="1:51">
      <c r="A263" s="154"/>
      <c r="B263" s="1056"/>
      <c r="C263" s="1059"/>
      <c r="D263" s="1059"/>
      <c r="E263" s="1059"/>
      <c r="F263" s="1059"/>
      <c r="G263" s="1059"/>
      <c r="H263" s="1059"/>
      <c r="I263" s="1059"/>
      <c r="J263" s="1059"/>
      <c r="K263" s="1059"/>
      <c r="L263" s="1059"/>
      <c r="M263" s="1059"/>
      <c r="N263" s="1059"/>
      <c r="O263" s="1059"/>
      <c r="P263" s="1059"/>
      <c r="Q263" s="1059"/>
      <c r="R263" s="1059"/>
      <c r="S263" s="1059"/>
      <c r="T263" s="1059"/>
      <c r="U263" s="1059"/>
      <c r="V263" s="1059"/>
      <c r="W263" s="1060"/>
      <c r="X263" s="1060"/>
      <c r="Y263" s="1060"/>
      <c r="Z263" s="1060"/>
      <c r="AA263" s="1060"/>
      <c r="AB263" s="1060"/>
      <c r="AC263" s="1060"/>
      <c r="AD263" s="1060"/>
      <c r="AE263" s="1060"/>
      <c r="AF263" s="1060"/>
      <c r="AG263" s="1060"/>
      <c r="AH263" s="1060"/>
      <c r="AI263" s="1060"/>
      <c r="AJ263" s="1060"/>
      <c r="AK263" s="1060"/>
      <c r="AL263" s="1060"/>
      <c r="AM263" s="1060"/>
      <c r="AN263" s="1060"/>
      <c r="AO263" s="154"/>
      <c r="AP263" s="154"/>
      <c r="AQ263" s="154"/>
      <c r="AR263" s="154"/>
      <c r="AS263" s="154"/>
      <c r="AT263" s="154"/>
      <c r="AU263" s="154"/>
      <c r="AV263" s="154"/>
      <c r="AW263" s="154"/>
      <c r="AX263" s="154"/>
      <c r="AY263" s="154"/>
    </row>
    <row r="264" spans="1:51">
      <c r="A264" s="154"/>
      <c r="B264" s="1056"/>
      <c r="C264" s="1059"/>
      <c r="D264" s="1059"/>
      <c r="E264" s="1059"/>
      <c r="F264" s="1059"/>
      <c r="G264" s="1059"/>
      <c r="H264" s="1059"/>
      <c r="I264" s="1059"/>
      <c r="J264" s="1059"/>
      <c r="K264" s="1059"/>
      <c r="L264" s="1059"/>
      <c r="M264" s="1059"/>
      <c r="N264" s="1059"/>
      <c r="O264" s="1059"/>
      <c r="P264" s="1059"/>
      <c r="Q264" s="1059"/>
      <c r="R264" s="1059"/>
      <c r="S264" s="1059"/>
      <c r="T264" s="1059"/>
      <c r="U264" s="1059"/>
      <c r="V264" s="1059"/>
      <c r="W264" s="1060"/>
      <c r="X264" s="1060"/>
      <c r="Y264" s="1060"/>
      <c r="Z264" s="1060"/>
      <c r="AA264" s="1060"/>
      <c r="AB264" s="1060"/>
      <c r="AC264" s="1060"/>
      <c r="AD264" s="1060"/>
      <c r="AE264" s="1060"/>
      <c r="AF264" s="1060"/>
      <c r="AG264" s="1060"/>
      <c r="AH264" s="1060"/>
      <c r="AI264" s="1060"/>
      <c r="AJ264" s="1060"/>
      <c r="AK264" s="1060"/>
      <c r="AL264" s="1060"/>
      <c r="AM264" s="1060"/>
      <c r="AN264" s="1060"/>
      <c r="AO264" s="154"/>
      <c r="AP264" s="154"/>
      <c r="AQ264" s="154"/>
      <c r="AR264" s="154"/>
      <c r="AS264" s="154"/>
      <c r="AT264" s="154"/>
      <c r="AU264" s="154"/>
      <c r="AV264" s="154"/>
      <c r="AW264" s="154"/>
      <c r="AX264" s="154"/>
      <c r="AY264" s="154"/>
    </row>
    <row r="265" spans="1:51">
      <c r="A265" s="154"/>
      <c r="B265" s="1056"/>
      <c r="C265" s="1059"/>
      <c r="D265" s="1059"/>
      <c r="E265" s="1059"/>
      <c r="F265" s="1059"/>
      <c r="G265" s="1059"/>
      <c r="H265" s="1059"/>
      <c r="I265" s="1059"/>
      <c r="J265" s="1059"/>
      <c r="K265" s="1059"/>
      <c r="L265" s="1059"/>
      <c r="M265" s="1059"/>
      <c r="N265" s="1059"/>
      <c r="O265" s="1059"/>
      <c r="P265" s="1059"/>
      <c r="Q265" s="1059"/>
      <c r="R265" s="1059"/>
      <c r="S265" s="1059"/>
      <c r="T265" s="1059"/>
      <c r="U265" s="1059"/>
      <c r="V265" s="1059"/>
      <c r="W265" s="1060"/>
      <c r="X265" s="1060"/>
      <c r="Y265" s="1060"/>
      <c r="Z265" s="1060"/>
      <c r="AA265" s="1060"/>
      <c r="AB265" s="1060"/>
      <c r="AC265" s="1060"/>
      <c r="AD265" s="1060"/>
      <c r="AE265" s="1060"/>
      <c r="AF265" s="1060"/>
      <c r="AG265" s="1060"/>
      <c r="AH265" s="1060"/>
      <c r="AI265" s="1060"/>
      <c r="AJ265" s="1060"/>
      <c r="AK265" s="1060"/>
      <c r="AL265" s="1060"/>
      <c r="AM265" s="1060"/>
      <c r="AN265" s="1060"/>
      <c r="AO265" s="154"/>
      <c r="AP265" s="154"/>
      <c r="AQ265" s="154"/>
      <c r="AR265" s="154"/>
      <c r="AS265" s="154"/>
      <c r="AT265" s="154"/>
      <c r="AU265" s="154"/>
      <c r="AV265" s="154"/>
      <c r="AW265" s="154"/>
      <c r="AX265" s="154"/>
      <c r="AY265" s="154"/>
    </row>
    <row r="266" spans="1:51">
      <c r="A266" s="154"/>
      <c r="B266" s="1056"/>
      <c r="C266" s="1059"/>
      <c r="D266" s="1059"/>
      <c r="E266" s="1059"/>
      <c r="F266" s="1059"/>
      <c r="G266" s="1059"/>
      <c r="H266" s="1059"/>
      <c r="I266" s="1059"/>
      <c r="J266" s="1059"/>
      <c r="K266" s="1059"/>
      <c r="L266" s="1059"/>
      <c r="M266" s="1059"/>
      <c r="N266" s="1059"/>
      <c r="O266" s="1059"/>
      <c r="P266" s="1059"/>
      <c r="Q266" s="1059"/>
      <c r="R266" s="1059"/>
      <c r="S266" s="1059"/>
      <c r="T266" s="1059"/>
      <c r="U266" s="1059"/>
      <c r="V266" s="1059"/>
      <c r="W266" s="1060"/>
      <c r="X266" s="1060"/>
      <c r="Y266" s="1060"/>
      <c r="Z266" s="1060"/>
      <c r="AA266" s="1060"/>
      <c r="AB266" s="1060"/>
      <c r="AC266" s="1060"/>
      <c r="AD266" s="1060"/>
      <c r="AE266" s="1060"/>
      <c r="AF266" s="1060"/>
      <c r="AG266" s="1060"/>
      <c r="AH266" s="1060"/>
      <c r="AI266" s="1060"/>
      <c r="AJ266" s="1060"/>
      <c r="AK266" s="1060"/>
      <c r="AL266" s="1060"/>
      <c r="AM266" s="1060"/>
      <c r="AN266" s="1060"/>
      <c r="AO266" s="154"/>
      <c r="AP266" s="154"/>
      <c r="AQ266" s="154"/>
      <c r="AR266" s="154"/>
      <c r="AS266" s="154"/>
      <c r="AT266" s="154"/>
      <c r="AU266" s="154"/>
      <c r="AV266" s="154"/>
      <c r="AW266" s="154"/>
      <c r="AX266" s="154"/>
      <c r="AY266" s="154"/>
    </row>
    <row r="267" spans="1:51">
      <c r="A267" s="154"/>
      <c r="B267" s="1056"/>
      <c r="C267" s="1059"/>
      <c r="D267" s="1059"/>
      <c r="E267" s="1059"/>
      <c r="F267" s="1059"/>
      <c r="G267" s="1059"/>
      <c r="H267" s="1059"/>
      <c r="I267" s="1059"/>
      <c r="J267" s="1059"/>
      <c r="K267" s="1059"/>
      <c r="L267" s="1059"/>
      <c r="M267" s="1059"/>
      <c r="N267" s="1059"/>
      <c r="O267" s="1059"/>
      <c r="P267" s="1059"/>
      <c r="Q267" s="1059"/>
      <c r="R267" s="1059"/>
      <c r="S267" s="1051"/>
      <c r="T267" s="1059"/>
      <c r="U267" s="1051"/>
      <c r="V267" s="1051"/>
      <c r="W267" s="1060"/>
      <c r="X267" s="1060"/>
      <c r="Y267" s="1060"/>
      <c r="Z267" s="1060"/>
      <c r="AA267" s="1060"/>
      <c r="AB267" s="1060"/>
      <c r="AC267" s="1060"/>
      <c r="AD267" s="1060"/>
      <c r="AE267" s="1060"/>
      <c r="AF267" s="1060"/>
      <c r="AG267" s="1060"/>
      <c r="AH267" s="1060"/>
      <c r="AI267" s="1060"/>
      <c r="AJ267" s="1060"/>
      <c r="AK267" s="1060"/>
      <c r="AL267" s="1060"/>
      <c r="AM267" s="1060"/>
      <c r="AN267" s="1060"/>
      <c r="AO267" s="154"/>
      <c r="AP267" s="154"/>
      <c r="AQ267" s="154"/>
      <c r="AR267" s="154"/>
      <c r="AS267" s="154"/>
      <c r="AT267" s="154"/>
      <c r="AU267" s="154"/>
      <c r="AV267" s="154"/>
      <c r="AW267" s="154"/>
      <c r="AX267" s="154"/>
      <c r="AY267" s="154"/>
    </row>
    <row r="268" spans="1:51">
      <c r="A268" s="154"/>
      <c r="B268" s="1025"/>
      <c r="C268" s="1059"/>
      <c r="D268" s="1059"/>
      <c r="E268" s="1059"/>
      <c r="F268" s="1059"/>
      <c r="G268" s="1059"/>
      <c r="H268" s="1059"/>
      <c r="I268" s="1059"/>
      <c r="J268" s="1059"/>
      <c r="K268" s="1059"/>
      <c r="L268" s="1059"/>
      <c r="M268" s="1059"/>
      <c r="N268" s="1059"/>
      <c r="O268" s="1059"/>
      <c r="P268" s="1059"/>
      <c r="Q268" s="1059"/>
      <c r="R268" s="1059"/>
      <c r="S268" s="1051"/>
      <c r="T268" s="1059"/>
      <c r="U268" s="1051"/>
      <c r="V268" s="1051"/>
      <c r="W268" s="1060"/>
      <c r="X268" s="1060"/>
      <c r="Y268" s="1060"/>
      <c r="Z268" s="1060"/>
      <c r="AA268" s="1060"/>
      <c r="AB268" s="1060"/>
      <c r="AC268" s="1060"/>
      <c r="AD268" s="1060"/>
      <c r="AE268" s="1060"/>
      <c r="AF268" s="1060"/>
      <c r="AG268" s="1060"/>
      <c r="AH268" s="1060"/>
      <c r="AI268" s="1060"/>
      <c r="AJ268" s="1060"/>
      <c r="AK268" s="1060"/>
      <c r="AL268" s="1060"/>
      <c r="AM268" s="1060"/>
      <c r="AN268" s="1060"/>
      <c r="AO268" s="154"/>
      <c r="AP268" s="154"/>
      <c r="AQ268" s="154"/>
      <c r="AR268" s="154"/>
      <c r="AS268" s="154"/>
      <c r="AT268" s="154"/>
      <c r="AU268" s="154"/>
      <c r="AV268" s="154"/>
      <c r="AW268" s="154"/>
      <c r="AX268" s="154"/>
      <c r="AY268" s="154"/>
    </row>
    <row r="269" spans="1:51">
      <c r="A269" s="154"/>
      <c r="B269" s="1025"/>
      <c r="C269" s="1059"/>
      <c r="D269" s="1059"/>
      <c r="E269" s="1059"/>
      <c r="F269" s="1059"/>
      <c r="G269" s="1059"/>
      <c r="H269" s="1059"/>
      <c r="I269" s="1059"/>
      <c r="J269" s="1059"/>
      <c r="K269" s="1059"/>
      <c r="L269" s="1059"/>
      <c r="M269" s="1059"/>
      <c r="N269" s="1059"/>
      <c r="O269" s="1059"/>
      <c r="P269" s="1059"/>
      <c r="Q269" s="1059"/>
      <c r="R269" s="1059"/>
      <c r="S269" s="1051"/>
      <c r="T269" s="1051"/>
      <c r="U269" s="1051"/>
      <c r="V269" s="1051"/>
      <c r="W269" s="1060"/>
      <c r="X269" s="1060"/>
      <c r="Y269" s="1060"/>
      <c r="Z269" s="1060"/>
      <c r="AA269" s="1060"/>
      <c r="AB269" s="1060"/>
      <c r="AC269" s="1060"/>
      <c r="AD269" s="1060"/>
      <c r="AE269" s="1060"/>
      <c r="AF269" s="1060"/>
      <c r="AG269" s="1060"/>
      <c r="AH269" s="1060"/>
      <c r="AI269" s="1060"/>
      <c r="AJ269" s="1060"/>
      <c r="AK269" s="1060"/>
      <c r="AL269" s="1060"/>
      <c r="AM269" s="1060"/>
      <c r="AN269" s="1060"/>
      <c r="AO269" s="154"/>
      <c r="AP269" s="154"/>
      <c r="AQ269" s="154"/>
      <c r="AR269" s="154"/>
      <c r="AS269" s="154"/>
      <c r="AT269" s="154"/>
      <c r="AU269" s="154"/>
      <c r="AV269" s="154"/>
      <c r="AW269" s="154"/>
      <c r="AX269" s="154"/>
      <c r="AY269" s="154"/>
    </row>
    <row r="270" spans="1:51">
      <c r="A270" s="154"/>
      <c r="B270" s="1025"/>
      <c r="C270" s="1059"/>
      <c r="D270" s="1059"/>
      <c r="E270" s="1059"/>
      <c r="F270" s="1059"/>
      <c r="G270" s="1059"/>
      <c r="H270" s="1059"/>
      <c r="I270" s="1059"/>
      <c r="J270" s="1059"/>
      <c r="K270" s="1059"/>
      <c r="L270" s="1059"/>
      <c r="M270" s="1059"/>
      <c r="N270" s="1059"/>
      <c r="O270" s="1059"/>
      <c r="P270" s="1059"/>
      <c r="Q270" s="1059"/>
      <c r="R270" s="1059"/>
      <c r="S270" s="1051"/>
      <c r="T270" s="1051"/>
      <c r="U270" s="1051"/>
      <c r="V270" s="1051"/>
      <c r="W270" s="1060"/>
      <c r="X270" s="1060"/>
      <c r="Y270" s="1060"/>
      <c r="Z270" s="1060"/>
      <c r="AA270" s="1060"/>
      <c r="AB270" s="1060"/>
      <c r="AC270" s="1060"/>
      <c r="AD270" s="1060"/>
      <c r="AE270" s="1060"/>
      <c r="AF270" s="1060"/>
      <c r="AG270" s="1060"/>
      <c r="AH270" s="1060"/>
      <c r="AI270" s="1060"/>
      <c r="AJ270" s="1060"/>
      <c r="AK270" s="1060"/>
      <c r="AL270" s="1060"/>
      <c r="AM270" s="1060"/>
      <c r="AN270" s="1060"/>
      <c r="AO270" s="154"/>
      <c r="AP270" s="154"/>
      <c r="AQ270" s="154"/>
      <c r="AR270" s="154"/>
      <c r="AS270" s="154"/>
      <c r="AT270" s="154"/>
      <c r="AU270" s="154"/>
      <c r="AV270" s="154"/>
      <c r="AW270" s="154"/>
      <c r="AX270" s="154"/>
      <c r="AY270" s="154"/>
    </row>
    <row r="271" spans="1:51">
      <c r="A271" s="154"/>
      <c r="B271" s="1025"/>
      <c r="C271" s="1059"/>
      <c r="D271" s="1059"/>
      <c r="E271" s="1059"/>
      <c r="F271" s="1059"/>
      <c r="G271" s="1059"/>
      <c r="H271" s="1059"/>
      <c r="I271" s="1059"/>
      <c r="J271" s="1059"/>
      <c r="K271" s="1059"/>
      <c r="L271" s="1059"/>
      <c r="M271" s="1059"/>
      <c r="N271" s="1059"/>
      <c r="O271" s="1059"/>
      <c r="P271" s="1059"/>
      <c r="Q271" s="1059"/>
      <c r="R271" s="1059"/>
      <c r="S271" s="1051"/>
      <c r="T271" s="1051"/>
      <c r="U271" s="1051"/>
      <c r="V271" s="1051"/>
      <c r="W271" s="1060"/>
      <c r="X271" s="1060"/>
      <c r="Y271" s="1060"/>
      <c r="Z271" s="1060"/>
      <c r="AA271" s="1060"/>
      <c r="AB271" s="1060"/>
      <c r="AC271" s="1060"/>
      <c r="AD271" s="1060"/>
      <c r="AE271" s="1060"/>
      <c r="AF271" s="1060"/>
      <c r="AG271" s="1060"/>
      <c r="AH271" s="1060"/>
      <c r="AI271" s="1060"/>
      <c r="AJ271" s="1060"/>
      <c r="AK271" s="1060"/>
      <c r="AL271" s="1060"/>
      <c r="AM271" s="1060"/>
      <c r="AN271" s="1060"/>
      <c r="AO271" s="154"/>
      <c r="AP271" s="154"/>
      <c r="AQ271" s="154"/>
      <c r="AR271" s="154"/>
      <c r="AS271" s="154"/>
      <c r="AT271" s="154"/>
      <c r="AU271" s="154"/>
      <c r="AV271" s="154"/>
      <c r="AW271" s="154"/>
      <c r="AX271" s="154"/>
      <c r="AY271" s="154"/>
    </row>
    <row r="272" spans="1:51">
      <c r="A272" s="154"/>
      <c r="B272" s="1025"/>
      <c r="C272" s="1059"/>
      <c r="D272" s="1059"/>
      <c r="E272" s="1059"/>
      <c r="F272" s="1059"/>
      <c r="G272" s="1059"/>
      <c r="H272" s="1059"/>
      <c r="I272" s="1059"/>
      <c r="J272" s="1059"/>
      <c r="K272" s="1059"/>
      <c r="L272" s="1059"/>
      <c r="M272" s="1059"/>
      <c r="N272" s="1059"/>
      <c r="O272" s="1059"/>
      <c r="P272" s="1059"/>
      <c r="Q272" s="1059"/>
      <c r="R272" s="1059"/>
      <c r="S272" s="1051"/>
      <c r="T272" s="1051"/>
      <c r="U272" s="1051"/>
      <c r="V272" s="1051"/>
      <c r="W272" s="1060"/>
      <c r="X272" s="1060"/>
      <c r="Y272" s="1060"/>
      <c r="Z272" s="1060"/>
      <c r="AA272" s="1060"/>
      <c r="AB272" s="1060"/>
      <c r="AC272" s="1060"/>
      <c r="AD272" s="1060"/>
      <c r="AE272" s="1060"/>
      <c r="AF272" s="1060"/>
      <c r="AG272" s="1060"/>
      <c r="AH272" s="1060"/>
      <c r="AI272" s="1060"/>
      <c r="AJ272" s="1060"/>
      <c r="AK272" s="1060"/>
      <c r="AL272" s="1060"/>
      <c r="AM272" s="1060"/>
      <c r="AN272" s="1060"/>
      <c r="AO272" s="154"/>
      <c r="AP272" s="154"/>
      <c r="AQ272" s="154"/>
      <c r="AR272" s="154"/>
      <c r="AS272" s="154"/>
      <c r="AT272" s="154"/>
      <c r="AU272" s="154"/>
      <c r="AV272" s="154"/>
      <c r="AW272" s="154"/>
      <c r="AX272" s="154"/>
      <c r="AY272" s="154"/>
    </row>
    <row r="273" spans="1:51">
      <c r="A273" s="154"/>
      <c r="B273" s="1025"/>
      <c r="C273" s="1059"/>
      <c r="D273" s="1059"/>
      <c r="E273" s="1059"/>
      <c r="F273" s="1059"/>
      <c r="G273" s="1059"/>
      <c r="H273" s="1059"/>
      <c r="I273" s="1059"/>
      <c r="J273" s="1059"/>
      <c r="K273" s="1059"/>
      <c r="L273" s="1059"/>
      <c r="M273" s="1059"/>
      <c r="N273" s="1059"/>
      <c r="O273" s="1059"/>
      <c r="P273" s="1059"/>
      <c r="Q273" s="1059"/>
      <c r="R273" s="1059"/>
      <c r="S273" s="1051"/>
      <c r="T273" s="1051"/>
      <c r="U273" s="1051"/>
      <c r="V273" s="1051"/>
      <c r="W273" s="1060"/>
      <c r="X273" s="1060"/>
      <c r="Y273" s="1060"/>
      <c r="Z273" s="1060"/>
      <c r="AA273" s="1060"/>
      <c r="AB273" s="1060"/>
      <c r="AC273" s="1060"/>
      <c r="AD273" s="1060"/>
      <c r="AE273" s="1060"/>
      <c r="AF273" s="1060"/>
      <c r="AG273" s="1060"/>
      <c r="AH273" s="1060"/>
      <c r="AI273" s="1060"/>
      <c r="AJ273" s="1060"/>
      <c r="AK273" s="1060"/>
      <c r="AL273" s="1060"/>
      <c r="AM273" s="1060"/>
      <c r="AN273" s="1060"/>
      <c r="AO273" s="154"/>
      <c r="AP273" s="154"/>
      <c r="AQ273" s="154"/>
      <c r="AR273" s="154"/>
      <c r="AS273" s="154"/>
      <c r="AT273" s="154"/>
      <c r="AU273" s="154"/>
      <c r="AV273" s="154"/>
      <c r="AW273" s="154"/>
      <c r="AX273" s="154"/>
      <c r="AY273" s="154"/>
    </row>
    <row r="274" spans="1:51">
      <c r="A274" s="154"/>
      <c r="B274" s="1025"/>
      <c r="C274" s="1059"/>
      <c r="D274" s="1059"/>
      <c r="E274" s="1059"/>
      <c r="F274" s="1059"/>
      <c r="G274" s="1059"/>
      <c r="H274" s="1059"/>
      <c r="I274" s="1059"/>
      <c r="J274" s="1059"/>
      <c r="K274" s="1059"/>
      <c r="L274" s="1059"/>
      <c r="M274" s="1059"/>
      <c r="N274" s="1059"/>
      <c r="O274" s="1059"/>
      <c r="P274" s="1059"/>
      <c r="Q274" s="1059"/>
      <c r="R274" s="1059"/>
      <c r="S274" s="1051"/>
      <c r="T274" s="1051"/>
      <c r="U274" s="1051"/>
      <c r="V274" s="1051"/>
      <c r="W274" s="1060"/>
      <c r="X274" s="1060"/>
      <c r="Y274" s="1060"/>
      <c r="Z274" s="1060"/>
      <c r="AA274" s="1060"/>
      <c r="AB274" s="1060"/>
      <c r="AC274" s="1060"/>
      <c r="AD274" s="1060"/>
      <c r="AE274" s="1060"/>
      <c r="AF274" s="1060"/>
      <c r="AG274" s="1060"/>
      <c r="AH274" s="1060"/>
      <c r="AI274" s="1060"/>
      <c r="AJ274" s="1060"/>
      <c r="AK274" s="1060"/>
      <c r="AL274" s="1060"/>
      <c r="AM274" s="1060"/>
      <c r="AN274" s="1060"/>
      <c r="AO274" s="154"/>
      <c r="AP274" s="154"/>
      <c r="AQ274" s="154"/>
      <c r="AR274" s="154"/>
      <c r="AS274" s="154"/>
      <c r="AT274" s="154"/>
      <c r="AU274" s="154"/>
      <c r="AV274" s="154"/>
      <c r="AW274" s="154"/>
      <c r="AX274" s="154"/>
      <c r="AY274" s="154"/>
    </row>
    <row r="275" spans="1:51">
      <c r="A275" s="154"/>
      <c r="B275" s="1025"/>
      <c r="C275" s="1059"/>
      <c r="D275" s="1059"/>
      <c r="E275" s="1059"/>
      <c r="F275" s="1059"/>
      <c r="G275" s="1059"/>
      <c r="H275" s="1059"/>
      <c r="I275" s="1059"/>
      <c r="J275" s="1059"/>
      <c r="K275" s="1059"/>
      <c r="L275" s="1059"/>
      <c r="M275" s="1059"/>
      <c r="N275" s="1059"/>
      <c r="O275" s="1059"/>
      <c r="P275" s="1059"/>
      <c r="Q275" s="1059"/>
      <c r="R275" s="1059"/>
      <c r="S275" s="1051"/>
      <c r="T275" s="1051"/>
      <c r="U275" s="1051"/>
      <c r="V275" s="1051"/>
      <c r="W275" s="1060"/>
      <c r="X275" s="1060"/>
      <c r="Y275" s="1060"/>
      <c r="Z275" s="1060"/>
      <c r="AA275" s="1060"/>
      <c r="AB275" s="1060"/>
      <c r="AC275" s="1060"/>
      <c r="AD275" s="1060"/>
      <c r="AE275" s="1060"/>
      <c r="AF275" s="1060"/>
      <c r="AG275" s="1060"/>
      <c r="AH275" s="1060"/>
      <c r="AI275" s="1060"/>
      <c r="AJ275" s="1060"/>
      <c r="AK275" s="1060"/>
      <c r="AL275" s="1060"/>
      <c r="AM275" s="1060"/>
      <c r="AN275" s="1060"/>
      <c r="AO275" s="154"/>
      <c r="AP275" s="154"/>
      <c r="AQ275" s="154"/>
      <c r="AR275" s="154"/>
      <c r="AS275" s="154"/>
      <c r="AT275" s="154"/>
      <c r="AU275" s="154"/>
      <c r="AV275" s="154"/>
      <c r="AW275" s="154"/>
      <c r="AX275" s="154"/>
      <c r="AY275" s="154"/>
    </row>
    <row r="276" spans="1:51">
      <c r="A276" s="154"/>
      <c r="B276" s="154"/>
      <c r="C276" s="154"/>
      <c r="D276" s="154"/>
      <c r="E276" s="154"/>
      <c r="F276" s="154"/>
      <c r="G276" s="154"/>
      <c r="H276" s="154"/>
      <c r="I276" s="154"/>
      <c r="J276" s="154"/>
      <c r="K276" s="154"/>
      <c r="L276" s="154"/>
      <c r="M276" s="154"/>
      <c r="N276" s="154"/>
      <c r="O276" s="154"/>
      <c r="P276" s="154"/>
      <c r="Q276" s="154"/>
      <c r="R276" s="154"/>
      <c r="S276" s="154"/>
      <c r="T276" s="154"/>
      <c r="U276" s="154"/>
      <c r="V276" s="154"/>
      <c r="W276" s="154"/>
      <c r="X276" s="154"/>
      <c r="Y276" s="154"/>
      <c r="Z276" s="154"/>
      <c r="AA276" s="154"/>
      <c r="AB276" s="154"/>
      <c r="AC276" s="154"/>
      <c r="AD276" s="154"/>
      <c r="AE276" s="154"/>
      <c r="AF276" s="154"/>
      <c r="AG276" s="154"/>
      <c r="AH276" s="154"/>
      <c r="AI276" s="154"/>
      <c r="AJ276" s="154"/>
      <c r="AK276" s="154"/>
      <c r="AL276" s="154"/>
      <c r="AM276" s="154"/>
      <c r="AN276" s="154"/>
      <c r="AO276" s="154"/>
      <c r="AP276" s="154"/>
      <c r="AQ276" s="154"/>
      <c r="AR276" s="154"/>
      <c r="AS276" s="154"/>
      <c r="AT276" s="154"/>
      <c r="AU276" s="154"/>
      <c r="AV276" s="154"/>
      <c r="AW276" s="154"/>
      <c r="AX276" s="154"/>
      <c r="AY276" s="154"/>
    </row>
    <row r="277" spans="1:51">
      <c r="A277" s="154"/>
      <c r="B277" s="154"/>
      <c r="C277" s="154"/>
      <c r="D277" s="154"/>
      <c r="E277" s="154"/>
      <c r="F277" s="154"/>
      <c r="G277" s="154"/>
      <c r="H277" s="154"/>
      <c r="I277" s="154"/>
      <c r="J277" s="154"/>
      <c r="K277" s="154"/>
      <c r="L277" s="154"/>
      <c r="M277" s="154"/>
      <c r="N277" s="154"/>
      <c r="O277" s="154"/>
      <c r="P277" s="154"/>
      <c r="Q277" s="154"/>
      <c r="R277" s="154"/>
      <c r="S277" s="154"/>
      <c r="T277" s="154"/>
      <c r="U277" s="154"/>
      <c r="V277" s="154"/>
      <c r="W277" s="154"/>
      <c r="X277" s="154"/>
      <c r="Y277" s="154"/>
      <c r="Z277" s="154"/>
      <c r="AA277" s="154"/>
      <c r="AB277" s="154"/>
      <c r="AC277" s="154"/>
      <c r="AD277" s="154"/>
      <c r="AE277" s="154"/>
      <c r="AF277" s="154"/>
      <c r="AG277" s="154"/>
      <c r="AH277" s="154"/>
      <c r="AI277" s="154"/>
      <c r="AJ277" s="154"/>
      <c r="AK277" s="154"/>
      <c r="AL277" s="154"/>
      <c r="AM277" s="154"/>
      <c r="AN277" s="154"/>
      <c r="AO277" s="154"/>
      <c r="AP277" s="154"/>
      <c r="AQ277" s="154"/>
      <c r="AR277" s="154"/>
      <c r="AS277" s="154"/>
      <c r="AT277" s="154"/>
      <c r="AU277" s="154"/>
      <c r="AV277" s="154"/>
      <c r="AW277" s="154"/>
      <c r="AX277" s="154"/>
      <c r="AY277" s="154"/>
    </row>
    <row r="278" spans="1:51">
      <c r="A278" s="154"/>
      <c r="B278" s="154"/>
      <c r="C278" s="154"/>
      <c r="D278" s="154"/>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c r="AA278" s="154"/>
      <c r="AB278" s="154"/>
      <c r="AC278" s="154"/>
      <c r="AD278" s="154"/>
      <c r="AE278" s="154"/>
      <c r="AF278" s="154"/>
      <c r="AG278" s="154"/>
      <c r="AH278" s="154"/>
      <c r="AI278" s="154"/>
      <c r="AJ278" s="154"/>
      <c r="AK278" s="154"/>
      <c r="AL278" s="154"/>
      <c r="AM278" s="154"/>
      <c r="AN278" s="154"/>
      <c r="AO278" s="154"/>
      <c r="AP278" s="154"/>
      <c r="AQ278" s="154"/>
      <c r="AR278" s="154"/>
      <c r="AS278" s="154"/>
      <c r="AT278" s="154"/>
      <c r="AU278" s="154"/>
      <c r="AV278" s="154"/>
      <c r="AW278" s="154"/>
      <c r="AX278" s="154"/>
      <c r="AY278" s="154"/>
    </row>
    <row r="279" spans="1:51">
      <c r="A279" s="154"/>
      <c r="B279" s="154"/>
      <c r="C279" s="154"/>
      <c r="D279" s="154"/>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c r="AA279" s="154"/>
      <c r="AB279" s="154"/>
      <c r="AC279" s="154"/>
      <c r="AD279" s="154"/>
      <c r="AE279" s="154"/>
      <c r="AF279" s="154"/>
      <c r="AG279" s="154"/>
      <c r="AH279" s="154"/>
      <c r="AI279" s="154"/>
      <c r="AJ279" s="154"/>
      <c r="AK279" s="154"/>
      <c r="AL279" s="154"/>
      <c r="AM279" s="154"/>
      <c r="AN279" s="154"/>
      <c r="AO279" s="154"/>
      <c r="AP279" s="154"/>
      <c r="AQ279" s="154"/>
      <c r="AR279" s="154"/>
      <c r="AS279" s="154"/>
      <c r="AT279" s="154"/>
      <c r="AU279" s="154"/>
      <c r="AV279" s="154"/>
      <c r="AW279" s="154"/>
      <c r="AX279" s="154"/>
      <c r="AY279" s="154"/>
    </row>
    <row r="280" spans="1:51">
      <c r="A280" s="154"/>
      <c r="B280" s="154"/>
      <c r="C280" s="154"/>
      <c r="D280" s="154"/>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c r="AA280" s="154"/>
      <c r="AB280" s="154"/>
      <c r="AC280" s="154"/>
      <c r="AD280" s="154"/>
      <c r="AE280" s="154"/>
      <c r="AF280" s="154"/>
      <c r="AG280" s="154"/>
      <c r="AH280" s="154"/>
      <c r="AI280" s="154"/>
      <c r="AJ280" s="154"/>
      <c r="AK280" s="154"/>
      <c r="AL280" s="154"/>
      <c r="AM280" s="154"/>
      <c r="AN280" s="154"/>
      <c r="AO280" s="154"/>
      <c r="AP280" s="154"/>
      <c r="AQ280" s="154"/>
      <c r="AR280" s="154"/>
      <c r="AS280" s="154"/>
      <c r="AT280" s="154"/>
      <c r="AU280" s="154"/>
      <c r="AV280" s="154"/>
      <c r="AW280" s="154"/>
      <c r="AX280" s="154"/>
      <c r="AY280" s="154"/>
    </row>
    <row r="281" spans="1:51">
      <c r="A281" s="154"/>
      <c r="B281" s="154"/>
      <c r="C281" s="154"/>
      <c r="D281" s="154"/>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c r="AA281" s="154"/>
      <c r="AB281" s="154"/>
      <c r="AC281" s="154"/>
      <c r="AD281" s="154"/>
      <c r="AE281" s="154"/>
      <c r="AF281" s="154"/>
      <c r="AG281" s="154"/>
      <c r="AH281" s="154"/>
      <c r="AI281" s="154"/>
      <c r="AJ281" s="154"/>
      <c r="AK281" s="154"/>
      <c r="AL281" s="154"/>
      <c r="AM281" s="154"/>
      <c r="AN281" s="154"/>
      <c r="AO281" s="154"/>
      <c r="AP281" s="154"/>
      <c r="AQ281" s="154"/>
      <c r="AR281" s="154"/>
      <c r="AS281" s="154"/>
      <c r="AT281" s="154"/>
      <c r="AU281" s="154"/>
      <c r="AV281" s="154"/>
      <c r="AW281" s="154"/>
      <c r="AX281" s="154"/>
      <c r="AY281" s="154"/>
    </row>
    <row r="282" spans="1:51">
      <c r="A282" s="154"/>
      <c r="B282" s="154"/>
      <c r="C282" s="154"/>
      <c r="D282" s="154"/>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c r="AA282" s="154"/>
      <c r="AB282" s="154"/>
      <c r="AC282" s="154"/>
      <c r="AD282" s="154"/>
      <c r="AE282" s="154"/>
      <c r="AF282" s="154"/>
      <c r="AG282" s="154"/>
      <c r="AH282" s="154"/>
      <c r="AI282" s="154"/>
      <c r="AJ282" s="154"/>
      <c r="AK282" s="154"/>
      <c r="AL282" s="154"/>
      <c r="AM282" s="154"/>
      <c r="AN282" s="154"/>
      <c r="AO282" s="154"/>
      <c r="AP282" s="154"/>
      <c r="AQ282" s="154"/>
      <c r="AR282" s="154"/>
      <c r="AS282" s="154"/>
      <c r="AT282" s="154"/>
      <c r="AU282" s="154"/>
      <c r="AV282" s="154"/>
      <c r="AW282" s="154"/>
      <c r="AX282" s="154"/>
      <c r="AY282" s="154"/>
    </row>
    <row r="283" spans="1:51">
      <c r="A283" s="154"/>
      <c r="B283" s="154"/>
      <c r="C283" s="154"/>
      <c r="D283" s="154"/>
      <c r="E283" s="154"/>
      <c r="F283" s="154"/>
      <c r="G283" s="154"/>
      <c r="H283" s="154"/>
      <c r="I283" s="154"/>
      <c r="J283" s="154"/>
      <c r="K283" s="154"/>
      <c r="L283" s="154"/>
      <c r="M283" s="154"/>
      <c r="N283" s="154"/>
      <c r="O283" s="154"/>
      <c r="P283" s="154"/>
      <c r="Q283" s="154"/>
      <c r="R283" s="154"/>
      <c r="S283" s="154"/>
      <c r="T283" s="154"/>
      <c r="U283" s="154"/>
      <c r="V283" s="154"/>
      <c r="W283" s="154"/>
      <c r="X283" s="154"/>
      <c r="Y283" s="154"/>
      <c r="Z283" s="154"/>
      <c r="AA283" s="154"/>
      <c r="AB283" s="154"/>
      <c r="AC283" s="154"/>
      <c r="AD283" s="154"/>
      <c r="AE283" s="154"/>
      <c r="AF283" s="154"/>
      <c r="AG283" s="154"/>
      <c r="AH283" s="154"/>
      <c r="AI283" s="154"/>
      <c r="AJ283" s="154"/>
      <c r="AK283" s="154"/>
      <c r="AL283" s="154"/>
      <c r="AM283" s="154"/>
      <c r="AN283" s="154"/>
      <c r="AO283" s="154"/>
      <c r="AP283" s="154"/>
      <c r="AQ283" s="154"/>
      <c r="AR283" s="154"/>
      <c r="AS283" s="154"/>
      <c r="AT283" s="154"/>
      <c r="AU283" s="154"/>
      <c r="AV283" s="154"/>
      <c r="AW283" s="154"/>
      <c r="AX283" s="154"/>
      <c r="AY283" s="154"/>
    </row>
    <row r="284" spans="1:51">
      <c r="A284" s="154"/>
      <c r="B284" s="154"/>
      <c r="C284" s="154"/>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c r="AA284" s="154"/>
      <c r="AB284" s="154"/>
      <c r="AC284" s="154"/>
      <c r="AD284" s="154"/>
      <c r="AE284" s="154"/>
      <c r="AF284" s="154"/>
      <c r="AG284" s="154"/>
      <c r="AH284" s="154"/>
      <c r="AI284" s="154"/>
      <c r="AJ284" s="154"/>
      <c r="AK284" s="154"/>
      <c r="AL284" s="154"/>
      <c r="AM284" s="154"/>
      <c r="AN284" s="154"/>
      <c r="AO284" s="154"/>
      <c r="AP284" s="154"/>
      <c r="AQ284" s="154"/>
      <c r="AR284" s="154"/>
      <c r="AS284" s="154"/>
      <c r="AT284" s="154"/>
      <c r="AU284" s="154"/>
      <c r="AV284" s="154"/>
      <c r="AW284" s="154"/>
      <c r="AX284" s="154"/>
      <c r="AY284" s="154"/>
    </row>
    <row r="285" spans="1:51">
      <c r="A285" s="154"/>
      <c r="B285" s="154"/>
      <c r="C285" s="154"/>
      <c r="D285" s="154"/>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c r="AA285" s="154"/>
      <c r="AB285" s="154"/>
      <c r="AC285" s="154"/>
      <c r="AD285" s="154"/>
      <c r="AE285" s="154"/>
      <c r="AF285" s="154"/>
      <c r="AG285" s="154"/>
      <c r="AH285" s="154"/>
      <c r="AI285" s="154"/>
      <c r="AJ285" s="154"/>
      <c r="AK285" s="154"/>
      <c r="AL285" s="154"/>
      <c r="AM285" s="154"/>
      <c r="AN285" s="154"/>
      <c r="AO285" s="154"/>
      <c r="AP285" s="154"/>
      <c r="AQ285" s="154"/>
      <c r="AR285" s="154"/>
      <c r="AS285" s="154"/>
      <c r="AT285" s="154"/>
      <c r="AU285" s="154"/>
      <c r="AV285" s="154"/>
      <c r="AW285" s="154"/>
      <c r="AX285" s="154"/>
      <c r="AY285" s="154"/>
    </row>
    <row r="286" spans="1:51">
      <c r="A286" s="154"/>
      <c r="B286" s="154"/>
      <c r="C286" s="154"/>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c r="AA286" s="154"/>
      <c r="AB286" s="154"/>
      <c r="AC286" s="154"/>
      <c r="AD286" s="154"/>
      <c r="AE286" s="154"/>
      <c r="AF286" s="154"/>
      <c r="AG286" s="154"/>
      <c r="AH286" s="154"/>
      <c r="AI286" s="154"/>
      <c r="AJ286" s="154"/>
      <c r="AK286" s="154"/>
      <c r="AL286" s="154"/>
      <c r="AM286" s="154"/>
      <c r="AN286" s="154"/>
      <c r="AO286" s="154"/>
      <c r="AP286" s="154"/>
      <c r="AQ286" s="154"/>
      <c r="AR286" s="154"/>
      <c r="AS286" s="154"/>
      <c r="AT286" s="154"/>
      <c r="AU286" s="154"/>
      <c r="AV286" s="154"/>
      <c r="AW286" s="154"/>
      <c r="AX286" s="154"/>
      <c r="AY286" s="154"/>
    </row>
    <row r="287" spans="1:51">
      <c r="A287" s="154"/>
      <c r="B287" s="154"/>
      <c r="C287" s="154"/>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c r="AA287" s="154"/>
      <c r="AB287" s="154"/>
      <c r="AC287" s="154"/>
      <c r="AD287" s="154"/>
      <c r="AE287" s="154"/>
      <c r="AF287" s="154"/>
      <c r="AG287" s="154"/>
      <c r="AH287" s="154"/>
      <c r="AI287" s="154"/>
      <c r="AJ287" s="154"/>
      <c r="AK287" s="154"/>
      <c r="AL287" s="154"/>
      <c r="AM287" s="154"/>
      <c r="AN287" s="154"/>
      <c r="AO287" s="154"/>
      <c r="AP287" s="154"/>
      <c r="AQ287" s="154"/>
      <c r="AR287" s="154"/>
      <c r="AS287" s="154"/>
      <c r="AT287" s="154"/>
      <c r="AU287" s="154"/>
      <c r="AV287" s="154"/>
      <c r="AW287" s="154"/>
      <c r="AX287" s="154"/>
      <c r="AY287" s="154"/>
    </row>
    <row r="288" spans="1:51">
      <c r="A288" s="154"/>
      <c r="B288" s="154"/>
      <c r="C288" s="154"/>
      <c r="D288" s="154"/>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c r="AA288" s="154"/>
      <c r="AB288" s="154"/>
      <c r="AC288" s="154"/>
      <c r="AD288" s="154"/>
      <c r="AE288" s="154"/>
      <c r="AF288" s="154"/>
      <c r="AG288" s="154"/>
      <c r="AH288" s="154"/>
      <c r="AI288" s="154"/>
      <c r="AJ288" s="154"/>
      <c r="AK288" s="154"/>
      <c r="AL288" s="154"/>
      <c r="AM288" s="154"/>
      <c r="AN288" s="154"/>
      <c r="AO288" s="154"/>
      <c r="AP288" s="154"/>
      <c r="AQ288" s="154"/>
      <c r="AR288" s="154"/>
      <c r="AS288" s="154"/>
      <c r="AT288" s="154"/>
      <c r="AU288" s="154"/>
      <c r="AV288" s="154"/>
      <c r="AW288" s="154"/>
      <c r="AX288" s="154"/>
      <c r="AY288" s="154"/>
    </row>
    <row r="289" spans="1:51">
      <c r="A289" s="154"/>
      <c r="B289" s="154"/>
      <c r="C289" s="154"/>
      <c r="D289" s="154"/>
      <c r="E289" s="154"/>
      <c r="F289" s="154"/>
      <c r="G289" s="154"/>
      <c r="H289" s="154"/>
      <c r="I289" s="154"/>
      <c r="J289" s="154"/>
      <c r="K289" s="154"/>
      <c r="L289" s="154"/>
      <c r="M289" s="154"/>
      <c r="N289" s="154"/>
      <c r="O289" s="154"/>
      <c r="P289" s="154"/>
      <c r="Q289" s="154"/>
      <c r="R289" s="154"/>
      <c r="S289" s="154"/>
      <c r="T289" s="154"/>
      <c r="U289" s="154"/>
      <c r="V289" s="154"/>
      <c r="W289" s="154"/>
      <c r="X289" s="154"/>
      <c r="Y289" s="154"/>
      <c r="Z289" s="154"/>
      <c r="AA289" s="154"/>
      <c r="AB289" s="154"/>
      <c r="AC289" s="154"/>
      <c r="AD289" s="154"/>
      <c r="AE289" s="154"/>
      <c r="AF289" s="154"/>
      <c r="AG289" s="154"/>
      <c r="AH289" s="154"/>
      <c r="AI289" s="154"/>
      <c r="AJ289" s="154"/>
      <c r="AK289" s="154"/>
      <c r="AL289" s="154"/>
      <c r="AM289" s="154"/>
      <c r="AN289" s="154"/>
      <c r="AO289" s="154"/>
      <c r="AP289" s="154"/>
      <c r="AQ289" s="154"/>
      <c r="AR289" s="154"/>
      <c r="AS289" s="154"/>
      <c r="AT289" s="154"/>
      <c r="AU289" s="154"/>
      <c r="AV289" s="154"/>
      <c r="AW289" s="154"/>
      <c r="AX289" s="154"/>
      <c r="AY289" s="154"/>
    </row>
    <row r="290" spans="1:51">
      <c r="A290" s="154"/>
      <c r="B290" s="154"/>
      <c r="C290" s="154"/>
      <c r="D290" s="154"/>
      <c r="E290" s="154"/>
      <c r="F290" s="154"/>
      <c r="G290" s="154"/>
      <c r="H290" s="154"/>
      <c r="I290" s="154"/>
      <c r="J290" s="154"/>
      <c r="K290" s="154"/>
      <c r="L290" s="154"/>
      <c r="M290" s="154"/>
      <c r="N290" s="154"/>
      <c r="O290" s="154"/>
      <c r="P290" s="154"/>
      <c r="Q290" s="154"/>
      <c r="R290" s="154"/>
      <c r="S290" s="154"/>
      <c r="T290" s="154"/>
      <c r="U290" s="154"/>
      <c r="V290" s="154"/>
      <c r="W290" s="154"/>
      <c r="X290" s="154"/>
      <c r="Y290" s="154"/>
      <c r="Z290" s="154"/>
      <c r="AA290" s="154"/>
      <c r="AB290" s="154"/>
      <c r="AC290" s="154"/>
      <c r="AD290" s="154"/>
      <c r="AE290" s="154"/>
      <c r="AF290" s="154"/>
      <c r="AG290" s="154"/>
      <c r="AH290" s="154"/>
      <c r="AI290" s="154"/>
      <c r="AJ290" s="154"/>
      <c r="AK290" s="154"/>
      <c r="AL290" s="154"/>
      <c r="AM290" s="154"/>
      <c r="AN290" s="154"/>
      <c r="AO290" s="154"/>
      <c r="AP290" s="154"/>
      <c r="AQ290" s="154"/>
      <c r="AR290" s="154"/>
      <c r="AS290" s="154"/>
      <c r="AT290" s="154"/>
      <c r="AU290" s="154"/>
      <c r="AV290" s="154"/>
      <c r="AW290" s="154"/>
      <c r="AX290" s="154"/>
      <c r="AY290" s="154"/>
    </row>
    <row r="291" spans="1:51">
      <c r="A291" s="154"/>
      <c r="B291" s="154"/>
      <c r="C291" s="154"/>
      <c r="D291" s="154"/>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c r="AA291" s="154"/>
      <c r="AB291" s="154"/>
      <c r="AC291" s="154"/>
      <c r="AD291" s="154"/>
      <c r="AE291" s="154"/>
      <c r="AF291" s="154"/>
      <c r="AG291" s="154"/>
      <c r="AH291" s="154"/>
      <c r="AI291" s="154"/>
      <c r="AJ291" s="154"/>
      <c r="AK291" s="154"/>
      <c r="AL291" s="154"/>
      <c r="AM291" s="154"/>
      <c r="AN291" s="154"/>
      <c r="AO291" s="154"/>
      <c r="AP291" s="154"/>
      <c r="AQ291" s="154"/>
      <c r="AR291" s="154"/>
      <c r="AS291" s="154"/>
      <c r="AT291" s="154"/>
      <c r="AU291" s="154"/>
      <c r="AV291" s="154"/>
      <c r="AW291" s="154"/>
      <c r="AX291" s="154"/>
      <c r="AY291" s="154"/>
    </row>
    <row r="292" spans="1:51">
      <c r="A292" s="154"/>
      <c r="B292" s="154"/>
      <c r="C292" s="154"/>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c r="AA292" s="154"/>
      <c r="AB292" s="154"/>
      <c r="AC292" s="154"/>
      <c r="AD292" s="154"/>
      <c r="AE292" s="154"/>
      <c r="AF292" s="154"/>
      <c r="AG292" s="154"/>
      <c r="AH292" s="154"/>
      <c r="AI292" s="154"/>
      <c r="AJ292" s="154"/>
      <c r="AK292" s="154"/>
      <c r="AL292" s="154"/>
      <c r="AM292" s="154"/>
      <c r="AN292" s="154"/>
      <c r="AO292" s="154"/>
      <c r="AP292" s="154"/>
      <c r="AQ292" s="154"/>
      <c r="AR292" s="154"/>
      <c r="AS292" s="154"/>
      <c r="AT292" s="154"/>
      <c r="AU292" s="154"/>
      <c r="AV292" s="154"/>
      <c r="AW292" s="154"/>
      <c r="AX292" s="154"/>
      <c r="AY292" s="154"/>
    </row>
    <row r="293" spans="1:51">
      <c r="A293" s="154"/>
      <c r="B293" s="154"/>
      <c r="C293" s="154"/>
      <c r="D293" s="154"/>
      <c r="E293" s="154"/>
      <c r="F293" s="154"/>
      <c r="G293" s="154"/>
      <c r="H293" s="154"/>
      <c r="I293" s="154"/>
      <c r="J293" s="154"/>
      <c r="K293" s="154"/>
      <c r="L293" s="154"/>
      <c r="M293" s="154"/>
      <c r="N293" s="154"/>
      <c r="O293" s="154"/>
      <c r="P293" s="154"/>
      <c r="Q293" s="154"/>
      <c r="R293" s="154"/>
      <c r="S293" s="154"/>
      <c r="T293" s="154"/>
      <c r="U293" s="154"/>
      <c r="V293" s="154"/>
      <c r="W293" s="154"/>
      <c r="X293" s="154"/>
      <c r="Y293" s="154"/>
      <c r="Z293" s="154"/>
      <c r="AA293" s="154"/>
      <c r="AB293" s="154"/>
      <c r="AC293" s="154"/>
      <c r="AD293" s="154"/>
      <c r="AE293" s="154"/>
      <c r="AF293" s="154"/>
      <c r="AG293" s="154"/>
      <c r="AH293" s="154"/>
      <c r="AI293" s="154"/>
      <c r="AJ293" s="154"/>
      <c r="AK293" s="154"/>
      <c r="AL293" s="154"/>
      <c r="AM293" s="154"/>
      <c r="AN293" s="154"/>
      <c r="AO293" s="154"/>
      <c r="AP293" s="154"/>
      <c r="AQ293" s="154"/>
      <c r="AR293" s="154"/>
      <c r="AS293" s="154"/>
      <c r="AT293" s="154"/>
      <c r="AU293" s="154"/>
      <c r="AV293" s="154"/>
      <c r="AW293" s="154"/>
      <c r="AX293" s="154"/>
      <c r="AY293" s="154"/>
    </row>
    <row r="294" spans="1:51">
      <c r="A294" s="154"/>
      <c r="B294" s="154"/>
      <c r="C294" s="154"/>
      <c r="D294" s="154"/>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c r="AA294" s="154"/>
      <c r="AB294" s="154"/>
      <c r="AC294" s="154"/>
      <c r="AD294" s="154"/>
      <c r="AE294" s="154"/>
      <c r="AF294" s="154"/>
      <c r="AG294" s="154"/>
      <c r="AH294" s="154"/>
      <c r="AI294" s="154"/>
      <c r="AJ294" s="154"/>
      <c r="AK294" s="154"/>
      <c r="AL294" s="154"/>
      <c r="AM294" s="154"/>
      <c r="AN294" s="154"/>
      <c r="AO294" s="154"/>
      <c r="AP294" s="154"/>
      <c r="AQ294" s="154"/>
      <c r="AR294" s="154"/>
      <c r="AS294" s="154"/>
      <c r="AT294" s="154"/>
      <c r="AU294" s="154"/>
      <c r="AV294" s="154"/>
      <c r="AW294" s="154"/>
      <c r="AX294" s="154"/>
      <c r="AY294" s="154"/>
    </row>
    <row r="295" spans="1:51">
      <c r="A295" s="154"/>
      <c r="B295" s="154"/>
      <c r="C295" s="154"/>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c r="AA295" s="154"/>
      <c r="AB295" s="154"/>
      <c r="AC295" s="154"/>
      <c r="AD295" s="154"/>
      <c r="AE295" s="154"/>
      <c r="AF295" s="154"/>
      <c r="AG295" s="154"/>
      <c r="AH295" s="154"/>
      <c r="AI295" s="154"/>
      <c r="AJ295" s="154"/>
      <c r="AK295" s="154"/>
      <c r="AL295" s="154"/>
      <c r="AM295" s="154"/>
      <c r="AN295" s="154"/>
      <c r="AO295" s="154"/>
      <c r="AP295" s="154"/>
      <c r="AQ295" s="154"/>
      <c r="AR295" s="154"/>
      <c r="AS295" s="154"/>
      <c r="AT295" s="154"/>
      <c r="AU295" s="154"/>
      <c r="AV295" s="154"/>
      <c r="AW295" s="154"/>
      <c r="AX295" s="154"/>
      <c r="AY295" s="154"/>
    </row>
    <row r="296" spans="1:51">
      <c r="A296" s="154"/>
      <c r="B296" s="154"/>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c r="AA296" s="154"/>
      <c r="AB296" s="154"/>
      <c r="AC296" s="154"/>
      <c r="AD296" s="154"/>
      <c r="AE296" s="154"/>
      <c r="AF296" s="154"/>
      <c r="AG296" s="154"/>
      <c r="AH296" s="154"/>
      <c r="AI296" s="154"/>
      <c r="AJ296" s="154"/>
      <c r="AK296" s="154"/>
      <c r="AL296" s="154"/>
      <c r="AM296" s="154"/>
      <c r="AN296" s="154"/>
      <c r="AO296" s="154"/>
      <c r="AP296" s="154"/>
      <c r="AQ296" s="154"/>
      <c r="AR296" s="154"/>
      <c r="AS296" s="154"/>
      <c r="AT296" s="154"/>
      <c r="AU296" s="154"/>
      <c r="AV296" s="154"/>
      <c r="AW296" s="154"/>
      <c r="AX296" s="154"/>
      <c r="AY296" s="154"/>
    </row>
    <row r="297" spans="1:51">
      <c r="A297" s="154"/>
      <c r="B297" s="154"/>
      <c r="C297" s="154"/>
      <c r="D297" s="154"/>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c r="AA297" s="154"/>
      <c r="AB297" s="154"/>
      <c r="AC297" s="154"/>
      <c r="AD297" s="154"/>
      <c r="AE297" s="154"/>
      <c r="AF297" s="154"/>
      <c r="AG297" s="154"/>
      <c r="AH297" s="154"/>
      <c r="AI297" s="154"/>
      <c r="AJ297" s="154"/>
      <c r="AK297" s="154"/>
      <c r="AL297" s="154"/>
      <c r="AM297" s="154"/>
      <c r="AN297" s="154"/>
      <c r="AO297" s="154"/>
      <c r="AP297" s="154"/>
      <c r="AQ297" s="154"/>
      <c r="AR297" s="154"/>
      <c r="AS297" s="154"/>
      <c r="AT297" s="154"/>
      <c r="AU297" s="154"/>
      <c r="AV297" s="154"/>
      <c r="AW297" s="154"/>
      <c r="AX297" s="154"/>
      <c r="AY297" s="154"/>
    </row>
    <row r="298" spans="1:51">
      <c r="A298" s="154"/>
      <c r="B298" s="154"/>
      <c r="C298" s="154"/>
      <c r="D298" s="154"/>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c r="AA298" s="154"/>
      <c r="AB298" s="154"/>
      <c r="AC298" s="154"/>
      <c r="AD298" s="154"/>
      <c r="AE298" s="154"/>
      <c r="AF298" s="154"/>
      <c r="AG298" s="154"/>
      <c r="AH298" s="154"/>
      <c r="AI298" s="154"/>
      <c r="AJ298" s="154"/>
      <c r="AK298" s="154"/>
      <c r="AL298" s="154"/>
      <c r="AM298" s="154"/>
      <c r="AN298" s="154"/>
      <c r="AO298" s="154"/>
      <c r="AP298" s="154"/>
      <c r="AQ298" s="154"/>
      <c r="AR298" s="154"/>
      <c r="AS298" s="154"/>
      <c r="AT298" s="154"/>
      <c r="AU298" s="154"/>
      <c r="AV298" s="154"/>
      <c r="AW298" s="154"/>
      <c r="AX298" s="154"/>
      <c r="AY298" s="154"/>
    </row>
    <row r="299" spans="1:51">
      <c r="A299" s="154"/>
      <c r="B299" s="154"/>
      <c r="C299" s="154"/>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c r="AA299" s="154"/>
      <c r="AB299" s="154"/>
      <c r="AC299" s="154"/>
      <c r="AD299" s="154"/>
      <c r="AE299" s="154"/>
      <c r="AF299" s="154"/>
      <c r="AG299" s="154"/>
      <c r="AH299" s="154"/>
      <c r="AI299" s="154"/>
      <c r="AJ299" s="154"/>
      <c r="AK299" s="154"/>
      <c r="AL299" s="154"/>
      <c r="AM299" s="154"/>
      <c r="AN299" s="154"/>
      <c r="AO299" s="154"/>
      <c r="AP299" s="154"/>
      <c r="AQ299" s="154"/>
      <c r="AR299" s="154"/>
      <c r="AS299" s="154"/>
      <c r="AT299" s="154"/>
      <c r="AU299" s="154"/>
      <c r="AV299" s="154"/>
      <c r="AW299" s="154"/>
      <c r="AX299" s="154"/>
      <c r="AY299" s="154"/>
    </row>
    <row r="300" spans="1:51">
      <c r="A300" s="154"/>
      <c r="B300" s="154"/>
      <c r="C300" s="154"/>
      <c r="D300" s="154"/>
      <c r="E300" s="154"/>
      <c r="F300" s="154"/>
      <c r="G300" s="154"/>
      <c r="H300" s="154"/>
      <c r="I300" s="154"/>
      <c r="J300" s="154"/>
      <c r="K300" s="154"/>
      <c r="L300" s="154"/>
      <c r="M300" s="154"/>
      <c r="N300" s="154"/>
      <c r="O300" s="154"/>
      <c r="P300" s="154"/>
      <c r="Q300" s="154"/>
      <c r="R300" s="154"/>
      <c r="S300" s="154"/>
      <c r="T300" s="154"/>
      <c r="U300" s="154"/>
      <c r="V300" s="154"/>
      <c r="W300" s="154"/>
      <c r="X300" s="154"/>
      <c r="Y300" s="154"/>
      <c r="Z300" s="154"/>
      <c r="AA300" s="154"/>
      <c r="AB300" s="154"/>
      <c r="AC300" s="154"/>
      <c r="AD300" s="154"/>
      <c r="AE300" s="154"/>
      <c r="AF300" s="154"/>
      <c r="AG300" s="154"/>
      <c r="AH300" s="154"/>
      <c r="AI300" s="154"/>
      <c r="AJ300" s="154"/>
      <c r="AK300" s="154"/>
      <c r="AL300" s="154"/>
      <c r="AM300" s="154"/>
      <c r="AN300" s="154"/>
      <c r="AO300" s="154"/>
      <c r="AP300" s="154"/>
      <c r="AQ300" s="154"/>
      <c r="AR300" s="154"/>
      <c r="AS300" s="154"/>
      <c r="AT300" s="154"/>
      <c r="AU300" s="154"/>
      <c r="AV300" s="154"/>
      <c r="AW300" s="154"/>
      <c r="AX300" s="154"/>
      <c r="AY300" s="154"/>
    </row>
    <row r="301" spans="1:51">
      <c r="A301" s="154"/>
      <c r="B301" s="154"/>
      <c r="C301" s="154"/>
      <c r="D301" s="154"/>
      <c r="E301" s="154"/>
      <c r="F301" s="154"/>
      <c r="G301" s="154"/>
      <c r="H301" s="154"/>
      <c r="I301" s="154"/>
      <c r="J301" s="154"/>
      <c r="K301" s="154"/>
      <c r="L301" s="154"/>
      <c r="M301" s="154"/>
      <c r="N301" s="154"/>
      <c r="O301" s="154"/>
      <c r="P301" s="154"/>
      <c r="Q301" s="154"/>
      <c r="R301" s="154"/>
      <c r="S301" s="154"/>
      <c r="T301" s="154"/>
      <c r="U301" s="154"/>
      <c r="V301" s="154"/>
      <c r="W301" s="154"/>
      <c r="X301" s="154"/>
      <c r="Y301" s="154"/>
      <c r="Z301" s="154"/>
      <c r="AA301" s="154"/>
      <c r="AB301" s="154"/>
      <c r="AC301" s="154"/>
      <c r="AD301" s="154"/>
      <c r="AE301" s="154"/>
      <c r="AF301" s="154"/>
      <c r="AG301" s="154"/>
      <c r="AH301" s="154"/>
      <c r="AI301" s="154"/>
      <c r="AJ301" s="154"/>
      <c r="AK301" s="154"/>
      <c r="AL301" s="154"/>
      <c r="AM301" s="154"/>
      <c r="AN301" s="154"/>
      <c r="AO301" s="154"/>
      <c r="AP301" s="154"/>
      <c r="AQ301" s="154"/>
      <c r="AR301" s="154"/>
      <c r="AS301" s="154"/>
      <c r="AT301" s="154"/>
      <c r="AU301" s="154"/>
      <c r="AV301" s="154"/>
      <c r="AW301" s="154"/>
      <c r="AX301" s="154"/>
      <c r="AY301" s="154"/>
    </row>
    <row r="302" spans="1:51">
      <c r="A302" s="154"/>
      <c r="B302" s="154"/>
      <c r="C302" s="154"/>
      <c r="D302" s="154"/>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c r="AA302" s="154"/>
      <c r="AB302" s="154"/>
      <c r="AC302" s="154"/>
      <c r="AD302" s="154"/>
      <c r="AE302" s="154"/>
      <c r="AF302" s="154"/>
      <c r="AG302" s="154"/>
      <c r="AH302" s="154"/>
      <c r="AI302" s="154"/>
      <c r="AJ302" s="154"/>
      <c r="AK302" s="154"/>
      <c r="AL302" s="154"/>
      <c r="AM302" s="154"/>
      <c r="AN302" s="154"/>
      <c r="AO302" s="154"/>
      <c r="AP302" s="154"/>
      <c r="AQ302" s="154"/>
      <c r="AR302" s="154"/>
      <c r="AS302" s="154"/>
      <c r="AT302" s="154"/>
      <c r="AU302" s="154"/>
      <c r="AV302" s="154"/>
      <c r="AW302" s="154"/>
      <c r="AX302" s="154"/>
      <c r="AY302" s="154"/>
    </row>
    <row r="303" spans="1:51">
      <c r="A303" s="154"/>
      <c r="B303" s="154"/>
      <c r="C303" s="154"/>
      <c r="D303" s="154"/>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c r="AA303" s="154"/>
      <c r="AB303" s="154"/>
      <c r="AC303" s="154"/>
      <c r="AD303" s="154"/>
      <c r="AE303" s="154"/>
      <c r="AF303" s="154"/>
      <c r="AG303" s="154"/>
      <c r="AH303" s="154"/>
      <c r="AI303" s="154"/>
      <c r="AJ303" s="154"/>
      <c r="AK303" s="154"/>
      <c r="AL303" s="154"/>
      <c r="AM303" s="154"/>
      <c r="AN303" s="154"/>
      <c r="AO303" s="154"/>
      <c r="AP303" s="154"/>
      <c r="AQ303" s="154"/>
      <c r="AR303" s="154"/>
      <c r="AS303" s="154"/>
      <c r="AT303" s="154"/>
      <c r="AU303" s="154"/>
      <c r="AV303" s="154"/>
      <c r="AW303" s="154"/>
      <c r="AX303" s="154"/>
      <c r="AY303" s="154"/>
    </row>
    <row r="304" spans="1:51">
      <c r="A304" s="154"/>
      <c r="B304" s="154"/>
      <c r="C304" s="154"/>
      <c r="D304" s="154"/>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c r="AA304" s="154"/>
      <c r="AB304" s="154"/>
      <c r="AC304" s="154"/>
      <c r="AD304" s="154"/>
      <c r="AE304" s="154"/>
      <c r="AF304" s="154"/>
      <c r="AG304" s="154"/>
      <c r="AH304" s="154"/>
      <c r="AI304" s="154"/>
      <c r="AJ304" s="154"/>
      <c r="AK304" s="154"/>
      <c r="AL304" s="154"/>
      <c r="AM304" s="154"/>
      <c r="AN304" s="154"/>
      <c r="AO304" s="154"/>
      <c r="AP304" s="154"/>
      <c r="AQ304" s="154"/>
      <c r="AR304" s="154"/>
      <c r="AS304" s="154"/>
      <c r="AT304" s="154"/>
      <c r="AU304" s="154"/>
      <c r="AV304" s="154"/>
      <c r="AW304" s="154"/>
      <c r="AX304" s="154"/>
      <c r="AY304" s="154"/>
    </row>
    <row r="305" spans="1:51">
      <c r="A305" s="154"/>
      <c r="B305" s="154"/>
      <c r="C305" s="154"/>
      <c r="D305" s="154"/>
      <c r="E305" s="154"/>
      <c r="F305" s="154"/>
      <c r="G305" s="154"/>
      <c r="H305" s="154"/>
      <c r="I305" s="154"/>
      <c r="J305" s="154"/>
      <c r="K305" s="154"/>
      <c r="L305" s="154"/>
      <c r="M305" s="154"/>
      <c r="N305" s="154"/>
      <c r="O305" s="154"/>
      <c r="P305" s="154"/>
      <c r="Q305" s="154"/>
      <c r="R305" s="154"/>
      <c r="S305" s="154"/>
      <c r="T305" s="154"/>
      <c r="U305" s="154"/>
      <c r="V305" s="154"/>
      <c r="W305" s="154"/>
      <c r="X305" s="154"/>
      <c r="Y305" s="154"/>
      <c r="Z305" s="154"/>
      <c r="AA305" s="154"/>
      <c r="AB305" s="154"/>
      <c r="AC305" s="154"/>
      <c r="AD305" s="154"/>
      <c r="AE305" s="154"/>
      <c r="AF305" s="154"/>
      <c r="AG305" s="154"/>
      <c r="AH305" s="154"/>
      <c r="AI305" s="154"/>
      <c r="AJ305" s="154"/>
      <c r="AK305" s="154"/>
      <c r="AL305" s="154"/>
      <c r="AM305" s="154"/>
      <c r="AN305" s="154"/>
      <c r="AO305" s="154"/>
      <c r="AP305" s="154"/>
      <c r="AQ305" s="154"/>
      <c r="AR305" s="154"/>
      <c r="AS305" s="154"/>
      <c r="AT305" s="154"/>
      <c r="AU305" s="154"/>
      <c r="AV305" s="154"/>
      <c r="AW305" s="154"/>
      <c r="AX305" s="154"/>
      <c r="AY305" s="154"/>
    </row>
    <row r="306" spans="1:51">
      <c r="A306" s="154"/>
      <c r="B306" s="154"/>
      <c r="C306" s="154"/>
      <c r="D306" s="154"/>
      <c r="E306" s="154"/>
      <c r="F306" s="154"/>
      <c r="G306" s="154"/>
      <c r="H306" s="154"/>
      <c r="I306" s="154"/>
      <c r="J306" s="154"/>
      <c r="K306" s="154"/>
      <c r="L306" s="154"/>
      <c r="M306" s="154"/>
      <c r="N306" s="154"/>
      <c r="O306" s="154"/>
      <c r="P306" s="154"/>
      <c r="Q306" s="154"/>
      <c r="R306" s="154"/>
      <c r="S306" s="154"/>
      <c r="T306" s="154"/>
      <c r="U306" s="154"/>
      <c r="V306" s="154"/>
      <c r="W306" s="154"/>
      <c r="X306" s="154"/>
      <c r="Y306" s="154"/>
      <c r="Z306" s="154"/>
      <c r="AA306" s="154"/>
      <c r="AB306" s="154"/>
      <c r="AC306" s="154"/>
      <c r="AD306" s="154"/>
      <c r="AE306" s="154"/>
      <c r="AF306" s="154"/>
      <c r="AG306" s="154"/>
      <c r="AH306" s="154"/>
      <c r="AI306" s="154"/>
      <c r="AJ306" s="154"/>
      <c r="AK306" s="154"/>
      <c r="AL306" s="154"/>
      <c r="AM306" s="154"/>
      <c r="AN306" s="154"/>
      <c r="AO306" s="154"/>
      <c r="AP306" s="154"/>
      <c r="AQ306" s="154"/>
      <c r="AR306" s="154"/>
      <c r="AS306" s="154"/>
      <c r="AT306" s="154"/>
      <c r="AU306" s="154"/>
      <c r="AV306" s="154"/>
      <c r="AW306" s="154"/>
      <c r="AX306" s="154"/>
      <c r="AY306" s="154"/>
    </row>
    <row r="307" spans="1:51">
      <c r="A307" s="154"/>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4"/>
      <c r="AG307" s="154"/>
      <c r="AH307" s="154"/>
      <c r="AI307" s="154"/>
      <c r="AJ307" s="154"/>
      <c r="AK307" s="154"/>
      <c r="AL307" s="154"/>
      <c r="AM307" s="154"/>
      <c r="AN307" s="154"/>
      <c r="AO307" s="154"/>
      <c r="AP307" s="154"/>
      <c r="AQ307" s="154"/>
      <c r="AR307" s="154"/>
      <c r="AS307" s="154"/>
      <c r="AT307" s="154"/>
      <c r="AU307" s="154"/>
      <c r="AV307" s="154"/>
      <c r="AW307" s="154"/>
      <c r="AX307" s="154"/>
      <c r="AY307" s="154"/>
    </row>
    <row r="308" spans="1:51">
      <c r="A308" s="154"/>
      <c r="B308" s="154"/>
      <c r="C308" s="154"/>
      <c r="D308" s="154"/>
      <c r="E308" s="154"/>
      <c r="F308" s="154"/>
      <c r="G308" s="154"/>
      <c r="H308" s="154"/>
      <c r="I308" s="154"/>
      <c r="J308" s="154"/>
      <c r="K308" s="154"/>
      <c r="L308" s="154"/>
      <c r="M308" s="154"/>
      <c r="N308" s="154"/>
      <c r="O308" s="154"/>
      <c r="P308" s="154"/>
      <c r="Q308" s="154"/>
      <c r="R308" s="154"/>
      <c r="S308" s="154"/>
      <c r="T308" s="154"/>
      <c r="U308" s="154"/>
      <c r="V308" s="154"/>
      <c r="W308" s="154"/>
      <c r="X308" s="154"/>
      <c r="Y308" s="154"/>
      <c r="Z308" s="154"/>
      <c r="AA308" s="154"/>
      <c r="AB308" s="154"/>
      <c r="AC308" s="154"/>
      <c r="AD308" s="154"/>
      <c r="AE308" s="154"/>
      <c r="AF308" s="154"/>
      <c r="AG308" s="154"/>
      <c r="AH308" s="154"/>
      <c r="AI308" s="154"/>
      <c r="AJ308" s="154"/>
      <c r="AK308" s="154"/>
      <c r="AL308" s="154"/>
      <c r="AM308" s="154"/>
      <c r="AN308" s="154"/>
      <c r="AO308" s="154"/>
      <c r="AP308" s="154"/>
      <c r="AQ308" s="154"/>
      <c r="AR308" s="154"/>
      <c r="AS308" s="154"/>
      <c r="AT308" s="154"/>
      <c r="AU308" s="154"/>
      <c r="AV308" s="154"/>
      <c r="AW308" s="154"/>
      <c r="AX308" s="154"/>
      <c r="AY308" s="154"/>
    </row>
    <row r="309" spans="1:51">
      <c r="A309" s="154"/>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c r="AA309" s="154"/>
      <c r="AB309" s="154"/>
      <c r="AC309" s="154"/>
      <c r="AD309" s="154"/>
      <c r="AE309" s="154"/>
      <c r="AF309" s="154"/>
      <c r="AG309" s="154"/>
      <c r="AH309" s="154"/>
      <c r="AI309" s="154"/>
      <c r="AJ309" s="154"/>
      <c r="AK309" s="154"/>
      <c r="AL309" s="154"/>
      <c r="AM309" s="154"/>
      <c r="AN309" s="154"/>
      <c r="AO309" s="154"/>
      <c r="AP309" s="154"/>
      <c r="AQ309" s="154"/>
      <c r="AR309" s="154"/>
      <c r="AS309" s="154"/>
      <c r="AT309" s="154"/>
      <c r="AU309" s="154"/>
      <c r="AV309" s="154"/>
      <c r="AW309" s="154"/>
      <c r="AX309" s="154"/>
      <c r="AY309" s="154"/>
    </row>
    <row r="310" spans="1:51">
      <c r="A310" s="154"/>
      <c r="B310" s="154"/>
      <c r="C310" s="154"/>
      <c r="D310" s="154"/>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c r="AA310" s="154"/>
      <c r="AB310" s="154"/>
      <c r="AC310" s="154"/>
      <c r="AD310" s="154"/>
      <c r="AE310" s="154"/>
      <c r="AF310" s="154"/>
      <c r="AG310" s="154"/>
      <c r="AH310" s="154"/>
      <c r="AI310" s="154"/>
      <c r="AJ310" s="154"/>
      <c r="AK310" s="154"/>
      <c r="AL310" s="154"/>
      <c r="AM310" s="154"/>
      <c r="AN310" s="154"/>
      <c r="AO310" s="154"/>
      <c r="AP310" s="154"/>
      <c r="AQ310" s="154"/>
      <c r="AR310" s="154"/>
      <c r="AS310" s="154"/>
      <c r="AT310" s="154"/>
      <c r="AU310" s="154"/>
      <c r="AV310" s="154"/>
      <c r="AW310" s="154"/>
      <c r="AX310" s="154"/>
      <c r="AY310" s="154"/>
    </row>
    <row r="311" spans="1:51">
      <c r="A311" s="154"/>
      <c r="B311" s="154"/>
      <c r="C311" s="154"/>
      <c r="D311" s="154"/>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c r="AA311" s="154"/>
      <c r="AB311" s="154"/>
      <c r="AC311" s="154"/>
      <c r="AD311" s="154"/>
      <c r="AE311" s="154"/>
      <c r="AF311" s="154"/>
      <c r="AG311" s="154"/>
      <c r="AH311" s="154"/>
      <c r="AI311" s="154"/>
      <c r="AJ311" s="154"/>
      <c r="AK311" s="154"/>
      <c r="AL311" s="154"/>
      <c r="AM311" s="154"/>
      <c r="AN311" s="154"/>
      <c r="AO311" s="154"/>
      <c r="AP311" s="154"/>
      <c r="AQ311" s="154"/>
      <c r="AR311" s="154"/>
      <c r="AS311" s="154"/>
      <c r="AT311" s="154"/>
      <c r="AU311" s="154"/>
      <c r="AV311" s="154"/>
      <c r="AW311" s="154"/>
      <c r="AX311" s="154"/>
      <c r="AY311" s="154"/>
    </row>
    <row r="312" spans="1:51">
      <c r="A312" s="154"/>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c r="AA312" s="154"/>
      <c r="AB312" s="154"/>
      <c r="AC312" s="154"/>
      <c r="AD312" s="154"/>
      <c r="AE312" s="154"/>
      <c r="AF312" s="154"/>
      <c r="AG312" s="154"/>
      <c r="AH312" s="154"/>
      <c r="AI312" s="154"/>
      <c r="AJ312" s="154"/>
      <c r="AK312" s="154"/>
      <c r="AL312" s="154"/>
      <c r="AM312" s="154"/>
      <c r="AN312" s="154"/>
      <c r="AO312" s="154"/>
      <c r="AP312" s="154"/>
      <c r="AQ312" s="154"/>
      <c r="AR312" s="154"/>
      <c r="AS312" s="154"/>
      <c r="AT312" s="154"/>
      <c r="AU312" s="154"/>
      <c r="AV312" s="154"/>
      <c r="AW312" s="154"/>
      <c r="AX312" s="154"/>
      <c r="AY312" s="154"/>
    </row>
    <row r="313" spans="1:51">
      <c r="A313" s="154"/>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c r="AA313" s="154"/>
      <c r="AB313" s="154"/>
      <c r="AC313" s="154"/>
      <c r="AD313" s="154"/>
      <c r="AE313" s="154"/>
      <c r="AF313" s="154"/>
      <c r="AG313" s="154"/>
      <c r="AH313" s="154"/>
      <c r="AI313" s="154"/>
      <c r="AJ313" s="154"/>
      <c r="AK313" s="154"/>
      <c r="AL313" s="154"/>
      <c r="AM313" s="154"/>
      <c r="AN313" s="154"/>
      <c r="AO313" s="154"/>
      <c r="AP313" s="154"/>
      <c r="AQ313" s="154"/>
      <c r="AR313" s="154"/>
      <c r="AS313" s="154"/>
      <c r="AT313" s="154"/>
      <c r="AU313" s="154"/>
      <c r="AV313" s="154"/>
      <c r="AW313" s="154"/>
      <c r="AX313" s="154"/>
      <c r="AY313" s="154"/>
    </row>
    <row r="314" spans="1:51">
      <c r="A314" s="154"/>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c r="AA314" s="154"/>
      <c r="AB314" s="154"/>
      <c r="AC314" s="154"/>
      <c r="AD314" s="154"/>
      <c r="AE314" s="154"/>
      <c r="AF314" s="154"/>
      <c r="AG314" s="154"/>
      <c r="AH314" s="154"/>
      <c r="AI314" s="154"/>
      <c r="AJ314" s="154"/>
      <c r="AK314" s="154"/>
      <c r="AL314" s="154"/>
      <c r="AM314" s="154"/>
      <c r="AN314" s="154"/>
      <c r="AO314" s="154"/>
      <c r="AP314" s="154"/>
      <c r="AQ314" s="154"/>
      <c r="AR314" s="154"/>
      <c r="AS314" s="154"/>
      <c r="AT314" s="154"/>
      <c r="AU314" s="154"/>
      <c r="AV314" s="154"/>
      <c r="AW314" s="154"/>
      <c r="AX314" s="154"/>
      <c r="AY314" s="154"/>
    </row>
    <row r="315" spans="1:51">
      <c r="A315" s="154"/>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4"/>
      <c r="AG315" s="154"/>
      <c r="AH315" s="154"/>
      <c r="AI315" s="154"/>
      <c r="AJ315" s="154"/>
      <c r="AK315" s="154"/>
      <c r="AL315" s="154"/>
      <c r="AM315" s="154"/>
      <c r="AN315" s="154"/>
      <c r="AO315" s="154"/>
      <c r="AP315" s="154"/>
      <c r="AQ315" s="154"/>
      <c r="AR315" s="154"/>
      <c r="AS315" s="154"/>
      <c r="AT315" s="154"/>
      <c r="AU315" s="154"/>
      <c r="AV315" s="154"/>
      <c r="AW315" s="154"/>
      <c r="AX315" s="154"/>
      <c r="AY315" s="154"/>
    </row>
    <row r="316" spans="1:51">
      <c r="A316" s="154"/>
      <c r="B316" s="154"/>
      <c r="C316" s="154"/>
      <c r="D316" s="154"/>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c r="AA316" s="154"/>
      <c r="AB316" s="154"/>
      <c r="AC316" s="154"/>
      <c r="AD316" s="154"/>
      <c r="AE316" s="154"/>
      <c r="AF316" s="154"/>
      <c r="AG316" s="154"/>
      <c r="AH316" s="154"/>
      <c r="AI316" s="154"/>
      <c r="AJ316" s="154"/>
      <c r="AK316" s="154"/>
      <c r="AL316" s="154"/>
      <c r="AM316" s="154"/>
      <c r="AN316" s="154"/>
      <c r="AO316" s="154"/>
      <c r="AP316" s="154"/>
      <c r="AQ316" s="154"/>
      <c r="AR316" s="154"/>
      <c r="AS316" s="154"/>
      <c r="AT316" s="154"/>
      <c r="AU316" s="154"/>
      <c r="AV316" s="154"/>
      <c r="AW316" s="154"/>
      <c r="AX316" s="154"/>
      <c r="AY316" s="154"/>
    </row>
    <row r="317" spans="1:51">
      <c r="A317" s="154"/>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c r="AB317" s="154"/>
      <c r="AC317" s="154"/>
      <c r="AD317" s="154"/>
      <c r="AE317" s="154"/>
      <c r="AF317" s="154"/>
      <c r="AG317" s="154"/>
      <c r="AH317" s="154"/>
      <c r="AI317" s="154"/>
      <c r="AJ317" s="154"/>
      <c r="AK317" s="154"/>
      <c r="AL317" s="154"/>
      <c r="AM317" s="154"/>
      <c r="AN317" s="154"/>
      <c r="AO317" s="154"/>
      <c r="AP317" s="154"/>
      <c r="AQ317" s="154"/>
      <c r="AR317" s="154"/>
      <c r="AS317" s="154"/>
      <c r="AT317" s="154"/>
      <c r="AU317" s="154"/>
      <c r="AV317" s="154"/>
      <c r="AW317" s="154"/>
      <c r="AX317" s="154"/>
      <c r="AY317" s="154"/>
    </row>
    <row r="318" spans="1:51">
      <c r="A318" s="154"/>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4"/>
      <c r="AG318" s="154"/>
      <c r="AH318" s="154"/>
      <c r="AI318" s="154"/>
      <c r="AJ318" s="154"/>
      <c r="AK318" s="154"/>
      <c r="AL318" s="154"/>
      <c r="AM318" s="154"/>
      <c r="AN318" s="154"/>
      <c r="AO318" s="154"/>
      <c r="AP318" s="154"/>
      <c r="AQ318" s="154"/>
      <c r="AR318" s="154"/>
      <c r="AS318" s="154"/>
      <c r="AT318" s="154"/>
      <c r="AU318" s="154"/>
      <c r="AV318" s="154"/>
      <c r="AW318" s="154"/>
      <c r="AX318" s="154"/>
      <c r="AY318" s="154"/>
    </row>
    <row r="319" spans="1:51">
      <c r="A319" s="154"/>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c r="AA319" s="154"/>
      <c r="AB319" s="154"/>
      <c r="AC319" s="154"/>
      <c r="AD319" s="154"/>
      <c r="AE319" s="154"/>
      <c r="AF319" s="154"/>
      <c r="AG319" s="154"/>
      <c r="AH319" s="154"/>
      <c r="AI319" s="154"/>
      <c r="AJ319" s="154"/>
      <c r="AK319" s="154"/>
      <c r="AL319" s="154"/>
      <c r="AM319" s="154"/>
      <c r="AN319" s="154"/>
      <c r="AO319" s="154"/>
      <c r="AP319" s="154"/>
      <c r="AQ319" s="154"/>
      <c r="AR319" s="154"/>
      <c r="AS319" s="154"/>
      <c r="AT319" s="154"/>
      <c r="AU319" s="154"/>
      <c r="AV319" s="154"/>
      <c r="AW319" s="154"/>
      <c r="AX319" s="154"/>
      <c r="AY319" s="154"/>
    </row>
    <row r="320" spans="1:51">
      <c r="A320" s="154"/>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4"/>
      <c r="AG320" s="154"/>
      <c r="AH320" s="154"/>
      <c r="AI320" s="154"/>
      <c r="AJ320" s="154"/>
      <c r="AK320" s="154"/>
      <c r="AL320" s="154"/>
      <c r="AM320" s="154"/>
      <c r="AN320" s="154"/>
      <c r="AO320" s="154"/>
      <c r="AP320" s="154"/>
      <c r="AQ320" s="154"/>
      <c r="AR320" s="154"/>
      <c r="AS320" s="154"/>
      <c r="AT320" s="154"/>
      <c r="AU320" s="154"/>
      <c r="AV320" s="154"/>
      <c r="AW320" s="154"/>
      <c r="AX320" s="154"/>
      <c r="AY320" s="154"/>
    </row>
    <row r="321" spans="1:51">
      <c r="A321" s="154"/>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c r="AA321" s="154"/>
      <c r="AB321" s="154"/>
      <c r="AC321" s="154"/>
      <c r="AD321" s="154"/>
      <c r="AE321" s="154"/>
      <c r="AF321" s="154"/>
      <c r="AG321" s="154"/>
      <c r="AH321" s="154"/>
      <c r="AI321" s="154"/>
      <c r="AJ321" s="154"/>
      <c r="AK321" s="154"/>
      <c r="AL321" s="154"/>
      <c r="AM321" s="154"/>
      <c r="AN321" s="154"/>
      <c r="AO321" s="154"/>
      <c r="AP321" s="154"/>
      <c r="AQ321" s="154"/>
      <c r="AR321" s="154"/>
      <c r="AS321" s="154"/>
      <c r="AT321" s="154"/>
      <c r="AU321" s="154"/>
      <c r="AV321" s="154"/>
      <c r="AW321" s="154"/>
      <c r="AX321" s="154"/>
      <c r="AY321" s="154"/>
    </row>
    <row r="322" spans="1:51">
      <c r="A322" s="154"/>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c r="AA322" s="154"/>
      <c r="AB322" s="154"/>
      <c r="AC322" s="154"/>
      <c r="AD322" s="154"/>
      <c r="AE322" s="154"/>
      <c r="AF322" s="154"/>
      <c r="AG322" s="154"/>
      <c r="AH322" s="154"/>
      <c r="AI322" s="154"/>
      <c r="AJ322" s="154"/>
      <c r="AK322" s="154"/>
      <c r="AL322" s="154"/>
      <c r="AM322" s="154"/>
      <c r="AN322" s="154"/>
      <c r="AO322" s="154"/>
      <c r="AP322" s="154"/>
      <c r="AQ322" s="154"/>
      <c r="AR322" s="154"/>
      <c r="AS322" s="154"/>
      <c r="AT322" s="154"/>
      <c r="AU322" s="154"/>
      <c r="AV322" s="154"/>
      <c r="AW322" s="154"/>
      <c r="AX322" s="154"/>
      <c r="AY322" s="154"/>
    </row>
    <row r="323" spans="1:51">
      <c r="A323" s="154"/>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c r="AA323" s="154"/>
      <c r="AB323" s="154"/>
      <c r="AC323" s="154"/>
      <c r="AD323" s="154"/>
      <c r="AE323" s="154"/>
      <c r="AF323" s="154"/>
      <c r="AG323" s="154"/>
      <c r="AH323" s="154"/>
      <c r="AI323" s="154"/>
      <c r="AJ323" s="154"/>
      <c r="AK323" s="154"/>
      <c r="AL323" s="154"/>
      <c r="AM323" s="154"/>
      <c r="AN323" s="154"/>
      <c r="AO323" s="154"/>
      <c r="AP323" s="154"/>
      <c r="AQ323" s="154"/>
      <c r="AR323" s="154"/>
      <c r="AS323" s="154"/>
      <c r="AT323" s="154"/>
      <c r="AU323" s="154"/>
      <c r="AV323" s="154"/>
      <c r="AW323" s="154"/>
      <c r="AX323" s="154"/>
      <c r="AY323" s="154"/>
    </row>
    <row r="324" spans="1:51">
      <c r="A324" s="154"/>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4"/>
      <c r="AG324" s="154"/>
      <c r="AH324" s="154"/>
      <c r="AI324" s="154"/>
      <c r="AJ324" s="154"/>
      <c r="AK324" s="154"/>
      <c r="AL324" s="154"/>
      <c r="AM324" s="154"/>
      <c r="AN324" s="154"/>
      <c r="AO324" s="154"/>
      <c r="AP324" s="154"/>
      <c r="AQ324" s="154"/>
      <c r="AR324" s="154"/>
      <c r="AS324" s="154"/>
      <c r="AT324" s="154"/>
      <c r="AU324" s="154"/>
      <c r="AV324" s="154"/>
      <c r="AW324" s="154"/>
      <c r="AX324" s="154"/>
      <c r="AY324" s="154"/>
    </row>
    <row r="325" spans="1:51">
      <c r="A325" s="154"/>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4"/>
      <c r="AG325" s="154"/>
      <c r="AH325" s="154"/>
      <c r="AI325" s="154"/>
      <c r="AJ325" s="154"/>
      <c r="AK325" s="154"/>
      <c r="AL325" s="154"/>
      <c r="AM325" s="154"/>
      <c r="AN325" s="154"/>
      <c r="AO325" s="154"/>
      <c r="AP325" s="154"/>
      <c r="AQ325" s="154"/>
      <c r="AR325" s="154"/>
      <c r="AS325" s="154"/>
      <c r="AT325" s="154"/>
      <c r="AU325" s="154"/>
      <c r="AV325" s="154"/>
      <c r="AW325" s="154"/>
      <c r="AX325" s="154"/>
      <c r="AY325" s="154"/>
    </row>
    <row r="326" spans="1:51">
      <c r="A326" s="154"/>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4"/>
      <c r="AG326" s="154"/>
      <c r="AH326" s="154"/>
      <c r="AI326" s="154"/>
      <c r="AJ326" s="154"/>
      <c r="AK326" s="154"/>
      <c r="AL326" s="154"/>
      <c r="AM326" s="154"/>
      <c r="AN326" s="154"/>
      <c r="AO326" s="154"/>
      <c r="AP326" s="154"/>
      <c r="AQ326" s="154"/>
      <c r="AR326" s="154"/>
      <c r="AS326" s="154"/>
      <c r="AT326" s="154"/>
      <c r="AU326" s="154"/>
      <c r="AV326" s="154"/>
      <c r="AW326" s="154"/>
      <c r="AX326" s="154"/>
      <c r="AY326" s="154"/>
    </row>
    <row r="327" spans="1:51">
      <c r="A327" s="154"/>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c r="AA327" s="154"/>
      <c r="AB327" s="154"/>
      <c r="AC327" s="154"/>
      <c r="AD327" s="154"/>
      <c r="AE327" s="154"/>
      <c r="AF327" s="154"/>
      <c r="AG327" s="154"/>
      <c r="AH327" s="154"/>
      <c r="AI327" s="154"/>
      <c r="AJ327" s="154"/>
      <c r="AK327" s="154"/>
      <c r="AL327" s="154"/>
      <c r="AM327" s="154"/>
      <c r="AN327" s="154"/>
      <c r="AO327" s="154"/>
      <c r="AP327" s="154"/>
      <c r="AQ327" s="154"/>
      <c r="AR327" s="154"/>
      <c r="AS327" s="154"/>
      <c r="AT327" s="154"/>
      <c r="AU327" s="154"/>
      <c r="AV327" s="154"/>
      <c r="AW327" s="154"/>
      <c r="AX327" s="154"/>
      <c r="AY327" s="154"/>
    </row>
    <row r="328" spans="1:51">
      <c r="A328" s="154"/>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4"/>
      <c r="AG328" s="154"/>
      <c r="AH328" s="154"/>
      <c r="AI328" s="154"/>
      <c r="AJ328" s="154"/>
      <c r="AK328" s="154"/>
      <c r="AL328" s="154"/>
      <c r="AM328" s="154"/>
      <c r="AN328" s="154"/>
      <c r="AO328" s="154"/>
      <c r="AP328" s="154"/>
      <c r="AQ328" s="154"/>
      <c r="AR328" s="154"/>
      <c r="AS328" s="154"/>
      <c r="AT328" s="154"/>
      <c r="AU328" s="154"/>
      <c r="AV328" s="154"/>
      <c r="AW328" s="154"/>
      <c r="AX328" s="154"/>
      <c r="AY328" s="154"/>
    </row>
    <row r="329" spans="1:51">
      <c r="A329" s="154"/>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4"/>
      <c r="AG329" s="154"/>
      <c r="AH329" s="154"/>
      <c r="AI329" s="154"/>
      <c r="AJ329" s="154"/>
      <c r="AK329" s="154"/>
      <c r="AL329" s="154"/>
      <c r="AM329" s="154"/>
      <c r="AN329" s="154"/>
      <c r="AO329" s="154"/>
      <c r="AP329" s="154"/>
      <c r="AQ329" s="154"/>
      <c r="AR329" s="154"/>
      <c r="AS329" s="154"/>
      <c r="AT329" s="154"/>
      <c r="AU329" s="154"/>
      <c r="AV329" s="154"/>
      <c r="AW329" s="154"/>
      <c r="AX329" s="154"/>
      <c r="AY329" s="154"/>
    </row>
    <row r="330" spans="1:51">
      <c r="A330" s="154"/>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c r="AA330" s="154"/>
      <c r="AB330" s="154"/>
      <c r="AC330" s="154"/>
      <c r="AD330" s="154"/>
      <c r="AE330" s="154"/>
      <c r="AF330" s="154"/>
      <c r="AG330" s="154"/>
      <c r="AH330" s="154"/>
      <c r="AI330" s="154"/>
      <c r="AJ330" s="154"/>
      <c r="AK330" s="154"/>
      <c r="AL330" s="154"/>
      <c r="AM330" s="154"/>
      <c r="AN330" s="154"/>
      <c r="AO330" s="154"/>
      <c r="AP330" s="154"/>
      <c r="AQ330" s="154"/>
      <c r="AR330" s="154"/>
      <c r="AS330" s="154"/>
      <c r="AT330" s="154"/>
      <c r="AU330" s="154"/>
      <c r="AV330" s="154"/>
      <c r="AW330" s="154"/>
      <c r="AX330" s="154"/>
      <c r="AY330" s="154"/>
    </row>
    <row r="331" spans="1:51">
      <c r="A331" s="154"/>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c r="AA331" s="154"/>
      <c r="AB331" s="154"/>
      <c r="AC331" s="154"/>
      <c r="AD331" s="154"/>
      <c r="AE331" s="154"/>
      <c r="AF331" s="154"/>
      <c r="AG331" s="154"/>
      <c r="AH331" s="154"/>
      <c r="AI331" s="154"/>
      <c r="AJ331" s="154"/>
      <c r="AK331" s="154"/>
      <c r="AL331" s="154"/>
      <c r="AM331" s="154"/>
      <c r="AN331" s="154"/>
      <c r="AO331" s="154"/>
      <c r="AP331" s="154"/>
      <c r="AQ331" s="154"/>
      <c r="AR331" s="154"/>
      <c r="AS331" s="154"/>
      <c r="AT331" s="154"/>
      <c r="AU331" s="154"/>
      <c r="AV331" s="154"/>
      <c r="AW331" s="154"/>
      <c r="AX331" s="154"/>
      <c r="AY331" s="154"/>
    </row>
    <row r="332" spans="1:51">
      <c r="A332" s="154"/>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c r="AA332" s="154"/>
      <c r="AB332" s="154"/>
      <c r="AC332" s="154"/>
      <c r="AD332" s="154"/>
      <c r="AE332" s="154"/>
      <c r="AF332" s="154"/>
      <c r="AG332" s="154"/>
      <c r="AH332" s="154"/>
      <c r="AI332" s="154"/>
      <c r="AJ332" s="154"/>
      <c r="AK332" s="154"/>
      <c r="AL332" s="154"/>
      <c r="AM332" s="154"/>
      <c r="AN332" s="154"/>
      <c r="AO332" s="154"/>
      <c r="AP332" s="154"/>
      <c r="AQ332" s="154"/>
      <c r="AR332" s="154"/>
      <c r="AS332" s="154"/>
      <c r="AT332" s="154"/>
      <c r="AU332" s="154"/>
      <c r="AV332" s="154"/>
      <c r="AW332" s="154"/>
      <c r="AX332" s="154"/>
      <c r="AY332" s="154"/>
    </row>
    <row r="333" spans="1:51">
      <c r="A333" s="154"/>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c r="AA333" s="154"/>
      <c r="AB333" s="154"/>
      <c r="AC333" s="154"/>
      <c r="AD333" s="154"/>
      <c r="AE333" s="154"/>
      <c r="AF333" s="154"/>
      <c r="AG333" s="154"/>
      <c r="AH333" s="154"/>
      <c r="AI333" s="154"/>
      <c r="AJ333" s="154"/>
      <c r="AK333" s="154"/>
      <c r="AL333" s="154"/>
      <c r="AM333" s="154"/>
      <c r="AN333" s="154"/>
      <c r="AO333" s="154"/>
      <c r="AP333" s="154"/>
      <c r="AQ333" s="154"/>
      <c r="AR333" s="154"/>
      <c r="AS333" s="154"/>
      <c r="AT333" s="154"/>
      <c r="AU333" s="154"/>
      <c r="AV333" s="154"/>
      <c r="AW333" s="154"/>
      <c r="AX333" s="154"/>
      <c r="AY333" s="154"/>
    </row>
    <row r="334" spans="1:51">
      <c r="A334" s="154"/>
      <c r="B334" s="154"/>
      <c r="C334" s="154"/>
      <c r="D334" s="154"/>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c r="AA334" s="154"/>
      <c r="AB334" s="154"/>
      <c r="AC334" s="154"/>
      <c r="AD334" s="154"/>
      <c r="AE334" s="154"/>
      <c r="AF334" s="154"/>
      <c r="AG334" s="154"/>
      <c r="AH334" s="154"/>
      <c r="AI334" s="154"/>
      <c r="AJ334" s="154"/>
      <c r="AK334" s="154"/>
      <c r="AL334" s="154"/>
      <c r="AM334" s="154"/>
      <c r="AN334" s="154"/>
      <c r="AO334" s="154"/>
      <c r="AP334" s="154"/>
      <c r="AQ334" s="154"/>
      <c r="AR334" s="154"/>
      <c r="AS334" s="154"/>
      <c r="AT334" s="154"/>
      <c r="AU334" s="154"/>
      <c r="AV334" s="154"/>
      <c r="AW334" s="154"/>
      <c r="AX334" s="154"/>
      <c r="AY334" s="154"/>
    </row>
    <row r="335" spans="1:51">
      <c r="A335" s="154"/>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4"/>
      <c r="AG335" s="154"/>
      <c r="AH335" s="154"/>
      <c r="AI335" s="154"/>
      <c r="AJ335" s="154"/>
      <c r="AK335" s="154"/>
      <c r="AL335" s="154"/>
      <c r="AM335" s="154"/>
      <c r="AN335" s="154"/>
      <c r="AO335" s="154"/>
      <c r="AP335" s="154"/>
      <c r="AQ335" s="154"/>
      <c r="AR335" s="154"/>
      <c r="AS335" s="154"/>
      <c r="AT335" s="154"/>
      <c r="AU335" s="154"/>
      <c r="AV335" s="154"/>
      <c r="AW335" s="154"/>
      <c r="AX335" s="154"/>
      <c r="AY335" s="154"/>
    </row>
    <row r="336" spans="1:51">
      <c r="A336" s="154"/>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c r="AA336" s="154"/>
      <c r="AB336" s="154"/>
      <c r="AC336" s="154"/>
      <c r="AD336" s="154"/>
      <c r="AE336" s="154"/>
      <c r="AF336" s="154"/>
      <c r="AG336" s="154"/>
      <c r="AH336" s="154"/>
      <c r="AI336" s="154"/>
      <c r="AJ336" s="154"/>
      <c r="AK336" s="154"/>
      <c r="AL336" s="154"/>
      <c r="AM336" s="154"/>
      <c r="AN336" s="154"/>
      <c r="AO336" s="154"/>
      <c r="AP336" s="154"/>
      <c r="AQ336" s="154"/>
      <c r="AR336" s="154"/>
      <c r="AS336" s="154"/>
      <c r="AT336" s="154"/>
      <c r="AU336" s="154"/>
      <c r="AV336" s="154"/>
      <c r="AW336" s="154"/>
      <c r="AX336" s="154"/>
      <c r="AY336" s="15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0B4E8-3B76-4A46-A748-CE6CB9ED4B95}">
  <sheetPr codeName="Sheet17"/>
  <dimension ref="A1:AD144"/>
  <sheetViews>
    <sheetView showGridLines="0" zoomScale="75" zoomScaleNormal="75" workbookViewId="0">
      <selection activeCell="K88" sqref="K88"/>
    </sheetView>
  </sheetViews>
  <sheetFormatPr defaultColWidth="9.140625" defaultRowHeight="16.5"/>
  <cols>
    <col min="1" max="1" width="39.42578125" style="36" customWidth="1"/>
    <col min="2" max="21" width="11" style="36" customWidth="1"/>
    <col min="22" max="26" width="9.140625" style="36"/>
    <col min="27" max="27" width="10" style="36" bestFit="1" customWidth="1"/>
    <col min="28" max="16384" width="9.140625" style="36"/>
  </cols>
  <sheetData>
    <row r="1" spans="1:30">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c r="A2" s="31" t="s">
        <v>162</v>
      </c>
      <c r="B2" s="31"/>
      <c r="C2" s="31">
        <v>2020</v>
      </c>
      <c r="D2" s="31">
        <f>C2+1</f>
        <v>2021</v>
      </c>
      <c r="E2" s="31">
        <f t="shared" ref="E2:J2" si="0">D2+1</f>
        <v>2022</v>
      </c>
      <c r="F2" s="31">
        <f t="shared" si="0"/>
        <v>2023</v>
      </c>
      <c r="G2" s="31">
        <f t="shared" si="0"/>
        <v>2024</v>
      </c>
      <c r="H2" s="31">
        <f t="shared" si="0"/>
        <v>2025</v>
      </c>
      <c r="I2" s="31">
        <f t="shared" si="0"/>
        <v>2026</v>
      </c>
      <c r="J2" s="31">
        <f t="shared" si="0"/>
        <v>2027</v>
      </c>
      <c r="K2" s="115">
        <f t="shared" ref="K2:R2" si="1">J2+1</f>
        <v>2028</v>
      </c>
      <c r="L2" s="115">
        <f t="shared" si="1"/>
        <v>2029</v>
      </c>
      <c r="M2" s="115">
        <f t="shared" si="1"/>
        <v>2030</v>
      </c>
      <c r="N2" s="115">
        <f t="shared" si="1"/>
        <v>2031</v>
      </c>
      <c r="O2" s="115">
        <f t="shared" si="1"/>
        <v>2032</v>
      </c>
      <c r="P2" s="115">
        <f t="shared" si="1"/>
        <v>2033</v>
      </c>
      <c r="Q2" s="115">
        <f t="shared" si="1"/>
        <v>2034</v>
      </c>
      <c r="R2" s="115">
        <f t="shared" si="1"/>
        <v>2035</v>
      </c>
      <c r="S2" s="4"/>
      <c r="T2" s="1"/>
      <c r="U2" s="1"/>
      <c r="V2" s="1"/>
      <c r="W2" s="1"/>
      <c r="X2" s="1"/>
      <c r="Y2" s="1"/>
      <c r="Z2" s="1"/>
      <c r="AA2" s="1"/>
      <c r="AB2" s="1"/>
      <c r="AC2" s="1"/>
      <c r="AD2" s="1"/>
    </row>
    <row r="3" spans="1:30">
      <c r="A3" s="1" t="s">
        <v>203</v>
      </c>
      <c r="B3" s="2"/>
      <c r="C3" s="2">
        <f>Nigeria!G20</f>
        <v>16537</v>
      </c>
      <c r="D3" s="2">
        <f>Nigeria!H20</f>
        <v>16854</v>
      </c>
      <c r="E3" s="2">
        <f>Nigeria!I20</f>
        <v>16995</v>
      </c>
      <c r="F3" s="2">
        <f>Nigeria!J20</f>
        <v>16395</v>
      </c>
      <c r="G3" s="2">
        <f>Nigeria!K20</f>
        <v>16495</v>
      </c>
      <c r="H3" s="2">
        <f>Nigeria!L20</f>
        <v>16536.237499999999</v>
      </c>
      <c r="I3" s="2">
        <f>Nigeria!M20</f>
        <v>16618.918687499998</v>
      </c>
      <c r="J3" s="2">
        <f>Nigeria!N20</f>
        <v>16718.632199624997</v>
      </c>
      <c r="K3" s="2">
        <f>Nigeria!O20</f>
        <v>16835.662625022371</v>
      </c>
      <c r="L3" s="2">
        <f>Nigeria!P20</f>
        <v>16953.512263397526</v>
      </c>
      <c r="M3" s="2">
        <f>Nigeria!Q20</f>
        <v>17072.186849241309</v>
      </c>
      <c r="N3" s="2">
        <f>Nigeria!R20</f>
        <v>17191.692157185997</v>
      </c>
      <c r="O3" s="2">
        <f>Nigeria!S20</f>
        <v>17312.034002286298</v>
      </c>
      <c r="P3" s="2">
        <f>Nigeria!T20</f>
        <v>17433.2182403023</v>
      </c>
      <c r="Q3" s="2">
        <f>Nigeria!U20</f>
        <v>17555.250767984413</v>
      </c>
      <c r="R3" s="2">
        <f>Nigeria!V20</f>
        <v>17678.137523360303</v>
      </c>
      <c r="S3" s="2"/>
      <c r="T3" s="1"/>
      <c r="U3" s="1"/>
      <c r="V3" s="1"/>
      <c r="W3" s="6">
        <f>E3-D3</f>
        <v>141</v>
      </c>
      <c r="X3" s="1"/>
      <c r="Y3" s="1"/>
      <c r="Z3" s="1"/>
      <c r="AA3" s="1"/>
      <c r="AB3" s="1"/>
      <c r="AC3" s="1"/>
      <c r="AD3" s="1"/>
    </row>
    <row r="4" spans="1:30">
      <c r="A4" s="1" t="str">
        <f>SSA!A7</f>
        <v>Cote D'Ivoire</v>
      </c>
      <c r="B4" s="2"/>
      <c r="C4" s="2">
        <f>SSA!G48</f>
        <v>2702</v>
      </c>
      <c r="D4" s="2">
        <f>SSA!H48</f>
        <v>2693</v>
      </c>
      <c r="E4" s="2">
        <f>SSA!I48</f>
        <v>2699</v>
      </c>
      <c r="F4" s="2">
        <f>SSA!J48</f>
        <v>2694</v>
      </c>
      <c r="G4" s="2">
        <f>SSA!K48</f>
        <v>2682</v>
      </c>
      <c r="H4" s="2">
        <f>SSA!L48</f>
        <v>2665.9128264999999</v>
      </c>
      <c r="I4" s="2">
        <f>SSA!M48</f>
        <v>2681.8659032549999</v>
      </c>
      <c r="J4" s="2">
        <f>SSA!N48</f>
        <v>2695.1681722561748</v>
      </c>
      <c r="K4" s="2">
        <f>SSA!O48</f>
        <v>2705.73798926071</v>
      </c>
      <c r="L4" s="2">
        <f>SSA!P48</f>
        <v>2716.2496857881106</v>
      </c>
      <c r="M4" s="2">
        <f>SSA!Q48</f>
        <v>2726.7010424471327</v>
      </c>
      <c r="N4" s="2">
        <f>SSA!R48</f>
        <v>2737.0898012707567</v>
      </c>
      <c r="O4" s="2">
        <f>SSA!S48</f>
        <v>2747.4136651666081</v>
      </c>
      <c r="P4" s="2">
        <f>SSA!T48</f>
        <v>2757.6702973602501</v>
      </c>
      <c r="Q4" s="2">
        <f>SSA!U48</f>
        <v>2767.8573208312478</v>
      </c>
      <c r="R4" s="2">
        <f>SSA!V48</f>
        <v>2777.9723177419296</v>
      </c>
      <c r="S4" s="2"/>
      <c r="T4" s="1"/>
      <c r="U4" s="1"/>
      <c r="V4" s="1"/>
      <c r="W4" s="6">
        <f t="shared" ref="W4:W10" si="2">E4-D4</f>
        <v>6</v>
      </c>
      <c r="X4" s="1"/>
      <c r="Y4" s="1"/>
      <c r="Z4" s="1"/>
      <c r="AA4" s="1"/>
      <c r="AB4" s="1"/>
      <c r="AC4" s="1"/>
      <c r="AD4" s="1"/>
    </row>
    <row r="5" spans="1:30">
      <c r="A5" s="1" t="str">
        <f>SSA!A8</f>
        <v>Cameroon</v>
      </c>
      <c r="B5" s="2"/>
      <c r="C5" s="2">
        <f>SSA!G49</f>
        <v>2214</v>
      </c>
      <c r="D5" s="2">
        <f>SSA!H49</f>
        <v>2226</v>
      </c>
      <c r="E5" s="2">
        <f>SSA!I49</f>
        <v>2279</v>
      </c>
      <c r="F5" s="2">
        <f>SSA!J49</f>
        <v>2358</v>
      </c>
      <c r="G5" s="2">
        <f>SSA!K49</f>
        <v>2443</v>
      </c>
      <c r="H5" s="2">
        <f>SSA!L49</f>
        <v>2490.1303559999997</v>
      </c>
      <c r="I5" s="2">
        <f>SSA!M49</f>
        <v>2525.8723132649993</v>
      </c>
      <c r="J5" s="2">
        <f>SSA!N49</f>
        <v>2562.0800966396991</v>
      </c>
      <c r="K5" s="2">
        <f>SSA!O49</f>
        <v>2598.7594484505667</v>
      </c>
      <c r="L5" s="2">
        <f>SSA!P49</f>
        <v>2635.9161792879877</v>
      </c>
      <c r="M5" s="2">
        <f>SSA!Q49</f>
        <v>2673.5561687973118</v>
      </c>
      <c r="N5" s="2">
        <f>SSA!R49</f>
        <v>2711.6853664788932</v>
      </c>
      <c r="O5" s="2">
        <f>SSA!S49</f>
        <v>2750.3097924972267</v>
      </c>
      <c r="P5" s="2">
        <f>SSA!T49</f>
        <v>2789.4355384992791</v>
      </c>
      <c r="Q5" s="2">
        <f>SSA!U49</f>
        <v>2829.0687684421232</v>
      </c>
      <c r="R5" s="2">
        <f>SSA!V49</f>
        <v>2869.2157194299739</v>
      </c>
      <c r="S5" s="2"/>
      <c r="T5" s="1"/>
      <c r="U5" s="1"/>
      <c r="V5" s="1"/>
      <c r="W5" s="6">
        <f t="shared" si="2"/>
        <v>53</v>
      </c>
      <c r="X5" s="1"/>
      <c r="Y5" s="1"/>
      <c r="Z5" s="1"/>
      <c r="AA5" s="1"/>
      <c r="AB5" s="1"/>
      <c r="AC5" s="1"/>
      <c r="AD5" s="1"/>
    </row>
    <row r="6" spans="1:30">
      <c r="A6" s="1" t="str">
        <f>SSA!A9</f>
        <v>Zambia</v>
      </c>
      <c r="B6" s="2"/>
      <c r="C6" s="2">
        <f>SSA!G50</f>
        <v>1753</v>
      </c>
      <c r="D6" s="2">
        <f>SSA!H50</f>
        <v>1745</v>
      </c>
      <c r="E6" s="2">
        <f>SSA!I50</f>
        <v>1862</v>
      </c>
      <c r="F6" s="2">
        <f>SSA!J50</f>
        <v>1879</v>
      </c>
      <c r="G6" s="2">
        <f>SSA!K50</f>
        <v>1875</v>
      </c>
      <c r="H6" s="2">
        <f>SSA!L50</f>
        <v>1868.3593953749994</v>
      </c>
      <c r="I6" s="2">
        <f>SSA!M50</f>
        <v>1885.2878638361242</v>
      </c>
      <c r="J6" s="2">
        <f>SSA!N50</f>
        <v>1894.7143031553046</v>
      </c>
      <c r="K6" s="2">
        <f>SSA!O50</f>
        <v>1904.1878746710809</v>
      </c>
      <c r="L6" s="2">
        <f>SSA!P50</f>
        <v>1913.7088140444362</v>
      </c>
      <c r="M6" s="2">
        <f>SSA!Q50</f>
        <v>1923.2773581146582</v>
      </c>
      <c r="N6" s="2">
        <f>SSA!R50</f>
        <v>1932.8937449052314</v>
      </c>
      <c r="O6" s="2">
        <f>SSA!S50</f>
        <v>1942.5582136297573</v>
      </c>
      <c r="P6" s="2">
        <f>SSA!T50</f>
        <v>1952.2710046979059</v>
      </c>
      <c r="Q6" s="2">
        <f>SSA!U50</f>
        <v>1962.0323597213951</v>
      </c>
      <c r="R6" s="2">
        <f>SSA!V50</f>
        <v>1971.8425215200018</v>
      </c>
      <c r="S6" s="2"/>
      <c r="T6" s="1"/>
      <c r="U6" s="1"/>
      <c r="V6" s="1"/>
      <c r="W6" s="6">
        <f t="shared" si="2"/>
        <v>117</v>
      </c>
      <c r="X6" s="1"/>
      <c r="Y6" s="1"/>
      <c r="Z6" s="1"/>
      <c r="AA6" s="1">
        <v>47275</v>
      </c>
      <c r="AB6" s="1"/>
      <c r="AC6" s="1"/>
      <c r="AD6" s="1"/>
    </row>
    <row r="7" spans="1:30">
      <c r="A7" s="1" t="str">
        <f>SSA!A10</f>
        <v>Rwanda</v>
      </c>
      <c r="B7" s="2"/>
      <c r="C7" s="2">
        <f>SSA!G51</f>
        <v>958</v>
      </c>
      <c r="D7" s="2">
        <f>SSA!H51</f>
        <v>1214</v>
      </c>
      <c r="E7" s="2">
        <f>SSA!I51</f>
        <v>1319</v>
      </c>
      <c r="F7" s="2">
        <f>SSA!J51</f>
        <v>1434</v>
      </c>
      <c r="G7" s="2">
        <f>SSA!K51</f>
        <v>1462</v>
      </c>
      <c r="H7" s="2">
        <f>SSA!L51</f>
        <v>0</v>
      </c>
      <c r="I7" s="2">
        <f>SSA!M51</f>
        <v>0</v>
      </c>
      <c r="J7" s="2">
        <f>SSA!N51</f>
        <v>0</v>
      </c>
      <c r="K7" s="2">
        <f>SSA!O51</f>
        <v>0</v>
      </c>
      <c r="L7" s="2">
        <f>SSA!P51</f>
        <v>0</v>
      </c>
      <c r="M7" s="2">
        <f>SSA!Q51</f>
        <v>0</v>
      </c>
      <c r="N7" s="2">
        <f>SSA!R51</f>
        <v>0</v>
      </c>
      <c r="O7" s="2">
        <f>SSA!S51</f>
        <v>0</v>
      </c>
      <c r="P7" s="2">
        <f>SSA!T51</f>
        <v>0</v>
      </c>
      <c r="Q7" s="2">
        <f>SSA!U51</f>
        <v>0</v>
      </c>
      <c r="R7" s="2">
        <f>SSA!V51</f>
        <v>0</v>
      </c>
      <c r="S7" s="2"/>
      <c r="T7" s="1"/>
      <c r="U7" s="1"/>
      <c r="V7" s="1"/>
      <c r="W7" s="6">
        <f t="shared" si="2"/>
        <v>105</v>
      </c>
      <c r="X7" s="1"/>
      <c r="Y7" s="1"/>
      <c r="Z7" s="1"/>
      <c r="AA7" s="1">
        <v>31288</v>
      </c>
      <c r="AB7" s="1"/>
      <c r="AC7" s="1"/>
      <c r="AD7" s="1"/>
    </row>
    <row r="8" spans="1:30">
      <c r="A8" s="1" t="str">
        <f>MENA!A6</f>
        <v>Kuwait population</v>
      </c>
      <c r="B8" s="2"/>
      <c r="C8" s="2">
        <f>MENA!G18</f>
        <v>1162</v>
      </c>
      <c r="D8" s="2">
        <f>MENA!H18</f>
        <v>1402</v>
      </c>
      <c r="E8" s="2">
        <f>MENA!I18</f>
        <v>1531</v>
      </c>
      <c r="F8" s="2">
        <f>MENA!J18</f>
        <v>1672</v>
      </c>
      <c r="G8" s="2">
        <f>MENA!K18</f>
        <v>1675</v>
      </c>
      <c r="H8" s="2">
        <f>MENA!L18</f>
        <v>1813.7119874299997</v>
      </c>
      <c r="I8" s="2">
        <f>MENA!M18</f>
        <v>1865.4017070723996</v>
      </c>
      <c r="J8" s="2">
        <f>MENA!N18</f>
        <v>1917.9438499089049</v>
      </c>
      <c r="K8" s="2">
        <f>MENA!O18</f>
        <v>1971.3502954314326</v>
      </c>
      <c r="L8" s="2">
        <f>MENA!P18</f>
        <v>2025.6330754794203</v>
      </c>
      <c r="M8" s="2">
        <f>MENA!Q18</f>
        <v>2080.8043760988244</v>
      </c>
      <c r="N8" s="2">
        <f>MENA!R18</f>
        <v>2136.8765394230686</v>
      </c>
      <c r="O8" s="2">
        <f>MENA!S18</f>
        <v>2193.8620655761879</v>
      </c>
      <c r="P8" s="2">
        <f>MENA!T18</f>
        <v>2251.7736145984277</v>
      </c>
      <c r="Q8" s="2">
        <f>MENA!U18</f>
        <v>2310.624008394554</v>
      </c>
      <c r="R8" s="2">
        <f>MENA!V18</f>
        <v>2370.4262327051433</v>
      </c>
      <c r="S8" s="2"/>
      <c r="T8" s="1"/>
      <c r="U8" s="1"/>
      <c r="V8" s="1"/>
      <c r="W8" s="6">
        <f t="shared" si="2"/>
        <v>129</v>
      </c>
      <c r="X8" s="1"/>
      <c r="Y8" s="1"/>
      <c r="Z8" s="1"/>
      <c r="AA8" s="1">
        <f>AA6/AA7</f>
        <v>1.5109626693940168</v>
      </c>
      <c r="AB8" s="1"/>
      <c r="AC8" s="1"/>
      <c r="AD8" s="1"/>
    </row>
    <row r="9" spans="1:30">
      <c r="A9" s="1" t="s">
        <v>160</v>
      </c>
      <c r="B9" s="2"/>
      <c r="C9" s="2">
        <f>Latam!G42</f>
        <v>2481</v>
      </c>
      <c r="D9" s="2">
        <f>Latam!H42</f>
        <v>4909</v>
      </c>
      <c r="E9" s="2">
        <f>Latam!I42</f>
        <v>7276</v>
      </c>
      <c r="F9" s="2">
        <f>Latam!J42</f>
        <v>7952</v>
      </c>
      <c r="G9" s="2">
        <f>Latam!K42</f>
        <v>8579</v>
      </c>
      <c r="H9" s="2">
        <f>Latam!L42</f>
        <v>9002.9836957499992</v>
      </c>
      <c r="I9" s="2">
        <f>Latam!M42</f>
        <v>9451.9337809050012</v>
      </c>
      <c r="J9" s="2">
        <f>Latam!N42</f>
        <v>9851.6845487214014</v>
      </c>
      <c r="K9" s="2">
        <f>Latam!O42</f>
        <v>10218.384122736637</v>
      </c>
      <c r="L9" s="2">
        <f>Latam!P42</f>
        <v>10595.811005892994</v>
      </c>
      <c r="M9" s="2">
        <f>Latam!Q42</f>
        <v>10984.24761072651</v>
      </c>
      <c r="N9" s="2">
        <f>Latam!R42</f>
        <v>11383.983355351009</v>
      </c>
      <c r="O9" s="2">
        <f>Latam!S42</f>
        <v>11795.314830716197</v>
      </c>
      <c r="P9" s="2">
        <f>Latam!T42</f>
        <v>12218.545971753854</v>
      </c>
      <c r="Q9" s="2">
        <f>Latam!U42</f>
        <v>12653.988232500731</v>
      </c>
      <c r="R9" s="2">
        <f>Latam!V42</f>
        <v>13101.960765288781</v>
      </c>
      <c r="S9" s="2"/>
      <c r="T9" s="1"/>
      <c r="U9" s="1"/>
      <c r="V9" s="1"/>
      <c r="W9" s="6">
        <f t="shared" si="2"/>
        <v>2367</v>
      </c>
      <c r="X9" s="1"/>
      <c r="Y9" s="1"/>
      <c r="Z9" s="1"/>
      <c r="AA9" s="1"/>
      <c r="AB9" s="1"/>
      <c r="AC9" s="1"/>
      <c r="AD9" s="1"/>
    </row>
    <row r="10" spans="1:30" s="38" customFormat="1" ht="17.25" thickBot="1">
      <c r="A10" s="4" t="s">
        <v>181</v>
      </c>
      <c r="B10" s="116"/>
      <c r="C10" s="116">
        <f>SUM(C3:C9)</f>
        <v>27807</v>
      </c>
      <c r="D10" s="116">
        <f t="shared" ref="D10:J10" si="3">SUM(D3:D9)</f>
        <v>31043</v>
      </c>
      <c r="E10" s="116">
        <f t="shared" si="3"/>
        <v>33961</v>
      </c>
      <c r="F10" s="116">
        <f t="shared" si="3"/>
        <v>34384</v>
      </c>
      <c r="G10" s="116">
        <f t="shared" si="3"/>
        <v>35211</v>
      </c>
      <c r="H10" s="116">
        <f t="shared" si="3"/>
        <v>34377.335761055001</v>
      </c>
      <c r="I10" s="116">
        <f t="shared" si="3"/>
        <v>35029.280255833524</v>
      </c>
      <c r="J10" s="116">
        <f t="shared" si="3"/>
        <v>35640.223170306483</v>
      </c>
      <c r="K10" s="116">
        <f t="shared" ref="K10:R10" si="4">SUM(K3:K9)</f>
        <v>36234.082355572798</v>
      </c>
      <c r="L10" s="116">
        <f t="shared" si="4"/>
        <v>36840.831023890481</v>
      </c>
      <c r="M10" s="116">
        <f t="shared" si="4"/>
        <v>37460.773405425745</v>
      </c>
      <c r="N10" s="116">
        <f t="shared" si="4"/>
        <v>38094.220964614957</v>
      </c>
      <c r="O10" s="116">
        <f t="shared" si="4"/>
        <v>38741.49256987228</v>
      </c>
      <c r="P10" s="116">
        <f t="shared" si="4"/>
        <v>39402.914667212011</v>
      </c>
      <c r="Q10" s="116">
        <f t="shared" si="4"/>
        <v>40078.821457874466</v>
      </c>
      <c r="R10" s="116">
        <f t="shared" si="4"/>
        <v>40769.555080046128</v>
      </c>
      <c r="S10" s="40"/>
      <c r="T10" s="117">
        <f>(H10/C10)^(1/5)-1</f>
        <v>4.3334613735576566E-2</v>
      </c>
      <c r="U10" s="4"/>
      <c r="V10" s="4"/>
      <c r="W10" s="6">
        <f t="shared" si="2"/>
        <v>2918</v>
      </c>
      <c r="X10" s="4"/>
      <c r="Y10" s="4"/>
      <c r="Z10" s="4"/>
      <c r="AA10" s="4"/>
      <c r="AB10" s="4"/>
      <c r="AC10" s="4"/>
      <c r="AD10" s="4"/>
    </row>
    <row r="11" spans="1:30" s="38" customFormat="1">
      <c r="A11" s="4"/>
      <c r="B11" s="40"/>
      <c r="C11" s="40"/>
      <c r="D11" s="3">
        <f t="shared" ref="D11:J11" si="5">D10/C10-1</f>
        <v>0.11637357499910084</v>
      </c>
      <c r="E11" s="3">
        <f t="shared" si="5"/>
        <v>9.3998647037979666E-2</v>
      </c>
      <c r="F11" s="3">
        <f t="shared" si="5"/>
        <v>1.245546362003469E-2</v>
      </c>
      <c r="G11" s="3">
        <f t="shared" si="5"/>
        <v>2.4051884597487305E-2</v>
      </c>
      <c r="H11" s="3">
        <f t="shared" si="5"/>
        <v>-2.3676244325494866E-2</v>
      </c>
      <c r="I11" s="3">
        <f t="shared" si="5"/>
        <v>1.896436941216062E-2</v>
      </c>
      <c r="J11" s="3">
        <f t="shared" si="5"/>
        <v>1.7440921138287324E-2</v>
      </c>
      <c r="K11" s="3">
        <f t="shared" ref="K11:R11" si="6">K10/J10-1</f>
        <v>1.6662611298154939E-2</v>
      </c>
      <c r="L11" s="3">
        <f t="shared" si="6"/>
        <v>1.6745247260949725E-2</v>
      </c>
      <c r="M11" s="3">
        <f t="shared" si="6"/>
        <v>1.6827589506144491E-2</v>
      </c>
      <c r="N11" s="3">
        <f t="shared" si="6"/>
        <v>1.6909623096502013E-2</v>
      </c>
      <c r="O11" s="3">
        <f t="shared" si="6"/>
        <v>1.6991333301147327E-2</v>
      </c>
      <c r="P11" s="3">
        <f t="shared" si="6"/>
        <v>1.7072705604896932E-2</v>
      </c>
      <c r="Q11" s="3">
        <f t="shared" si="6"/>
        <v>1.7153725717272694E-2</v>
      </c>
      <c r="R11" s="3">
        <f t="shared" si="6"/>
        <v>1.7234379581187786E-2</v>
      </c>
      <c r="S11" s="3"/>
      <c r="T11" s="4"/>
      <c r="U11" s="4"/>
      <c r="V11" s="4"/>
      <c r="W11" s="4"/>
      <c r="X11" s="4"/>
      <c r="Y11" s="4"/>
      <c r="Z11" s="4"/>
      <c r="AA11" s="4"/>
      <c r="AB11" s="4"/>
      <c r="AC11" s="4"/>
      <c r="AD11" s="4"/>
    </row>
    <row r="12" spans="1:30" s="38" customFormat="1">
      <c r="A12" s="4" t="s">
        <v>356</v>
      </c>
      <c r="B12" s="40"/>
      <c r="C12" s="40"/>
      <c r="D12" s="118">
        <f>SUM(D3:D7)-SUM(C3:C7)</f>
        <v>568</v>
      </c>
      <c r="E12" s="118">
        <f t="shared" ref="E12:J12" si="7">SUM(E3:E7)-SUM(D3:D7)+D12</f>
        <v>990</v>
      </c>
      <c r="F12" s="118">
        <f t="shared" si="7"/>
        <v>596</v>
      </c>
      <c r="G12" s="118">
        <f t="shared" si="7"/>
        <v>793</v>
      </c>
      <c r="H12" s="118">
        <f t="shared" si="7"/>
        <v>-603.35992212500059</v>
      </c>
      <c r="I12" s="118">
        <f t="shared" si="7"/>
        <v>-452.05523214387722</v>
      </c>
      <c r="J12" s="118">
        <f t="shared" si="7"/>
        <v>-293.40522832382339</v>
      </c>
      <c r="K12" s="118">
        <f t="shared" ref="K12:R12" si="8">SUM(K3:K7)-SUM(J3:J7)+J12</f>
        <v>-119.65206259526894</v>
      </c>
      <c r="L12" s="118">
        <f t="shared" si="8"/>
        <v>55.386942518063734</v>
      </c>
      <c r="M12" s="118">
        <f t="shared" si="8"/>
        <v>231.72141860041302</v>
      </c>
      <c r="N12" s="118">
        <f t="shared" si="8"/>
        <v>409.3610698408811</v>
      </c>
      <c r="O12" s="118">
        <f t="shared" si="8"/>
        <v>588.31567357989115</v>
      </c>
      <c r="P12" s="118">
        <f t="shared" si="8"/>
        <v>768.59508085973357</v>
      </c>
      <c r="Q12" s="118">
        <f t="shared" si="8"/>
        <v>950.20921697917947</v>
      </c>
      <c r="R12" s="118">
        <f t="shared" si="8"/>
        <v>1133.1680820522051</v>
      </c>
      <c r="S12" s="118"/>
      <c r="T12" s="4"/>
      <c r="U12" s="4"/>
      <c r="V12" s="4"/>
      <c r="W12" s="4"/>
      <c r="X12" s="4"/>
      <c r="Y12" s="4"/>
      <c r="Z12" s="4"/>
      <c r="AA12" s="4"/>
      <c r="AB12" s="4"/>
      <c r="AC12" s="4"/>
      <c r="AD12" s="4"/>
    </row>
    <row r="13" spans="1:30">
      <c r="A13" s="1"/>
      <c r="B13" s="1"/>
      <c r="C13" s="1"/>
      <c r="D13" s="6"/>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0">
      <c r="A14" s="31" t="s">
        <v>2</v>
      </c>
      <c r="B14" s="31"/>
      <c r="C14" s="31">
        <v>2020</v>
      </c>
      <c r="D14" s="31">
        <f>C14+1</f>
        <v>2021</v>
      </c>
      <c r="E14" s="31">
        <f t="shared" ref="E14:J14" si="9">D14+1</f>
        <v>2022</v>
      </c>
      <c r="F14" s="31">
        <f t="shared" si="9"/>
        <v>2023</v>
      </c>
      <c r="G14" s="31">
        <f t="shared" si="9"/>
        <v>2024</v>
      </c>
      <c r="H14" s="31">
        <f t="shared" si="9"/>
        <v>2025</v>
      </c>
      <c r="I14" s="31">
        <f t="shared" si="9"/>
        <v>2026</v>
      </c>
      <c r="J14" s="31">
        <f t="shared" si="9"/>
        <v>2027</v>
      </c>
      <c r="K14" s="115">
        <f t="shared" ref="K14:R14" si="10">J14+1</f>
        <v>2028</v>
      </c>
      <c r="L14" s="115">
        <f t="shared" si="10"/>
        <v>2029</v>
      </c>
      <c r="M14" s="115">
        <f t="shared" si="10"/>
        <v>2030</v>
      </c>
      <c r="N14" s="115">
        <f t="shared" si="10"/>
        <v>2031</v>
      </c>
      <c r="O14" s="115">
        <f t="shared" si="10"/>
        <v>2032</v>
      </c>
      <c r="P14" s="115">
        <f t="shared" si="10"/>
        <v>2033</v>
      </c>
      <c r="Q14" s="115">
        <f t="shared" si="10"/>
        <v>2034</v>
      </c>
      <c r="R14" s="115">
        <f t="shared" si="10"/>
        <v>2035</v>
      </c>
      <c r="S14" s="4"/>
      <c r="T14" s="1"/>
      <c r="U14" s="1"/>
      <c r="V14" s="1"/>
      <c r="W14" s="1"/>
      <c r="X14" s="1"/>
      <c r="Y14" s="1"/>
      <c r="Z14" s="1"/>
      <c r="AA14" s="1"/>
      <c r="AB14" s="1"/>
      <c r="AC14" s="1"/>
      <c r="AD14" s="1"/>
    </row>
    <row r="15" spans="1:30">
      <c r="A15" s="1" t="str">
        <f t="shared" ref="A15:A21" si="11">A3</f>
        <v>Nigeria</v>
      </c>
      <c r="B15" s="2"/>
      <c r="C15" s="2">
        <f>Nigeria!G39</f>
        <v>24834</v>
      </c>
      <c r="D15" s="2">
        <f>Nigeria!H39</f>
        <v>25621</v>
      </c>
      <c r="E15" s="2">
        <f>Nigeria!I39</f>
        <v>26210</v>
      </c>
      <c r="F15" s="2">
        <f>Nigeria!J39</f>
        <v>26009</v>
      </c>
      <c r="G15" s="2">
        <f>Nigeria!K39</f>
        <v>25740</v>
      </c>
      <c r="H15" s="2">
        <f>Nigeria!L39</f>
        <v>26127.255249999998</v>
      </c>
      <c r="I15" s="2">
        <f>Nigeria!M39</f>
        <v>27255.026647499995</v>
      </c>
      <c r="J15" s="2">
        <f>Nigeria!N39</f>
        <v>27752.929451377495</v>
      </c>
      <c r="K15" s="2">
        <f>Nigeria!O39</f>
        <v>28283.913210037583</v>
      </c>
      <c r="L15" s="2">
        <f>Nigeria!P39</f>
        <v>28820.970847775792</v>
      </c>
      <c r="M15" s="2">
        <f>Nigeria!Q39</f>
        <v>29193.439512202636</v>
      </c>
      <c r="N15" s="2">
        <f>Nigeria!R39</f>
        <v>29397.793588788052</v>
      </c>
      <c r="O15" s="2">
        <f>Nigeria!S39</f>
        <v>29603.57814390957</v>
      </c>
      <c r="P15" s="2">
        <f>Nigeria!T39</f>
        <v>29810.803190916933</v>
      </c>
      <c r="Q15" s="2">
        <f>Nigeria!U39</f>
        <v>30019.478813253347</v>
      </c>
      <c r="R15" s="2">
        <f>Nigeria!V39</f>
        <v>30229.615164946117</v>
      </c>
      <c r="S15" s="2"/>
      <c r="T15" s="1"/>
      <c r="U15" s="1"/>
      <c r="V15" s="1"/>
      <c r="W15" s="1"/>
      <c r="X15" s="1"/>
      <c r="Y15" s="1"/>
      <c r="Z15" s="1"/>
      <c r="AA15" s="1"/>
      <c r="AB15" s="1"/>
      <c r="AC15" s="1"/>
      <c r="AD15" s="1"/>
    </row>
    <row r="16" spans="1:30">
      <c r="A16" s="1" t="str">
        <f t="shared" si="11"/>
        <v>Cote D'Ivoire</v>
      </c>
      <c r="B16" s="2"/>
      <c r="C16" s="2">
        <f>SSA!G65</f>
        <v>4769</v>
      </c>
      <c r="D16" s="2">
        <f>SSA!H65</f>
        <v>4750</v>
      </c>
      <c r="E16" s="2">
        <f>SSA!I65</f>
        <v>4846</v>
      </c>
      <c r="F16" s="2">
        <f>SSA!J65</f>
        <v>4871</v>
      </c>
      <c r="G16" s="2">
        <f>SSA!K65</f>
        <v>4939</v>
      </c>
      <c r="H16" s="2">
        <f>SSA!L65</f>
        <v>4985.256985555</v>
      </c>
      <c r="I16" s="2">
        <f>SSA!M65</f>
        <v>5082.1358866682249</v>
      </c>
      <c r="J16" s="2">
        <f>SSA!N65</f>
        <v>5174.7228907318558</v>
      </c>
      <c r="K16" s="2">
        <f>SSA!O65</f>
        <v>5262.6603891120803</v>
      </c>
      <c r="L16" s="2">
        <f>SSA!P65</f>
        <v>5351.011881002577</v>
      </c>
      <c r="M16" s="2">
        <f>SSA!Q65</f>
        <v>5439.7685796820288</v>
      </c>
      <c r="N16" s="2">
        <f>SSA!R65</f>
        <v>5528.9213985669276</v>
      </c>
      <c r="O16" s="2">
        <f>SSA!S65</f>
        <v>5618.4609452657123</v>
      </c>
      <c r="P16" s="2">
        <f>SSA!T65</f>
        <v>5708.3775155357162</v>
      </c>
      <c r="Q16" s="2">
        <f>SSA!U65</f>
        <v>5798.6610871414623</v>
      </c>
      <c r="R16" s="2">
        <f>SSA!V65</f>
        <v>5889.3013136128884</v>
      </c>
      <c r="S16" s="2"/>
      <c r="T16" s="1"/>
      <c r="U16" s="1"/>
      <c r="V16" s="1"/>
      <c r="W16" s="1"/>
      <c r="X16" s="1"/>
      <c r="Y16" s="1"/>
      <c r="Z16" s="1"/>
      <c r="AA16" s="1"/>
      <c r="AB16" s="1"/>
      <c r="AC16" s="1"/>
      <c r="AD16" s="1"/>
    </row>
    <row r="17" spans="1:30">
      <c r="A17" s="1" t="str">
        <f t="shared" si="11"/>
        <v>Cameroon</v>
      </c>
      <c r="B17" s="2"/>
      <c r="C17" s="2">
        <f>SSA!G66</f>
        <v>3648</v>
      </c>
      <c r="D17" s="2">
        <f>SSA!H66</f>
        <v>3344</v>
      </c>
      <c r="E17" s="2">
        <f>SSA!I66</f>
        <v>3444</v>
      </c>
      <c r="F17" s="2">
        <f>SSA!J66</f>
        <v>3743</v>
      </c>
      <c r="G17" s="2">
        <f>SSA!K66</f>
        <v>3899</v>
      </c>
      <c r="H17" s="2">
        <f>SSA!L66</f>
        <v>4034.0111767199996</v>
      </c>
      <c r="I17" s="2">
        <f>SSA!M66</f>
        <v>4155.059955320924</v>
      </c>
      <c r="J17" s="2">
        <f>SSA!N66</f>
        <v>4278.673761388297</v>
      </c>
      <c r="K17" s="2">
        <f>SSA!O66</f>
        <v>4404.89726512371</v>
      </c>
      <c r="L17" s="2">
        <f>SSA!P66</f>
        <v>4533.7758283753383</v>
      </c>
      <c r="M17" s="2">
        <f>SSA!Q66</f>
        <v>4665.3555145513083</v>
      </c>
      <c r="N17" s="2">
        <f>SSA!R66</f>
        <v>4799.6830986676396</v>
      </c>
      <c r="O17" s="2">
        <f>SSA!S66</f>
        <v>4936.8060775325202</v>
      </c>
      <c r="P17" s="2">
        <f>SSA!T66</f>
        <v>5076.772680068686</v>
      </c>
      <c r="Q17" s="2">
        <f>SSA!U66</f>
        <v>5219.6318777757151</v>
      </c>
      <c r="R17" s="2">
        <f>SSA!V66</f>
        <v>5365.4333953340492</v>
      </c>
      <c r="S17" s="2"/>
      <c r="T17" s="1"/>
      <c r="U17" s="1"/>
      <c r="V17" s="1"/>
      <c r="W17" s="1"/>
      <c r="X17" s="1"/>
      <c r="Y17" s="1"/>
      <c r="Z17" s="1"/>
      <c r="AA17" s="1"/>
      <c r="AB17" s="1"/>
      <c r="AC17" s="1"/>
      <c r="AD17" s="1"/>
    </row>
    <row r="18" spans="1:30">
      <c r="A18" s="1" t="str">
        <f t="shared" si="11"/>
        <v>Zambia</v>
      </c>
      <c r="B18" s="2"/>
      <c r="C18" s="2">
        <f>SSA!G67</f>
        <v>3240</v>
      </c>
      <c r="D18" s="2">
        <f>SSA!H67</f>
        <v>2799</v>
      </c>
      <c r="E18" s="2">
        <f>SSA!I67</f>
        <v>2922</v>
      </c>
      <c r="F18" s="2">
        <f>SSA!J67</f>
        <v>2942</v>
      </c>
      <c r="G18" s="2">
        <f>SSA!K67</f>
        <v>3308</v>
      </c>
      <c r="H18" s="2">
        <f>SSA!L67</f>
        <v>3512.5156633049987</v>
      </c>
      <c r="I18" s="2">
        <f>SSA!M67</f>
        <v>3591.4733806078161</v>
      </c>
      <c r="J18" s="2">
        <f>SSA!N67</f>
        <v>3656.7986050897375</v>
      </c>
      <c r="K18" s="2">
        <f>SSA!O67</f>
        <v>3722.6872949819622</v>
      </c>
      <c r="L18" s="2">
        <f>SSA!P67</f>
        <v>3789.1434518079827</v>
      </c>
      <c r="M18" s="2">
        <f>SSA!Q67</f>
        <v>3856.1711030198885</v>
      </c>
      <c r="N18" s="2">
        <f>SSA!R67</f>
        <v>3923.7743021576184</v>
      </c>
      <c r="O18" s="2">
        <f>SSA!S67</f>
        <v>3991.9571290091499</v>
      </c>
      <c r="P18" s="2">
        <f>SSA!T67</f>
        <v>4060.723689771643</v>
      </c>
      <c r="Q18" s="2">
        <f>SSA!U67</f>
        <v>4130.0781172135348</v>
      </c>
      <c r="R18" s="2">
        <f>SSA!V67</f>
        <v>4200.0245708376015</v>
      </c>
      <c r="S18" s="2"/>
      <c r="T18" s="1"/>
      <c r="U18" s="1"/>
      <c r="V18" s="1"/>
      <c r="W18" s="1"/>
      <c r="X18" s="1"/>
      <c r="Y18" s="1"/>
      <c r="Z18" s="1"/>
      <c r="AA18" s="1"/>
      <c r="AB18" s="1"/>
      <c r="AC18" s="1"/>
      <c r="AD18" s="1"/>
    </row>
    <row r="19" spans="1:30">
      <c r="A19" s="1" t="str">
        <f t="shared" si="11"/>
        <v>Rwanda</v>
      </c>
      <c r="B19" s="2"/>
      <c r="C19" s="2">
        <f>SSA!G68</f>
        <v>2383</v>
      </c>
      <c r="D19" s="2">
        <f>SSA!H68</f>
        <v>2523</v>
      </c>
      <c r="E19" s="2">
        <f>SSA!I68</f>
        <v>2673</v>
      </c>
      <c r="F19" s="2">
        <f>SSA!J68</f>
        <v>2786</v>
      </c>
      <c r="G19" s="2">
        <f>SSA!K68</f>
        <v>3000</v>
      </c>
      <c r="H19" s="2">
        <f>SSA!L68</f>
        <v>0</v>
      </c>
      <c r="I19" s="2">
        <f>SSA!M68</f>
        <v>0</v>
      </c>
      <c r="J19" s="2">
        <f>SSA!N68</f>
        <v>0</v>
      </c>
      <c r="K19" s="2">
        <f>SSA!O68</f>
        <v>0</v>
      </c>
      <c r="L19" s="2">
        <f>SSA!P68</f>
        <v>0</v>
      </c>
      <c r="M19" s="2">
        <f>SSA!Q68</f>
        <v>0</v>
      </c>
      <c r="N19" s="2">
        <f>SSA!R68</f>
        <v>0</v>
      </c>
      <c r="O19" s="2">
        <f>SSA!S68</f>
        <v>0</v>
      </c>
      <c r="P19" s="2">
        <f>SSA!T68</f>
        <v>0</v>
      </c>
      <c r="Q19" s="2">
        <f>SSA!U68</f>
        <v>0</v>
      </c>
      <c r="R19" s="2">
        <f>SSA!V68</f>
        <v>0</v>
      </c>
      <c r="S19" s="2"/>
      <c r="T19" s="1"/>
      <c r="U19" s="1"/>
      <c r="V19" s="1"/>
      <c r="W19" s="1"/>
      <c r="X19" s="1"/>
      <c r="Y19" s="1"/>
      <c r="Z19" s="1"/>
      <c r="AA19" s="1"/>
      <c r="AB19" s="1"/>
      <c r="AC19" s="1"/>
      <c r="AD19" s="1"/>
    </row>
    <row r="20" spans="1:30">
      <c r="A20" s="1" t="str">
        <f t="shared" si="11"/>
        <v>Kuwait population</v>
      </c>
      <c r="B20" s="2"/>
      <c r="C20" s="2">
        <f>MENA!G30</f>
        <v>1162</v>
      </c>
      <c r="D20" s="2">
        <f>MENA!H30</f>
        <v>1416</v>
      </c>
      <c r="E20" s="2">
        <f>MENA!I30</f>
        <v>1546</v>
      </c>
      <c r="F20" s="2">
        <f>MENA!J30</f>
        <v>1696</v>
      </c>
      <c r="G20" s="2">
        <f>MENA!K30</f>
        <v>1697</v>
      </c>
      <c r="H20" s="2">
        <f>MENA!L30</f>
        <v>1846.602436157275</v>
      </c>
      <c r="I20" s="2">
        <f>MENA!M30</f>
        <v>1908.5565226837757</v>
      </c>
      <c r="J20" s="2">
        <f>MENA!N30</f>
        <v>1971.903911954849</v>
      </c>
      <c r="K20" s="2">
        <f>MENA!O30</f>
        <v>2036.6696634293094</v>
      </c>
      <c r="L20" s="2">
        <f>MENA!P30</f>
        <v>2102.8792323130001</v>
      </c>
      <c r="M20" s="2">
        <f>MENA!Q30</f>
        <v>2170.5584753066682</v>
      </c>
      <c r="N20" s="2">
        <f>MENA!R30</f>
        <v>2239.7336564326106</v>
      </c>
      <c r="O20" s="2">
        <f>MENA!S30</f>
        <v>2310.4314529411299</v>
      </c>
      <c r="P20" s="2">
        <f>MENA!T30</f>
        <v>2382.6789612978419</v>
      </c>
      <c r="Q20" s="2">
        <f>MENA!U30</f>
        <v>2456.5037032528944</v>
      </c>
      <c r="R20" s="2">
        <f>MENA!V30</f>
        <v>2531.9336319931854</v>
      </c>
      <c r="S20" s="2"/>
      <c r="T20" s="1"/>
      <c r="U20" s="1"/>
      <c r="V20" s="1"/>
      <c r="W20" s="1"/>
      <c r="X20" s="1"/>
      <c r="Y20" s="1"/>
      <c r="Z20" s="1"/>
      <c r="AA20" s="1"/>
      <c r="AB20" s="1"/>
      <c r="AC20" s="1"/>
      <c r="AD20" s="1"/>
    </row>
    <row r="21" spans="1:30">
      <c r="A21" s="1" t="str">
        <f t="shared" si="11"/>
        <v>Latam</v>
      </c>
      <c r="B21" s="2"/>
      <c r="C21" s="2">
        <f>Latam!G59</f>
        <v>3245</v>
      </c>
      <c r="D21" s="2">
        <f>Latam!H59</f>
        <v>5961</v>
      </c>
      <c r="E21" s="2">
        <f>Latam!I59</f>
        <v>9781</v>
      </c>
      <c r="F21" s="2">
        <f>Latam!J59</f>
        <v>10429</v>
      </c>
      <c r="G21" s="2">
        <f>Latam!K59</f>
        <v>11175</v>
      </c>
      <c r="H21" s="2">
        <f>Latam!L59</f>
        <v>11883.93847839</v>
      </c>
      <c r="I21" s="2">
        <f>Latam!M59</f>
        <v>12571.071928603653</v>
      </c>
      <c r="J21" s="2">
        <f>Latam!N59</f>
        <v>13201.257295286679</v>
      </c>
      <c r="K21" s="2">
        <f>Latam!O59</f>
        <v>13794.818565694461</v>
      </c>
      <c r="L21" s="2">
        <f>Latam!P59</f>
        <v>14410.302968014474</v>
      </c>
      <c r="M21" s="2">
        <f>Latam!Q59</f>
        <v>15048.41922669532</v>
      </c>
      <c r="N21" s="2">
        <f>Latam!R59</f>
        <v>15709.897030384394</v>
      </c>
      <c r="O21" s="2">
        <f>Latam!S59</f>
        <v>16395.487614695518</v>
      </c>
      <c r="P21" s="2">
        <f>Latam!T59</f>
        <v>17105.964360455397</v>
      </c>
      <c r="Q21" s="2">
        <f>Latam!U59</f>
        <v>17842.123407826031</v>
      </c>
      <c r="R21" s="2">
        <f>Latam!V59</f>
        <v>18604.78428671007</v>
      </c>
      <c r="S21" s="2"/>
      <c r="T21" s="1"/>
      <c r="U21" s="1"/>
      <c r="V21" s="1"/>
      <c r="W21" s="1"/>
      <c r="X21" s="1"/>
      <c r="Y21" s="1"/>
      <c r="Z21" s="1"/>
      <c r="AA21" s="1"/>
      <c r="AB21" s="1"/>
      <c r="AC21" s="1"/>
      <c r="AD21" s="1"/>
    </row>
    <row r="22" spans="1:30" s="38" customFormat="1" ht="17.25" thickBot="1">
      <c r="A22" s="4"/>
      <c r="B22" s="116"/>
      <c r="C22" s="116">
        <f>SUM(C15:C21)</f>
        <v>43281</v>
      </c>
      <c r="D22" s="116">
        <f t="shared" ref="D22:J22" si="12">SUM(D15:D21)</f>
        <v>46414</v>
      </c>
      <c r="E22" s="116">
        <f t="shared" si="12"/>
        <v>51422</v>
      </c>
      <c r="F22" s="116">
        <f t="shared" si="12"/>
        <v>52476</v>
      </c>
      <c r="G22" s="116">
        <f t="shared" si="12"/>
        <v>53758</v>
      </c>
      <c r="H22" s="116">
        <f t="shared" si="12"/>
        <v>52389.579990127277</v>
      </c>
      <c r="I22" s="116">
        <f t="shared" si="12"/>
        <v>54563.324321384389</v>
      </c>
      <c r="J22" s="116">
        <f t="shared" si="12"/>
        <v>56036.285915828907</v>
      </c>
      <c r="K22" s="116">
        <f t="shared" ref="K22:R22" si="13">SUM(K15:K21)</f>
        <v>57505.646388379108</v>
      </c>
      <c r="L22" s="116">
        <f t="shared" si="13"/>
        <v>59008.084209289162</v>
      </c>
      <c r="M22" s="116">
        <f t="shared" si="13"/>
        <v>60373.71241145784</v>
      </c>
      <c r="N22" s="116">
        <f t="shared" si="13"/>
        <v>61599.803074997239</v>
      </c>
      <c r="O22" s="116">
        <f t="shared" si="13"/>
        <v>62856.721363353601</v>
      </c>
      <c r="P22" s="116">
        <f t="shared" si="13"/>
        <v>64145.320398046213</v>
      </c>
      <c r="Q22" s="116">
        <f t="shared" si="13"/>
        <v>65466.477006462985</v>
      </c>
      <c r="R22" s="116">
        <f t="shared" si="13"/>
        <v>66821.092363433912</v>
      </c>
      <c r="S22" s="40"/>
      <c r="T22" s="117">
        <f>(H22/C22)^(1/5)-1</f>
        <v>3.8937748348272239E-2</v>
      </c>
      <c r="U22" s="4"/>
      <c r="V22" s="4"/>
      <c r="W22" s="4"/>
      <c r="X22" s="4"/>
      <c r="Y22" s="4"/>
      <c r="Z22" s="4"/>
      <c r="AA22" s="4"/>
      <c r="AB22" s="4"/>
      <c r="AC22" s="4"/>
      <c r="AD22" s="4"/>
    </row>
    <row r="23" spans="1:30">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row>
    <row r="24" spans="1:30">
      <c r="A24" s="25" t="s">
        <v>1</v>
      </c>
      <c r="B24" s="31"/>
      <c r="C24" s="31">
        <v>2020</v>
      </c>
      <c r="D24" s="31">
        <f>C24+1</f>
        <v>2021</v>
      </c>
      <c r="E24" s="31">
        <f t="shared" ref="E24:J24" si="14">D24+1</f>
        <v>2022</v>
      </c>
      <c r="F24" s="31">
        <f t="shared" si="14"/>
        <v>2023</v>
      </c>
      <c r="G24" s="31">
        <f t="shared" si="14"/>
        <v>2024</v>
      </c>
      <c r="H24" s="31">
        <f t="shared" si="14"/>
        <v>2025</v>
      </c>
      <c r="I24" s="31">
        <f t="shared" si="14"/>
        <v>2026</v>
      </c>
      <c r="J24" s="31">
        <f t="shared" si="14"/>
        <v>2027</v>
      </c>
      <c r="K24" s="115">
        <f t="shared" ref="K24:R24" si="15">J24+1</f>
        <v>2028</v>
      </c>
      <c r="L24" s="115">
        <f t="shared" si="15"/>
        <v>2029</v>
      </c>
      <c r="M24" s="115">
        <f t="shared" si="15"/>
        <v>2030</v>
      </c>
      <c r="N24" s="115">
        <f t="shared" si="15"/>
        <v>2031</v>
      </c>
      <c r="O24" s="115">
        <f t="shared" si="15"/>
        <v>2032</v>
      </c>
      <c r="P24" s="115">
        <f t="shared" si="15"/>
        <v>2033</v>
      </c>
      <c r="Q24" s="115">
        <f t="shared" si="15"/>
        <v>2034</v>
      </c>
      <c r="R24" s="115">
        <f t="shared" si="15"/>
        <v>2035</v>
      </c>
      <c r="S24" s="4"/>
      <c r="T24" s="1"/>
      <c r="U24" s="1"/>
      <c r="V24" s="1"/>
      <c r="W24" s="1"/>
      <c r="X24" s="1"/>
      <c r="Y24" s="1"/>
      <c r="Z24" s="1"/>
      <c r="AA24" s="1"/>
      <c r="AB24" s="1"/>
      <c r="AC24" s="1"/>
      <c r="AD24" s="1"/>
    </row>
    <row r="25" spans="1:30">
      <c r="A25" s="1" t="str">
        <f t="shared" ref="A25:A31" si="16">A15</f>
        <v>Nigeria</v>
      </c>
      <c r="B25" s="27"/>
      <c r="C25" s="27">
        <f t="shared" ref="C25:C32" si="17">C15/C3</f>
        <v>1.5017234081151358</v>
      </c>
      <c r="D25" s="27">
        <f t="shared" ref="D25:J25" si="18">D15/D3</f>
        <v>1.5201732526403229</v>
      </c>
      <c r="E25" s="27">
        <f t="shared" si="18"/>
        <v>1.542218299499853</v>
      </c>
      <c r="F25" s="27">
        <f t="shared" si="18"/>
        <v>1.5863982921622446</v>
      </c>
      <c r="G25" s="27">
        <f t="shared" si="18"/>
        <v>1.5604728705668385</v>
      </c>
      <c r="H25" s="27">
        <f t="shared" si="18"/>
        <v>1.58</v>
      </c>
      <c r="I25" s="27">
        <f t="shared" si="18"/>
        <v>1.64</v>
      </c>
      <c r="J25" s="27">
        <f t="shared" si="18"/>
        <v>1.66</v>
      </c>
      <c r="K25" s="27">
        <f t="shared" ref="K25:L32" si="19">K15/K3</f>
        <v>1.68</v>
      </c>
      <c r="L25" s="27">
        <f t="shared" si="19"/>
        <v>1.7</v>
      </c>
      <c r="M25" s="27">
        <f t="shared" ref="M25:O25" si="20">M15/M3</f>
        <v>1.71</v>
      </c>
      <c r="N25" s="27">
        <f t="shared" si="20"/>
        <v>1.71</v>
      </c>
      <c r="O25" s="27">
        <f t="shared" si="20"/>
        <v>1.71</v>
      </c>
      <c r="P25" s="27">
        <f t="shared" ref="P25:R25" si="21">P15/P3</f>
        <v>1.71</v>
      </c>
      <c r="Q25" s="27">
        <f t="shared" si="21"/>
        <v>1.71</v>
      </c>
      <c r="R25" s="27">
        <f t="shared" si="21"/>
        <v>1.71</v>
      </c>
      <c r="S25" s="27"/>
      <c r="T25" s="1"/>
      <c r="U25" s="1"/>
      <c r="V25" s="1"/>
      <c r="W25" s="1"/>
      <c r="X25" s="1"/>
      <c r="Y25" s="1"/>
      <c r="Z25" s="1"/>
      <c r="AA25" s="1"/>
      <c r="AB25" s="1"/>
      <c r="AC25" s="1"/>
      <c r="AD25" s="1"/>
    </row>
    <row r="26" spans="1:30">
      <c r="A26" s="1" t="str">
        <f t="shared" si="16"/>
        <v>Cote D'Ivoire</v>
      </c>
      <c r="B26" s="27"/>
      <c r="C26" s="27">
        <f t="shared" si="17"/>
        <v>1.7649888971132495</v>
      </c>
      <c r="D26" s="27">
        <f t="shared" ref="D26:J26" si="22">D16/D4</f>
        <v>1.7638321574452285</v>
      </c>
      <c r="E26" s="27">
        <f t="shared" si="22"/>
        <v>1.7954798073360503</v>
      </c>
      <c r="F26" s="27">
        <f t="shared" si="22"/>
        <v>1.8080920564216778</v>
      </c>
      <c r="G26" s="27">
        <f t="shared" si="22"/>
        <v>1.8415361670395227</v>
      </c>
      <c r="H26" s="27">
        <f t="shared" si="22"/>
        <v>1.87</v>
      </c>
      <c r="I26" s="27">
        <f t="shared" si="22"/>
        <v>1.895</v>
      </c>
      <c r="J26" s="27">
        <f t="shared" si="22"/>
        <v>1.9200000000000002</v>
      </c>
      <c r="K26" s="27">
        <f t="shared" si="19"/>
        <v>1.9449999999999998</v>
      </c>
      <c r="L26" s="27">
        <f t="shared" si="19"/>
        <v>1.9699999999999998</v>
      </c>
      <c r="M26" s="27">
        <f t="shared" ref="M26:O26" si="23">M16/M4</f>
        <v>1.9949999999999997</v>
      </c>
      <c r="N26" s="27">
        <f t="shared" si="23"/>
        <v>2.0199999999999996</v>
      </c>
      <c r="O26" s="27">
        <f t="shared" si="23"/>
        <v>2.0449999999999995</v>
      </c>
      <c r="P26" s="27">
        <f t="shared" ref="P26:R26" si="24">P16/P4</f>
        <v>2.0699999999999994</v>
      </c>
      <c r="Q26" s="27">
        <f t="shared" si="24"/>
        <v>2.0949999999999993</v>
      </c>
      <c r="R26" s="27">
        <f t="shared" si="24"/>
        <v>2.1199999999999992</v>
      </c>
      <c r="S26" s="27"/>
      <c r="T26" s="1"/>
      <c r="U26" s="1"/>
      <c r="V26" s="1"/>
      <c r="W26" s="1"/>
      <c r="X26" s="1"/>
      <c r="Y26" s="1"/>
      <c r="Z26" s="1"/>
      <c r="AA26" s="1"/>
      <c r="AB26" s="1"/>
      <c r="AC26" s="1"/>
      <c r="AD26" s="1"/>
    </row>
    <row r="27" spans="1:30">
      <c r="A27" s="1" t="str">
        <f t="shared" si="16"/>
        <v>Cameroon</v>
      </c>
      <c r="B27" s="27"/>
      <c r="C27" s="27">
        <f t="shared" si="17"/>
        <v>1.6476964769647697</v>
      </c>
      <c r="D27" s="27">
        <f t="shared" ref="D27:J27" si="25">D17/D5</f>
        <v>1.5022461814914645</v>
      </c>
      <c r="E27" s="27">
        <f t="shared" si="25"/>
        <v>1.5111891180342256</v>
      </c>
      <c r="F27" s="27">
        <f t="shared" si="25"/>
        <v>1.587362171331637</v>
      </c>
      <c r="G27" s="27">
        <f t="shared" si="25"/>
        <v>1.5959885386819483</v>
      </c>
      <c r="H27" s="27">
        <f t="shared" si="25"/>
        <v>1.62</v>
      </c>
      <c r="I27" s="27">
        <f t="shared" si="25"/>
        <v>1.645</v>
      </c>
      <c r="J27" s="27">
        <f t="shared" si="25"/>
        <v>1.6699999999999997</v>
      </c>
      <c r="K27" s="27">
        <f t="shared" si="19"/>
        <v>1.6949999999999998</v>
      </c>
      <c r="L27" s="27">
        <f t="shared" si="19"/>
        <v>1.7199999999999998</v>
      </c>
      <c r="M27" s="27">
        <f t="shared" ref="M27:O27" si="26">M17/M5</f>
        <v>1.7449999999999997</v>
      </c>
      <c r="N27" s="27">
        <f t="shared" si="26"/>
        <v>1.7699999999999996</v>
      </c>
      <c r="O27" s="27">
        <f t="shared" si="26"/>
        <v>1.7949999999999995</v>
      </c>
      <c r="P27" s="27">
        <f t="shared" ref="P27:R27" si="27">P17/P5</f>
        <v>1.8199999999999992</v>
      </c>
      <c r="Q27" s="27">
        <f t="shared" si="27"/>
        <v>1.8449999999999993</v>
      </c>
      <c r="R27" s="27">
        <f t="shared" si="27"/>
        <v>1.8699999999999992</v>
      </c>
      <c r="S27" s="27"/>
      <c r="T27" s="1"/>
      <c r="U27" s="1"/>
      <c r="V27" s="1"/>
      <c r="W27" s="1"/>
      <c r="X27" s="1"/>
      <c r="Y27" s="1"/>
      <c r="Z27" s="1"/>
      <c r="AA27" s="1"/>
      <c r="AB27" s="1"/>
      <c r="AC27" s="1"/>
      <c r="AD27" s="1"/>
    </row>
    <row r="28" spans="1:30">
      <c r="A28" s="1" t="str">
        <f t="shared" si="16"/>
        <v>Zambia</v>
      </c>
      <c r="B28" s="27"/>
      <c r="C28" s="27">
        <f t="shared" si="17"/>
        <v>1.8482601254991444</v>
      </c>
      <c r="D28" s="27">
        <f t="shared" ref="D28:J28" si="28">D18/D6</f>
        <v>1.6040114613180516</v>
      </c>
      <c r="E28" s="27">
        <f t="shared" si="28"/>
        <v>1.569280343716434</v>
      </c>
      <c r="F28" s="27">
        <f t="shared" si="28"/>
        <v>1.5657264502394892</v>
      </c>
      <c r="G28" s="27">
        <f t="shared" si="28"/>
        <v>1.7642666666666666</v>
      </c>
      <c r="H28" s="27">
        <f t="shared" si="28"/>
        <v>1.88</v>
      </c>
      <c r="I28" s="27">
        <f t="shared" si="28"/>
        <v>1.9049999999999998</v>
      </c>
      <c r="J28" s="27">
        <f t="shared" si="28"/>
        <v>1.9299999999999997</v>
      </c>
      <c r="K28" s="27">
        <f t="shared" si="19"/>
        <v>1.9549999999999996</v>
      </c>
      <c r="L28" s="27">
        <f t="shared" si="19"/>
        <v>1.9799999999999995</v>
      </c>
      <c r="M28" s="27">
        <f t="shared" ref="M28:O28" si="29">M18/M6</f>
        <v>2.0049999999999994</v>
      </c>
      <c r="N28" s="27">
        <f t="shared" si="29"/>
        <v>2.0299999999999994</v>
      </c>
      <c r="O28" s="27">
        <f t="shared" si="29"/>
        <v>2.0549999999999993</v>
      </c>
      <c r="P28" s="27">
        <f t="shared" ref="P28:R28" si="30">P18/P6</f>
        <v>2.0799999999999992</v>
      </c>
      <c r="Q28" s="27">
        <f t="shared" si="30"/>
        <v>2.1049999999999991</v>
      </c>
      <c r="R28" s="27">
        <f t="shared" si="30"/>
        <v>2.129999999999999</v>
      </c>
      <c r="S28" s="27"/>
      <c r="T28" s="1"/>
      <c r="U28" s="1"/>
      <c r="V28" s="1"/>
      <c r="W28" s="1"/>
      <c r="X28" s="1"/>
      <c r="Y28" s="1"/>
      <c r="Z28" s="1"/>
      <c r="AA28" s="1"/>
      <c r="AB28" s="1"/>
      <c r="AC28" s="1"/>
      <c r="AD28" s="1"/>
    </row>
    <row r="29" spans="1:30">
      <c r="A29" s="1" t="str">
        <f t="shared" si="16"/>
        <v>Rwanda</v>
      </c>
      <c r="B29" s="27"/>
      <c r="C29" s="27">
        <f t="shared" si="17"/>
        <v>2.4874739039665972</v>
      </c>
      <c r="D29" s="27">
        <f t="shared" ref="D29:G29" si="31">D19/D7</f>
        <v>2.0782537067545306</v>
      </c>
      <c r="E29" s="27">
        <f t="shared" si="31"/>
        <v>2.0265352539802879</v>
      </c>
      <c r="F29" s="27">
        <f t="shared" si="31"/>
        <v>1.9428172942817294</v>
      </c>
      <c r="G29" s="27">
        <f t="shared" si="31"/>
        <v>2.0519835841313268</v>
      </c>
      <c r="H29" s="27"/>
      <c r="I29" s="27"/>
      <c r="J29" s="27"/>
      <c r="K29" s="27"/>
      <c r="L29" s="27"/>
      <c r="M29" s="27"/>
      <c r="N29" s="27"/>
      <c r="O29" s="27"/>
      <c r="P29" s="27"/>
      <c r="Q29" s="27"/>
      <c r="R29" s="27"/>
      <c r="S29" s="27"/>
      <c r="T29" s="1"/>
      <c r="U29" s="1"/>
      <c r="V29" s="1"/>
      <c r="W29" s="1"/>
      <c r="X29" s="1"/>
      <c r="Y29" s="1"/>
      <c r="Z29" s="1"/>
      <c r="AA29" s="1"/>
      <c r="AB29" s="1"/>
      <c r="AC29" s="1"/>
      <c r="AD29" s="1"/>
    </row>
    <row r="30" spans="1:30">
      <c r="A30" s="1" t="str">
        <f t="shared" si="16"/>
        <v>Kuwait population</v>
      </c>
      <c r="B30" s="27"/>
      <c r="C30" s="27">
        <f t="shared" si="17"/>
        <v>1</v>
      </c>
      <c r="D30" s="27">
        <f t="shared" ref="D30:J30" si="32">D20/D8</f>
        <v>1.0099857346647647</v>
      </c>
      <c r="E30" s="27">
        <f t="shared" si="32"/>
        <v>1.0097975179621164</v>
      </c>
      <c r="F30" s="27">
        <f t="shared" si="32"/>
        <v>1.0143540669856459</v>
      </c>
      <c r="G30" s="27">
        <f t="shared" si="32"/>
        <v>1.013134328358209</v>
      </c>
      <c r="H30" s="27">
        <f t="shared" si="32"/>
        <v>1.0181343283582089</v>
      </c>
      <c r="I30" s="27">
        <f t="shared" si="32"/>
        <v>1.0231343283582088</v>
      </c>
      <c r="J30" s="27">
        <f t="shared" si="32"/>
        <v>1.0281343283582087</v>
      </c>
      <c r="K30" s="27">
        <f t="shared" si="19"/>
        <v>1.0331343283582086</v>
      </c>
      <c r="L30" s="27">
        <f t="shared" si="19"/>
        <v>1.0381343283582085</v>
      </c>
      <c r="M30" s="27">
        <f t="shared" ref="M30:O30" si="33">M20/M8</f>
        <v>1.0431343283582084</v>
      </c>
      <c r="N30" s="27">
        <f t="shared" si="33"/>
        <v>1.0481343283582083</v>
      </c>
      <c r="O30" s="27">
        <f t="shared" si="33"/>
        <v>1.0531343283582082</v>
      </c>
      <c r="P30" s="27">
        <f t="shared" ref="P30:R30" si="34">P20/P8</f>
        <v>1.0581343283582081</v>
      </c>
      <c r="Q30" s="27">
        <f t="shared" si="34"/>
        <v>1.063134328358208</v>
      </c>
      <c r="R30" s="27">
        <f t="shared" si="34"/>
        <v>1.0681343283582079</v>
      </c>
      <c r="S30" s="27"/>
      <c r="T30" s="1"/>
      <c r="U30" s="1"/>
      <c r="V30" s="1"/>
      <c r="W30" s="1"/>
      <c r="X30" s="1"/>
      <c r="Y30" s="1"/>
      <c r="Z30" s="1"/>
      <c r="AA30" s="1"/>
      <c r="AB30" s="1"/>
      <c r="AC30" s="1"/>
      <c r="AD30" s="1"/>
    </row>
    <row r="31" spans="1:30">
      <c r="A31" s="1" t="str">
        <f t="shared" si="16"/>
        <v>Latam</v>
      </c>
      <c r="B31" s="27"/>
      <c r="C31" s="27">
        <f t="shared" si="17"/>
        <v>1.3079403466344217</v>
      </c>
      <c r="D31" s="27">
        <f t="shared" ref="D31:J31" si="35">D21/D9</f>
        <v>1.214300264819719</v>
      </c>
      <c r="E31" s="27">
        <f t="shared" si="35"/>
        <v>1.344282572842221</v>
      </c>
      <c r="F31" s="27">
        <f t="shared" si="35"/>
        <v>1.3114939637826961</v>
      </c>
      <c r="G31" s="27">
        <f t="shared" si="35"/>
        <v>1.3025993705560088</v>
      </c>
      <c r="H31" s="27">
        <f t="shared" si="35"/>
        <v>1.32</v>
      </c>
      <c r="I31" s="27">
        <f t="shared" si="35"/>
        <v>1.33</v>
      </c>
      <c r="J31" s="27">
        <f t="shared" si="35"/>
        <v>1.34</v>
      </c>
      <c r="K31" s="27">
        <f t="shared" si="19"/>
        <v>1.35</v>
      </c>
      <c r="L31" s="27">
        <f t="shared" si="19"/>
        <v>1.36</v>
      </c>
      <c r="M31" s="27">
        <f t="shared" ref="M31:O31" si="36">M21/M9</f>
        <v>1.37</v>
      </c>
      <c r="N31" s="27">
        <f t="shared" si="36"/>
        <v>1.3800000000000001</v>
      </c>
      <c r="O31" s="27">
        <f t="shared" si="36"/>
        <v>1.3900000000000003</v>
      </c>
      <c r="P31" s="27">
        <f t="shared" ref="P31:R31" si="37">P21/P9</f>
        <v>1.4000000000000001</v>
      </c>
      <c r="Q31" s="27">
        <f t="shared" si="37"/>
        <v>1.4100000000000001</v>
      </c>
      <c r="R31" s="27">
        <f t="shared" si="37"/>
        <v>1.4200000000000002</v>
      </c>
      <c r="S31" s="27"/>
      <c r="T31" s="1"/>
      <c r="U31" s="1"/>
      <c r="V31" s="1"/>
      <c r="W31" s="1"/>
      <c r="X31" s="1"/>
      <c r="Y31" s="1"/>
      <c r="Z31" s="1"/>
      <c r="AA31" s="1"/>
      <c r="AB31" s="1"/>
      <c r="AC31" s="1"/>
      <c r="AD31" s="1"/>
    </row>
    <row r="32" spans="1:30" s="38" customFormat="1" ht="17.25" thickBot="1">
      <c r="A32" s="4" t="s">
        <v>181</v>
      </c>
      <c r="B32" s="119"/>
      <c r="C32" s="119">
        <f t="shared" si="17"/>
        <v>1.5564785845290754</v>
      </c>
      <c r="D32" s="119">
        <f t="shared" ref="D32:J32" si="38">D22/D10</f>
        <v>1.4951518860934832</v>
      </c>
      <c r="E32" s="119">
        <f t="shared" si="38"/>
        <v>1.5141485821972263</v>
      </c>
      <c r="F32" s="119">
        <f t="shared" si="38"/>
        <v>1.5261749651000465</v>
      </c>
      <c r="G32" s="119">
        <f t="shared" si="38"/>
        <v>1.5267388032149045</v>
      </c>
      <c r="H32" s="119">
        <f t="shared" si="38"/>
        <v>1.5239569568237972</v>
      </c>
      <c r="I32" s="119">
        <f t="shared" si="38"/>
        <v>1.5576490274103707</v>
      </c>
      <c r="J32" s="119">
        <f t="shared" si="38"/>
        <v>1.5722765160044039</v>
      </c>
      <c r="K32" s="119">
        <f t="shared" si="19"/>
        <v>1.587059548633353</v>
      </c>
      <c r="L32" s="119">
        <f t="shared" si="19"/>
        <v>1.6017033972720023</v>
      </c>
      <c r="M32" s="119">
        <f t="shared" ref="M32:O32" si="39">M22/M10</f>
        <v>1.6116515203264177</v>
      </c>
      <c r="N32" s="119">
        <f t="shared" si="39"/>
        <v>1.6170380051141142</v>
      </c>
      <c r="O32" s="119">
        <f t="shared" si="39"/>
        <v>1.6224651450892931</v>
      </c>
      <c r="P32" s="119">
        <f t="shared" ref="P32:R32" si="40">P22/P10</f>
        <v>1.6279333886795657</v>
      </c>
      <c r="Q32" s="119">
        <f t="shared" si="40"/>
        <v>1.633443165869352</v>
      </c>
      <c r="R32" s="119">
        <f t="shared" si="40"/>
        <v>1.6389948880295289</v>
      </c>
      <c r="S32" s="1096"/>
      <c r="T32" s="4"/>
      <c r="U32" s="4"/>
      <c r="V32" s="4"/>
      <c r="W32" s="4"/>
      <c r="X32" s="4"/>
      <c r="Y32" s="4"/>
      <c r="Z32" s="4"/>
      <c r="AA32" s="4"/>
      <c r="AB32" s="4"/>
      <c r="AC32" s="4"/>
      <c r="AD32" s="4"/>
    </row>
    <row r="33" spans="1:30">
      <c r="A33" s="1" t="s">
        <v>3</v>
      </c>
      <c r="B33" s="1"/>
      <c r="C33" s="1"/>
      <c r="D33" s="3">
        <f>D32/C32-1</f>
        <v>-3.9400926582068618E-2</v>
      </c>
      <c r="E33" s="3">
        <f t="shared" ref="E33:J33" si="41">E32/D32-1</f>
        <v>1.2705529304703367E-2</v>
      </c>
      <c r="F33" s="3">
        <f t="shared" si="41"/>
        <v>7.9426702532510163E-3</v>
      </c>
      <c r="G33" s="3">
        <f t="shared" si="41"/>
        <v>3.6944526528848165E-4</v>
      </c>
      <c r="H33" s="3">
        <f t="shared" si="41"/>
        <v>-1.8220840298612817E-3</v>
      </c>
      <c r="I33" s="3">
        <f t="shared" si="41"/>
        <v>2.2108282281668945E-2</v>
      </c>
      <c r="J33" s="3">
        <f t="shared" si="41"/>
        <v>9.3907474255299217E-3</v>
      </c>
      <c r="K33" s="3">
        <f t="shared" ref="K33:R33" si="42">K32/J32-1</f>
        <v>9.4023109029937046E-3</v>
      </c>
      <c r="L33" s="3">
        <f t="shared" si="42"/>
        <v>9.2270316203695302E-3</v>
      </c>
      <c r="M33" s="3">
        <f t="shared" si="42"/>
        <v>6.2109645714423234E-3</v>
      </c>
      <c r="N33" s="3">
        <f t="shared" si="42"/>
        <v>3.3422143185182218E-3</v>
      </c>
      <c r="O33" s="3">
        <f t="shared" si="42"/>
        <v>3.3562228952039863E-3</v>
      </c>
      <c r="P33" s="3">
        <f t="shared" si="42"/>
        <v>3.370330393120291E-3</v>
      </c>
      <c r="Q33" s="3">
        <f t="shared" si="42"/>
        <v>3.3845225044837335E-3</v>
      </c>
      <c r="R33" s="3">
        <f t="shared" si="42"/>
        <v>3.3987850181627088E-3</v>
      </c>
      <c r="S33" s="3"/>
      <c r="T33" s="1"/>
      <c r="U33" s="1"/>
      <c r="V33" s="1"/>
      <c r="W33" s="1"/>
      <c r="X33" s="1"/>
      <c r="Y33" s="1"/>
      <c r="Z33" s="1"/>
      <c r="AA33" s="1"/>
      <c r="AB33" s="1"/>
      <c r="AC33" s="1"/>
      <c r="AD33" s="1"/>
    </row>
    <row r="34" spans="1:30">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5" spans="1:30">
      <c r="A35" s="25" t="s">
        <v>262</v>
      </c>
      <c r="B35" s="31"/>
      <c r="C35" s="31">
        <v>2020</v>
      </c>
      <c r="D35" s="31">
        <f>C35+1</f>
        <v>2021</v>
      </c>
      <c r="E35" s="31">
        <f t="shared" ref="E35:J35" si="43">D35+1</f>
        <v>2022</v>
      </c>
      <c r="F35" s="31">
        <f t="shared" si="43"/>
        <v>2023</v>
      </c>
      <c r="G35" s="31">
        <f t="shared" si="43"/>
        <v>2024</v>
      </c>
      <c r="H35" s="31">
        <f t="shared" si="43"/>
        <v>2025</v>
      </c>
      <c r="I35" s="31">
        <f t="shared" si="43"/>
        <v>2026</v>
      </c>
      <c r="J35" s="31">
        <f t="shared" si="43"/>
        <v>2027</v>
      </c>
      <c r="K35" s="115">
        <f t="shared" ref="K35:R35" si="44">J35+1</f>
        <v>2028</v>
      </c>
      <c r="L35" s="115">
        <f t="shared" si="44"/>
        <v>2029</v>
      </c>
      <c r="M35" s="115">
        <f t="shared" si="44"/>
        <v>2030</v>
      </c>
      <c r="N35" s="115">
        <f t="shared" si="44"/>
        <v>2031</v>
      </c>
      <c r="O35" s="115">
        <f t="shared" si="44"/>
        <v>2032</v>
      </c>
      <c r="P35" s="115">
        <f t="shared" si="44"/>
        <v>2033</v>
      </c>
      <c r="Q35" s="115">
        <f t="shared" si="44"/>
        <v>2034</v>
      </c>
      <c r="R35" s="115">
        <f t="shared" si="44"/>
        <v>2035</v>
      </c>
      <c r="S35" s="4"/>
      <c r="T35" s="1"/>
      <c r="U35" s="1"/>
      <c r="V35" s="1"/>
      <c r="W35" s="1"/>
      <c r="X35" s="1"/>
      <c r="Y35" s="1"/>
      <c r="Z35" s="1"/>
      <c r="AA35" s="1"/>
      <c r="AB35" s="1"/>
      <c r="AC35" s="1"/>
      <c r="AD35" s="1"/>
    </row>
    <row r="36" spans="1:30">
      <c r="A36" s="1" t="str">
        <f>A25</f>
        <v>Nigeria</v>
      </c>
      <c r="B36" s="2"/>
      <c r="C36" s="2">
        <f>Nigeria!G20-Nigeria!F20</f>
        <v>38</v>
      </c>
      <c r="D36" s="2">
        <f>Nigeria!H20-Nigeria!G20</f>
        <v>317</v>
      </c>
      <c r="E36" s="2">
        <f>Nigeria!I20-Nigeria!H20</f>
        <v>141</v>
      </c>
      <c r="F36" s="2">
        <f>Nigeria!J20-Nigeria!I20</f>
        <v>-600</v>
      </c>
      <c r="G36" s="2">
        <f>Nigeria!K20-Nigeria!J20</f>
        <v>100</v>
      </c>
      <c r="H36" s="2">
        <f>Nigeria!L20-Nigeria!K20</f>
        <v>41.237499999999272</v>
      </c>
      <c r="I36" s="2">
        <f>Nigeria!M20-Nigeria!L20</f>
        <v>82.681187499998487</v>
      </c>
      <c r="J36" s="2">
        <f>Nigeria!N20-Nigeria!M20</f>
        <v>99.713512124999397</v>
      </c>
      <c r="K36" s="2">
        <f>Nigeria!O20-Nigeria!N20</f>
        <v>117.03042539737362</v>
      </c>
      <c r="L36" s="2">
        <f>Nigeria!P20-Nigeria!O20</f>
        <v>117.84963837515534</v>
      </c>
      <c r="M36" s="2">
        <f>Nigeria!Q20-Nigeria!P20</f>
        <v>118.67458584378255</v>
      </c>
      <c r="N36" s="2">
        <f>Nigeria!R20-Nigeria!Q20</f>
        <v>119.50530794468796</v>
      </c>
      <c r="O36" s="2">
        <f>Nigeria!S20-Nigeria!R20</f>
        <v>120.34184510030173</v>
      </c>
      <c r="P36" s="2">
        <f>Nigeria!T20-Nigeria!S20</f>
        <v>121.18423801600147</v>
      </c>
      <c r="Q36" s="2">
        <f>Nigeria!U20-Nigeria!T20</f>
        <v>122.03252768211314</v>
      </c>
      <c r="R36" s="2">
        <f>Nigeria!V20-Nigeria!U20</f>
        <v>122.88675537589006</v>
      </c>
      <c r="S36" s="2"/>
      <c r="T36" s="1"/>
      <c r="U36" s="1"/>
      <c r="V36" s="1"/>
      <c r="W36" s="1"/>
      <c r="X36" s="1"/>
      <c r="Y36" s="1"/>
      <c r="Z36" s="1"/>
      <c r="AA36" s="1"/>
      <c r="AB36" s="1"/>
      <c r="AC36" s="1"/>
      <c r="AD36" s="1"/>
    </row>
    <row r="37" spans="1:30">
      <c r="A37" s="1" t="str">
        <f>A26</f>
        <v>Cote D'Ivoire</v>
      </c>
      <c r="B37" s="1"/>
      <c r="C37" s="1"/>
      <c r="D37" s="2">
        <f>SSA!H48-SSA!G48</f>
        <v>-9</v>
      </c>
      <c r="E37" s="2">
        <f>SSA!I48-SSA!H48</f>
        <v>6</v>
      </c>
      <c r="F37" s="2">
        <f>SSA!J48-SSA!I48</f>
        <v>-5</v>
      </c>
      <c r="G37" s="2">
        <f>SSA!K48-SSA!J48</f>
        <v>-12</v>
      </c>
      <c r="H37" s="2">
        <f>SSA!L48-SSA!K48</f>
        <v>-16.087173500000063</v>
      </c>
      <c r="I37" s="2">
        <f>SSA!M48-SSA!L48</f>
        <v>15.953076754999984</v>
      </c>
      <c r="J37" s="2">
        <f>SSA!N48-SSA!M48</f>
        <v>13.302269001174864</v>
      </c>
      <c r="K37" s="2">
        <f>SSA!O48-SSA!N48</f>
        <v>10.569817004535253</v>
      </c>
      <c r="L37" s="2">
        <f>SSA!P48-SSA!O48</f>
        <v>10.511696527400545</v>
      </c>
      <c r="M37" s="2">
        <f>SSA!Q48-SSA!P48</f>
        <v>10.451356659022167</v>
      </c>
      <c r="N37" s="2">
        <f>SSA!R48-SSA!Q48</f>
        <v>10.388758823623903</v>
      </c>
      <c r="O37" s="2">
        <f>SSA!S48-SSA!R48</f>
        <v>10.323863895851446</v>
      </c>
      <c r="P37" s="2">
        <f>SSA!T48-SSA!S48</f>
        <v>10.256632193641963</v>
      </c>
      <c r="Q37" s="2">
        <f>SSA!U48-SSA!T48</f>
        <v>10.187023470997701</v>
      </c>
      <c r="R37" s="2">
        <f>SSA!V48-SSA!U48</f>
        <v>10.114996910681839</v>
      </c>
      <c r="S37" s="2"/>
      <c r="T37" s="1"/>
      <c r="U37" s="1"/>
      <c r="V37" s="1"/>
      <c r="W37" s="1"/>
      <c r="X37" s="1"/>
      <c r="Y37" s="1"/>
      <c r="Z37" s="1"/>
      <c r="AA37" s="1"/>
      <c r="AB37" s="1"/>
      <c r="AC37" s="1"/>
      <c r="AD37" s="1"/>
    </row>
    <row r="38" spans="1:30">
      <c r="A38" s="1" t="str">
        <f>A27</f>
        <v>Cameroon</v>
      </c>
      <c r="B38" s="2"/>
      <c r="C38" s="2"/>
      <c r="D38" s="2">
        <f>SSA!H49-SSA!G49</f>
        <v>12</v>
      </c>
      <c r="E38" s="2">
        <f>SSA!I49-SSA!H49</f>
        <v>53</v>
      </c>
      <c r="F38" s="2">
        <f>SSA!J49-SSA!I49</f>
        <v>79</v>
      </c>
      <c r="G38" s="2">
        <f>SSA!K49-SSA!J49</f>
        <v>85</v>
      </c>
      <c r="H38" s="2">
        <f>SSA!L49-SSA!K49</f>
        <v>47.130355999999665</v>
      </c>
      <c r="I38" s="2">
        <f>SSA!M49-SSA!L49</f>
        <v>35.741957264999655</v>
      </c>
      <c r="J38" s="2">
        <f>SSA!N49-SSA!M49</f>
        <v>36.207783374699829</v>
      </c>
      <c r="K38" s="2">
        <f>SSA!O49-SSA!N49</f>
        <v>36.679351810867502</v>
      </c>
      <c r="L38" s="2">
        <f>SSA!P49-SSA!O49</f>
        <v>37.156730837421037</v>
      </c>
      <c r="M38" s="2">
        <f>SSA!Q49-SSA!P49</f>
        <v>37.639989509324096</v>
      </c>
      <c r="N38" s="2">
        <f>SSA!R49-SSA!Q49</f>
        <v>38.129197681581445</v>
      </c>
      <c r="O38" s="2">
        <f>SSA!S49-SSA!R49</f>
        <v>38.624426018333452</v>
      </c>
      <c r="P38" s="2">
        <f>SSA!T49-SSA!S49</f>
        <v>39.125746002052438</v>
      </c>
      <c r="Q38" s="2">
        <f>SSA!U49-SSA!T49</f>
        <v>39.633229942844082</v>
      </c>
      <c r="R38" s="2">
        <f>SSA!V49-SSA!U49</f>
        <v>40.146950987850687</v>
      </c>
      <c r="S38" s="2"/>
      <c r="T38" s="1"/>
      <c r="U38" s="1"/>
      <c r="V38" s="1"/>
      <c r="W38" s="1"/>
      <c r="X38" s="1"/>
      <c r="Y38" s="1"/>
      <c r="Z38" s="1"/>
      <c r="AA38" s="1"/>
      <c r="AB38" s="1"/>
      <c r="AC38" s="1"/>
      <c r="AD38" s="1"/>
    </row>
    <row r="39" spans="1:30">
      <c r="A39" s="1" t="str">
        <f>A28</f>
        <v>Zambia</v>
      </c>
      <c r="B39" s="1"/>
      <c r="C39" s="1"/>
      <c r="D39" s="2">
        <f>SSA!H50-SSA!G50</f>
        <v>-8</v>
      </c>
      <c r="E39" s="2">
        <f>SSA!I50-SSA!H50</f>
        <v>117</v>
      </c>
      <c r="F39" s="2">
        <f>SSA!J50-SSA!I50</f>
        <v>17</v>
      </c>
      <c r="G39" s="2">
        <f>SSA!K50-SSA!J50</f>
        <v>-4</v>
      </c>
      <c r="H39" s="2">
        <f>SSA!L50-SSA!K50</f>
        <v>-6.6406046250006057</v>
      </c>
      <c r="I39" s="2">
        <f>SSA!M50-SSA!L50</f>
        <v>16.928468461124794</v>
      </c>
      <c r="J39" s="2">
        <f>SSA!N50-SSA!M50</f>
        <v>9.4264393191804174</v>
      </c>
      <c r="K39" s="2">
        <f>SSA!O50-SSA!N50</f>
        <v>9.473571515776257</v>
      </c>
      <c r="L39" s="2">
        <f>SSA!P50-SSA!O50</f>
        <v>9.5209393733553043</v>
      </c>
      <c r="M39" s="2">
        <f>SSA!Q50-SSA!P50</f>
        <v>9.5685440702220603</v>
      </c>
      <c r="N39" s="2">
        <f>SSA!R50-SSA!Q50</f>
        <v>9.6163867905731877</v>
      </c>
      <c r="O39" s="2">
        <f>SSA!S50-SSA!R50</f>
        <v>9.664468724525932</v>
      </c>
      <c r="P39" s="2">
        <f>SSA!T50-SSA!S50</f>
        <v>9.7127910681485901</v>
      </c>
      <c r="Q39" s="2">
        <f>SSA!U50-SSA!T50</f>
        <v>9.7613550234891591</v>
      </c>
      <c r="R39" s="2">
        <f>SSA!V50-SSA!U50</f>
        <v>9.810161798606714</v>
      </c>
      <c r="S39" s="2"/>
      <c r="T39" s="1"/>
      <c r="U39" s="1"/>
      <c r="V39" s="1"/>
      <c r="W39" s="1"/>
      <c r="X39" s="1"/>
      <c r="Y39" s="1"/>
      <c r="Z39" s="1"/>
      <c r="AA39" s="1"/>
      <c r="AB39" s="1"/>
      <c r="AC39" s="1"/>
      <c r="AD39" s="1"/>
    </row>
    <row r="40" spans="1:30">
      <c r="A40" s="1" t="str">
        <f>A29</f>
        <v>Rwanda</v>
      </c>
      <c r="B40" s="1"/>
      <c r="C40" s="1"/>
      <c r="D40" s="2">
        <f>SSA!H51-SSA!G51</f>
        <v>256</v>
      </c>
      <c r="E40" s="2">
        <f>SSA!I51-SSA!H51</f>
        <v>105</v>
      </c>
      <c r="F40" s="2">
        <f>SSA!J51-SSA!I51</f>
        <v>115</v>
      </c>
      <c r="G40" s="2">
        <f>SSA!K51-SSA!J51</f>
        <v>28</v>
      </c>
      <c r="H40" s="2"/>
      <c r="I40" s="2"/>
      <c r="J40" s="2"/>
      <c r="K40" s="2"/>
      <c r="L40" s="2"/>
      <c r="M40" s="2"/>
      <c r="N40" s="2"/>
      <c r="O40" s="2"/>
      <c r="P40" s="2"/>
      <c r="Q40" s="2"/>
      <c r="R40" s="2"/>
      <c r="S40" s="2"/>
      <c r="T40" s="1"/>
      <c r="U40" s="1"/>
      <c r="V40" s="1"/>
      <c r="W40" s="1"/>
      <c r="X40" s="1"/>
      <c r="Y40" s="1"/>
      <c r="Z40" s="1"/>
      <c r="AA40" s="1"/>
      <c r="AB40" s="1"/>
      <c r="AC40" s="1"/>
      <c r="AD40" s="1"/>
    </row>
    <row r="41" spans="1:30">
      <c r="A41" s="1" t="s">
        <v>285</v>
      </c>
      <c r="B41" s="1"/>
      <c r="C41" s="1"/>
      <c r="D41" s="2">
        <f>MENA!H18-MENA!G18</f>
        <v>240</v>
      </c>
      <c r="E41" s="2">
        <f>MENA!I18-MENA!H18</f>
        <v>129</v>
      </c>
      <c r="F41" s="2">
        <f>MENA!J18-MENA!I18</f>
        <v>141</v>
      </c>
      <c r="G41" s="2">
        <f>MENA!K18-MENA!J18</f>
        <v>3</v>
      </c>
      <c r="H41" s="2">
        <f>MENA!L18-MENA!K18</f>
        <v>138.71198742999968</v>
      </c>
      <c r="I41" s="2">
        <f>MENA!M18-MENA!L18</f>
        <v>51.68971964239995</v>
      </c>
      <c r="J41" s="2">
        <f>MENA!N18-MENA!M18</f>
        <v>52.542142836505263</v>
      </c>
      <c r="K41" s="2">
        <f>MENA!O18-MENA!N18</f>
        <v>53.406445522527747</v>
      </c>
      <c r="L41" s="2">
        <f>MENA!P18-MENA!O18</f>
        <v>54.282780047987671</v>
      </c>
      <c r="M41" s="2">
        <f>MENA!Q18-MENA!P18</f>
        <v>55.171300619404064</v>
      </c>
      <c r="N41" s="2">
        <f>MENA!R18-MENA!Q18</f>
        <v>56.072163324244229</v>
      </c>
      <c r="O41" s="2">
        <f>MENA!S18-MENA!R18</f>
        <v>56.985526153119281</v>
      </c>
      <c r="P41" s="2">
        <f>MENA!T18-MENA!S18</f>
        <v>57.911549022239797</v>
      </c>
      <c r="Q41" s="2">
        <f>MENA!U18-MENA!T18</f>
        <v>58.850393796126355</v>
      </c>
      <c r="R41" s="2">
        <f>MENA!V18-MENA!U18</f>
        <v>59.802224310589281</v>
      </c>
      <c r="S41" s="2"/>
      <c r="T41" s="1"/>
      <c r="U41" s="1"/>
      <c r="V41" s="1"/>
      <c r="W41" s="1"/>
      <c r="X41" s="1"/>
      <c r="Y41" s="1"/>
      <c r="Z41" s="1"/>
      <c r="AA41" s="1"/>
      <c r="AB41" s="1"/>
      <c r="AC41" s="1"/>
      <c r="AD41" s="1"/>
    </row>
    <row r="42" spans="1:30">
      <c r="A42" s="1" t="str">
        <f>A31</f>
        <v>Latam</v>
      </c>
      <c r="B42" s="1"/>
      <c r="C42" s="1"/>
      <c r="D42" s="2">
        <f>Latam!H42-Latam!G42</f>
        <v>2428</v>
      </c>
      <c r="E42" s="2">
        <f>Latam!I42-Latam!H42</f>
        <v>2367</v>
      </c>
      <c r="F42" s="2">
        <f>Latam!J42-Latam!I42</f>
        <v>676</v>
      </c>
      <c r="G42" s="2">
        <f>Latam!K42-Latam!J42</f>
        <v>627</v>
      </c>
      <c r="H42" s="2">
        <f>Latam!L42-Latam!K42</f>
        <v>423.98369574999924</v>
      </c>
      <c r="I42" s="2">
        <f>Latam!M42-Latam!L42</f>
        <v>448.95008515500194</v>
      </c>
      <c r="J42" s="2">
        <f>Latam!N42-Latam!M42</f>
        <v>399.75076781640018</v>
      </c>
      <c r="K42" s="2">
        <f>Latam!O42-Latam!N42</f>
        <v>366.69957401523607</v>
      </c>
      <c r="L42" s="2">
        <f>Latam!P42-Latam!O42</f>
        <v>377.42688315635678</v>
      </c>
      <c r="M42" s="2">
        <f>Latam!Q42-Latam!P42</f>
        <v>388.43660483351596</v>
      </c>
      <c r="N42" s="2">
        <f>Latam!R42-Latam!Q42</f>
        <v>399.73574462449869</v>
      </c>
      <c r="O42" s="2">
        <f>Latam!S42-Latam!R42</f>
        <v>411.33147536518845</v>
      </c>
      <c r="P42" s="2">
        <f>Latam!T42-Latam!S42</f>
        <v>423.23114103765693</v>
      </c>
      <c r="Q42" s="2">
        <f>Latam!U42-Latam!T42</f>
        <v>435.44226074687685</v>
      </c>
      <c r="R42" s="2">
        <f>Latam!V42-Latam!U42</f>
        <v>447.97253278804965</v>
      </c>
      <c r="S42" s="2"/>
      <c r="T42" s="1"/>
      <c r="U42" s="1"/>
      <c r="V42" s="1"/>
      <c r="W42" s="1"/>
      <c r="X42" s="1"/>
      <c r="Y42" s="1"/>
      <c r="Z42" s="1"/>
      <c r="AA42" s="1"/>
      <c r="AB42" s="1"/>
      <c r="AC42" s="1"/>
      <c r="AD42" s="1"/>
    </row>
    <row r="43" spans="1:30" ht="17.25" thickBot="1">
      <c r="A43" s="1" t="s">
        <v>181</v>
      </c>
      <c r="B43" s="116"/>
      <c r="C43" s="116"/>
      <c r="D43" s="116">
        <f>SUM(D36:D42)</f>
        <v>3236</v>
      </c>
      <c r="E43" s="116">
        <f t="shared" ref="E43:J43" si="45">SUM(E36:E42)</f>
        <v>2918</v>
      </c>
      <c r="F43" s="116">
        <f t="shared" si="45"/>
        <v>423</v>
      </c>
      <c r="G43" s="116">
        <f t="shared" si="45"/>
        <v>827</v>
      </c>
      <c r="H43" s="116">
        <f t="shared" si="45"/>
        <v>628.33576105499719</v>
      </c>
      <c r="I43" s="116">
        <f t="shared" si="45"/>
        <v>651.94449477852481</v>
      </c>
      <c r="J43" s="116">
        <f t="shared" si="45"/>
        <v>610.94291447295996</v>
      </c>
      <c r="K43" s="116">
        <f t="shared" ref="K43:R43" si="46">SUM(K36:K42)</f>
        <v>593.85918526631644</v>
      </c>
      <c r="L43" s="116">
        <f t="shared" si="46"/>
        <v>606.74866831767667</v>
      </c>
      <c r="M43" s="116">
        <f t="shared" si="46"/>
        <v>619.9423815352709</v>
      </c>
      <c r="N43" s="116">
        <f t="shared" si="46"/>
        <v>633.44755918920941</v>
      </c>
      <c r="O43" s="116">
        <f t="shared" si="46"/>
        <v>647.27160525732029</v>
      </c>
      <c r="P43" s="116">
        <f t="shared" si="46"/>
        <v>661.42209733974119</v>
      </c>
      <c r="Q43" s="116">
        <f t="shared" si="46"/>
        <v>675.90679066244729</v>
      </c>
      <c r="R43" s="116">
        <f t="shared" si="46"/>
        <v>690.73362217166823</v>
      </c>
      <c r="S43" s="40"/>
      <c r="T43" s="1"/>
      <c r="U43" s="1"/>
      <c r="V43" s="1"/>
      <c r="W43" s="1"/>
      <c r="X43" s="1"/>
      <c r="Y43" s="1"/>
      <c r="Z43" s="1"/>
      <c r="AA43" s="1"/>
      <c r="AB43" s="1"/>
      <c r="AC43" s="1"/>
      <c r="AD43" s="1"/>
    </row>
    <row r="44" spans="1:30">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row>
    <row r="45" spans="1:30">
      <c r="A45" s="25" t="s">
        <v>209</v>
      </c>
      <c r="B45" s="31"/>
      <c r="C45" s="31">
        <v>2020</v>
      </c>
      <c r="D45" s="31">
        <f>C45+1</f>
        <v>2021</v>
      </c>
      <c r="E45" s="31">
        <f t="shared" ref="E45:J45" si="47">D45+1</f>
        <v>2022</v>
      </c>
      <c r="F45" s="31">
        <f t="shared" si="47"/>
        <v>2023</v>
      </c>
      <c r="G45" s="31">
        <f t="shared" si="47"/>
        <v>2024</v>
      </c>
      <c r="H45" s="31">
        <f t="shared" si="47"/>
        <v>2025</v>
      </c>
      <c r="I45" s="31">
        <f t="shared" si="47"/>
        <v>2026</v>
      </c>
      <c r="J45" s="31">
        <f t="shared" si="47"/>
        <v>2027</v>
      </c>
      <c r="K45" s="115">
        <f t="shared" ref="K45:R45" si="48">J45+1</f>
        <v>2028</v>
      </c>
      <c r="L45" s="115">
        <f t="shared" si="48"/>
        <v>2029</v>
      </c>
      <c r="M45" s="115">
        <f t="shared" si="48"/>
        <v>2030</v>
      </c>
      <c r="N45" s="115">
        <f t="shared" si="48"/>
        <v>2031</v>
      </c>
      <c r="O45" s="115">
        <f t="shared" si="48"/>
        <v>2032</v>
      </c>
      <c r="P45" s="115">
        <f t="shared" si="48"/>
        <v>2033</v>
      </c>
      <c r="Q45" s="115">
        <f t="shared" si="48"/>
        <v>2034</v>
      </c>
      <c r="R45" s="115">
        <f t="shared" si="48"/>
        <v>2035</v>
      </c>
      <c r="S45" s="4"/>
      <c r="T45" s="1"/>
      <c r="U45" s="1"/>
      <c r="V45" s="1"/>
      <c r="W45" s="1"/>
      <c r="X45" s="1"/>
      <c r="Y45" s="1"/>
      <c r="Z45" s="1"/>
      <c r="AA45" s="1"/>
      <c r="AB45" s="1"/>
      <c r="AC45" s="1"/>
      <c r="AD45" s="1"/>
    </row>
    <row r="46" spans="1:30">
      <c r="A46" s="1" t="str">
        <f t="shared" ref="A46:A53" si="49">A36</f>
        <v>Nigeria</v>
      </c>
      <c r="B46" s="6"/>
      <c r="C46" s="6"/>
      <c r="D46" s="6">
        <f>(Nigeria!H39-Nigeria!G39)-'Sites and tenancies'!D36</f>
        <v>470</v>
      </c>
      <c r="E46" s="6">
        <f>(Nigeria!I39-Nigeria!H39)-'Sites and tenancies'!E36</f>
        <v>448</v>
      </c>
      <c r="F46" s="6">
        <f>(Nigeria!J39-Nigeria!I39)-'Sites and tenancies'!F36</f>
        <v>399</v>
      </c>
      <c r="G46" s="6">
        <f>(Nigeria!K39-Nigeria!J39)-'Sites and tenancies'!G36</f>
        <v>-369</v>
      </c>
      <c r="H46" s="6">
        <f>(Nigeria!L39-Nigeria!K39)-'Sites and tenancies'!H36</f>
        <v>346.01774999999907</v>
      </c>
      <c r="I46" s="6">
        <f>(Nigeria!M39-Nigeria!L39)-'Sites and tenancies'!I36</f>
        <v>1045.0902099999985</v>
      </c>
      <c r="J46" s="6">
        <f>(Nigeria!N39-Nigeria!M39)-'Sites and tenancies'!J36</f>
        <v>398.18929175250014</v>
      </c>
      <c r="K46" s="6">
        <f>(Nigeria!O39-Nigeria!N39)-'Sites and tenancies'!K36</f>
        <v>413.9533332627143</v>
      </c>
      <c r="L46" s="6">
        <f>(Nigeria!P39-Nigeria!O39)-'Sites and tenancies'!L36</f>
        <v>419.20799936305411</v>
      </c>
      <c r="M46" s="6">
        <f>(Nigeria!Q39-Nigeria!P39)-'Sites and tenancies'!M36</f>
        <v>253.79407858306149</v>
      </c>
      <c r="N46" s="6">
        <f>(Nigeria!R39-Nigeria!Q39)-'Sites and tenancies'!N36</f>
        <v>84.84876864072794</v>
      </c>
      <c r="O46" s="6">
        <f>(Nigeria!S39-Nigeria!R39)-'Sites and tenancies'!O36</f>
        <v>85.442710021216044</v>
      </c>
      <c r="P46" s="6">
        <f>(Nigeria!T39-Nigeria!S39)-'Sites and tenancies'!P36</f>
        <v>86.0408089913617</v>
      </c>
      <c r="Q46" s="6">
        <f>(Nigeria!U39-Nigeria!T39)-'Sites and tenancies'!Q36</f>
        <v>86.643094654300512</v>
      </c>
      <c r="R46" s="6">
        <f>(Nigeria!V39-Nigeria!U39)-'Sites and tenancies'!R36</f>
        <v>87.249596316880343</v>
      </c>
      <c r="S46" s="6"/>
      <c r="T46" s="1"/>
      <c r="U46" s="1"/>
      <c r="V46" s="1"/>
      <c r="W46" s="1"/>
      <c r="X46" s="1"/>
      <c r="Y46" s="1"/>
      <c r="Z46" s="1"/>
      <c r="AA46" s="1"/>
      <c r="AB46" s="1"/>
      <c r="AC46" s="1"/>
      <c r="AD46" s="1"/>
    </row>
    <row r="47" spans="1:30">
      <c r="A47" s="1" t="str">
        <f t="shared" si="49"/>
        <v>Cote D'Ivoire</v>
      </c>
      <c r="B47" s="6"/>
      <c r="C47" s="6"/>
      <c r="D47" s="6">
        <f>SSA!H65-SSA!G65-(D37)</f>
        <v>-10</v>
      </c>
      <c r="E47" s="6">
        <f>SSA!I65-SSA!H65-(E37)</f>
        <v>90</v>
      </c>
      <c r="F47" s="6">
        <f>SSA!J65-SSA!I65-(F37)</f>
        <v>30</v>
      </c>
      <c r="G47" s="6">
        <f>SSA!K65-SSA!J65-(G37)</f>
        <v>80</v>
      </c>
      <c r="H47" s="6">
        <f>SSA!L65-SSA!K65-(H37)</f>
        <v>62.344159055000091</v>
      </c>
      <c r="I47" s="6">
        <f>SSA!M65-SSA!L65-(I37)</f>
        <v>80.925824358224872</v>
      </c>
      <c r="J47" s="6">
        <f>SSA!N65-SSA!M65-(J37)</f>
        <v>79.284735062456093</v>
      </c>
      <c r="K47" s="6">
        <f>SSA!O65-SSA!N65-(K37)</f>
        <v>77.367681375689244</v>
      </c>
      <c r="L47" s="6">
        <f>SSA!P65-SSA!O65-(L37)</f>
        <v>77.839795363096073</v>
      </c>
      <c r="M47" s="6">
        <f>SSA!Q65-SSA!P65-(M37)</f>
        <v>78.305342020429634</v>
      </c>
      <c r="N47" s="6">
        <f>SSA!R65-SSA!Q65-(N37)</f>
        <v>78.764060061274904</v>
      </c>
      <c r="O47" s="6">
        <f>SSA!S65-SSA!R65-(O37)</f>
        <v>79.215682802933316</v>
      </c>
      <c r="P47" s="6">
        <f>SSA!T65-SSA!S65-(P37)</f>
        <v>79.659938076361868</v>
      </c>
      <c r="Q47" s="6">
        <f>SSA!U65-SSA!T65-(Q37)</f>
        <v>80.096548134748446</v>
      </c>
      <c r="R47" s="6">
        <f>SSA!V65-SSA!U65-(R37)</f>
        <v>80.525229560744265</v>
      </c>
      <c r="S47" s="6"/>
      <c r="T47" s="1"/>
      <c r="U47" s="1"/>
      <c r="V47" s="1"/>
      <c r="W47" s="1"/>
      <c r="X47" s="1"/>
      <c r="Y47" s="1"/>
      <c r="Z47" s="1"/>
      <c r="AA47" s="1"/>
      <c r="AB47" s="1"/>
      <c r="AC47" s="1"/>
      <c r="AD47" s="1"/>
    </row>
    <row r="48" spans="1:30">
      <c r="A48" s="1" t="str">
        <f t="shared" si="49"/>
        <v>Cameroon</v>
      </c>
      <c r="B48" s="6"/>
      <c r="C48" s="6"/>
      <c r="D48" s="6">
        <f>SSA!H66-SSA!G66-(D38)</f>
        <v>-316</v>
      </c>
      <c r="E48" s="6">
        <f>SSA!I66-SSA!H66-(E38)</f>
        <v>47</v>
      </c>
      <c r="F48" s="6">
        <f>SSA!J66-SSA!I66-(F38)</f>
        <v>220</v>
      </c>
      <c r="G48" s="6">
        <f>SSA!K66-SSA!J66-(G38)</f>
        <v>71</v>
      </c>
      <c r="H48" s="6">
        <f>SSA!L66-SSA!K66-(H38)</f>
        <v>87.880820719999974</v>
      </c>
      <c r="I48" s="6">
        <f>SSA!M66-SSA!L66-(I38)</f>
        <v>85.306821335924724</v>
      </c>
      <c r="J48" s="6">
        <f>SSA!N66-SSA!M66-(J38)</f>
        <v>87.406022692673105</v>
      </c>
      <c r="K48" s="6">
        <f>SSA!O66-SSA!N66-(K38)</f>
        <v>89.544151924545531</v>
      </c>
      <c r="L48" s="6">
        <f>SSA!P66-SSA!O66-(L38)</f>
        <v>91.721832414207256</v>
      </c>
      <c r="M48" s="6">
        <f>SSA!Q66-SSA!P66-(M38)</f>
        <v>93.939696666645887</v>
      </c>
      <c r="N48" s="6">
        <f>SSA!R66-SSA!Q66-(N38)</f>
        <v>96.198386434749864</v>
      </c>
      <c r="O48" s="6">
        <f>SSA!S66-SSA!R66-(O38)</f>
        <v>98.498552846547227</v>
      </c>
      <c r="P48" s="6">
        <f>SSA!T66-SSA!S66-(P38)</f>
        <v>100.8408565341133</v>
      </c>
      <c r="Q48" s="6">
        <f>SSA!U66-SSA!T66-(Q38)</f>
        <v>103.22596776418504</v>
      </c>
      <c r="R48" s="6">
        <f>SSA!V66-SSA!U66-(R38)</f>
        <v>105.65456657048344</v>
      </c>
      <c r="S48" s="6"/>
      <c r="T48" s="1"/>
      <c r="U48" s="1"/>
      <c r="V48" s="1"/>
      <c r="W48" s="1"/>
      <c r="X48" s="1"/>
      <c r="Y48" s="1"/>
      <c r="Z48" s="1"/>
      <c r="AA48" s="1"/>
      <c r="AB48" s="1"/>
      <c r="AC48" s="1"/>
      <c r="AD48" s="1"/>
    </row>
    <row r="49" spans="1:30">
      <c r="A49" s="1" t="str">
        <f t="shared" si="49"/>
        <v>Zambia</v>
      </c>
      <c r="B49" s="1"/>
      <c r="C49" s="1"/>
      <c r="D49" s="6">
        <f>SSA!H67-SSA!G67-(D39)</f>
        <v>-433</v>
      </c>
      <c r="E49" s="6">
        <f>SSA!I67-SSA!H67-(E39)</f>
        <v>6</v>
      </c>
      <c r="F49" s="6">
        <f>SSA!J67-SSA!I67-(F39)</f>
        <v>3</v>
      </c>
      <c r="G49" s="6">
        <f>SSA!K67-SSA!J67-(G39)</f>
        <v>370</v>
      </c>
      <c r="H49" s="6">
        <f>SSA!L67-SSA!K67-(H39)</f>
        <v>211.15626792999933</v>
      </c>
      <c r="I49" s="6">
        <f>SSA!M67-SSA!L67-(I39)</f>
        <v>62.029248841692606</v>
      </c>
      <c r="J49" s="6">
        <f>SSA!N67-SSA!M67-(J39)</f>
        <v>55.898785162740978</v>
      </c>
      <c r="K49" s="6">
        <f>SSA!O67-SSA!N67-(K39)</f>
        <v>56.41511837644839</v>
      </c>
      <c r="L49" s="6">
        <f>SSA!P67-SSA!O67-(L39)</f>
        <v>56.935217452665256</v>
      </c>
      <c r="M49" s="6">
        <f>SSA!Q67-SSA!P67-(M39)</f>
        <v>57.459107141683717</v>
      </c>
      <c r="N49" s="6">
        <f>SSA!R67-SSA!Q67-(N39)</f>
        <v>57.986812347156729</v>
      </c>
      <c r="O49" s="6">
        <f>SSA!S67-SSA!R67-(O39)</f>
        <v>58.518358127005513</v>
      </c>
      <c r="P49" s="6">
        <f>SSA!T67-SSA!S67-(P39)</f>
        <v>59.05376969434451</v>
      </c>
      <c r="Q49" s="6">
        <f>SSA!U67-SSA!T67-(Q39)</f>
        <v>59.593072418402699</v>
      </c>
      <c r="R49" s="6">
        <f>SSA!V67-SSA!U67-(R39)</f>
        <v>60.136291825459921</v>
      </c>
      <c r="S49" s="6"/>
      <c r="T49" s="1"/>
      <c r="U49" s="1"/>
      <c r="V49" s="1"/>
      <c r="W49" s="1"/>
      <c r="X49" s="1"/>
      <c r="Y49" s="1"/>
      <c r="Z49" s="1"/>
      <c r="AA49" s="1"/>
      <c r="AB49" s="1"/>
      <c r="AC49" s="1"/>
      <c r="AD49" s="1"/>
    </row>
    <row r="50" spans="1:30">
      <c r="A50" s="1" t="str">
        <f t="shared" si="49"/>
        <v>Rwanda</v>
      </c>
      <c r="B50" s="1"/>
      <c r="C50" s="1"/>
      <c r="D50" s="6">
        <f>SSA!H68-SSA!G68-(D40)</f>
        <v>-116</v>
      </c>
      <c r="E50" s="6">
        <f>SSA!I68-SSA!H68-(E40)</f>
        <v>45</v>
      </c>
      <c r="F50" s="6">
        <f>SSA!J68-SSA!I68-(F40)</f>
        <v>-2</v>
      </c>
      <c r="G50" s="6">
        <f>SSA!K68-SSA!J68-(G40)</f>
        <v>186</v>
      </c>
      <c r="H50" s="6"/>
      <c r="I50" s="6"/>
      <c r="J50" s="6"/>
      <c r="K50" s="6"/>
      <c r="L50" s="6"/>
      <c r="M50" s="6"/>
      <c r="N50" s="6"/>
      <c r="O50" s="6"/>
      <c r="P50" s="6"/>
      <c r="Q50" s="6"/>
      <c r="R50" s="6"/>
      <c r="S50" s="6"/>
      <c r="T50" s="1"/>
      <c r="U50" s="1"/>
      <c r="V50" s="1"/>
      <c r="W50" s="1"/>
      <c r="X50" s="1"/>
      <c r="Y50" s="1"/>
      <c r="Z50" s="1"/>
      <c r="AA50" s="1"/>
      <c r="AB50" s="1"/>
      <c r="AC50" s="1"/>
      <c r="AD50" s="1"/>
    </row>
    <row r="51" spans="1:30">
      <c r="A51" s="1" t="str">
        <f t="shared" si="49"/>
        <v>Kuwait</v>
      </c>
      <c r="B51" s="1"/>
      <c r="C51" s="1"/>
      <c r="D51" s="6">
        <f>MENA!H26-MENA!G26-'Sites and tenancies'!D41</f>
        <v>14</v>
      </c>
      <c r="E51" s="6">
        <f>MENA!I26-MENA!H26-'Sites and tenancies'!E41</f>
        <v>1</v>
      </c>
      <c r="F51" s="6">
        <f>MENA!J26-MENA!I26-'Sites and tenancies'!F41</f>
        <v>9</v>
      </c>
      <c r="G51" s="6">
        <f>MENA!K26-MENA!J26-'Sites and tenancies'!G41</f>
        <v>-2</v>
      </c>
      <c r="H51" s="6">
        <f>MENA!L26-MENA!K26-'Sites and tenancies'!H41</f>
        <v>10.89044872727527</v>
      </c>
      <c r="I51" s="6">
        <f>MENA!M26-MENA!L26-'Sites and tenancies'!I41</f>
        <v>10.264366884100809</v>
      </c>
      <c r="J51" s="6">
        <f>MENA!N26-MENA!M26-'Sites and tenancies'!J41</f>
        <v>10.805246434568062</v>
      </c>
      <c r="K51" s="6">
        <f>MENA!O26-MENA!N26-'Sites and tenancies'!K41</f>
        <v>11.359305951932583</v>
      </c>
      <c r="L51" s="6">
        <f>MENA!P26-MENA!O26-'Sites and tenancies'!L41</f>
        <v>11.926788835703064</v>
      </c>
      <c r="M51" s="6">
        <f>MENA!Q26-MENA!P26-'Sites and tenancies'!M41</f>
        <v>12.507942374264076</v>
      </c>
      <c r="N51" s="6">
        <f>MENA!R26-MENA!Q26-'Sites and tenancies'!N41</f>
        <v>13.103017801698115</v>
      </c>
      <c r="O51" s="6">
        <f>MENA!S26-MENA!R26-'Sites and tenancies'!O41</f>
        <v>13.712270355400051</v>
      </c>
      <c r="P51" s="6">
        <f>MENA!T26-MENA!S26-'Sites and tenancies'!P41</f>
        <v>14.335959334472136</v>
      </c>
      <c r="Q51" s="6">
        <f>MENA!U26-MENA!T26-'Sites and tenancies'!Q41</f>
        <v>14.974348158926205</v>
      </c>
      <c r="R51" s="6">
        <f>MENA!V26-MENA!U26-'Sites and tenancies'!R41</f>
        <v>15.62770442970168</v>
      </c>
      <c r="S51" s="6"/>
      <c r="T51" s="1"/>
      <c r="U51" s="1"/>
      <c r="V51" s="1"/>
      <c r="W51" s="1"/>
      <c r="X51" s="1"/>
      <c r="Y51" s="1"/>
      <c r="Z51" s="1"/>
      <c r="AA51" s="1"/>
      <c r="AB51" s="1"/>
      <c r="AC51" s="1"/>
      <c r="AD51" s="1"/>
    </row>
    <row r="52" spans="1:30">
      <c r="A52" s="1" t="str">
        <f t="shared" si="49"/>
        <v>Latam</v>
      </c>
      <c r="B52" s="1"/>
      <c r="C52" s="1"/>
      <c r="D52" s="6">
        <f>Latam!H59-Latam!G59-'Sites and tenancies'!D42</f>
        <v>288</v>
      </c>
      <c r="E52" s="6">
        <f>Latam!I59-Latam!H59-'Sites and tenancies'!E42</f>
        <v>1453</v>
      </c>
      <c r="F52" s="6">
        <f>Latam!J59-Latam!I59-'Sites and tenancies'!F42</f>
        <v>-28</v>
      </c>
      <c r="G52" s="6">
        <f>Latam!K59-Latam!J59-'Sites and tenancies'!G42</f>
        <v>119</v>
      </c>
      <c r="H52" s="6">
        <f>Latam!L59-Latam!K59-'Sites and tenancies'!H42</f>
        <v>284.95478264000121</v>
      </c>
      <c r="I52" s="6">
        <f>Latam!M59-Latam!L59-'Sites and tenancies'!I42</f>
        <v>238.18336505865045</v>
      </c>
      <c r="J52" s="6">
        <f>Latam!N59-Latam!M59-'Sites and tenancies'!J42</f>
        <v>230.4345988666264</v>
      </c>
      <c r="K52" s="6">
        <f>Latam!O59-Latam!N59-'Sites and tenancies'!K42</f>
        <v>226.86169639254513</v>
      </c>
      <c r="L52" s="6">
        <f>Latam!P59-Latam!O59-'Sites and tenancies'!L42</f>
        <v>238.05751916365625</v>
      </c>
      <c r="M52" s="6">
        <f>Latam!Q59-Latam!P59-'Sites and tenancies'!M42</f>
        <v>249.67965384732997</v>
      </c>
      <c r="N52" s="6">
        <f>Latam!R59-Latam!Q59-'Sites and tenancies'!N42</f>
        <v>261.7420590645761</v>
      </c>
      <c r="O52" s="6">
        <f>Latam!S59-Latam!R59-'Sites and tenancies'!O42</f>
        <v>274.25910894593471</v>
      </c>
      <c r="P52" s="6">
        <f>Latam!T59-Latam!S59-'Sites and tenancies'!P42</f>
        <v>287.2456047222222</v>
      </c>
      <c r="Q52" s="6">
        <f>Latam!U59-Latam!T59-'Sites and tenancies'!Q42</f>
        <v>300.7167866237578</v>
      </c>
      <c r="R52" s="6">
        <f>Latam!V59-Latam!U59-'Sites and tenancies'!R42</f>
        <v>314.68834609598889</v>
      </c>
      <c r="S52" s="6"/>
      <c r="T52" s="1"/>
      <c r="U52" s="1"/>
      <c r="V52" s="1"/>
      <c r="W52" s="1"/>
      <c r="X52" s="1"/>
      <c r="Y52" s="1"/>
      <c r="Z52" s="1"/>
      <c r="AA52" s="1"/>
      <c r="AB52" s="1"/>
      <c r="AC52" s="1"/>
      <c r="AD52" s="1"/>
    </row>
    <row r="53" spans="1:30" ht="17.25" thickBot="1">
      <c r="A53" s="1" t="str">
        <f t="shared" si="49"/>
        <v>Total</v>
      </c>
      <c r="B53" s="116"/>
      <c r="C53" s="116">
        <f>SUM(C46:C50)</f>
        <v>0</v>
      </c>
      <c r="D53" s="116">
        <f>SUM(D46:D52)</f>
        <v>-103</v>
      </c>
      <c r="E53" s="116">
        <f t="shared" ref="E53:J53" si="50">SUM(E46:E52)</f>
        <v>2090</v>
      </c>
      <c r="F53" s="116">
        <f t="shared" si="50"/>
        <v>631</v>
      </c>
      <c r="G53" s="116">
        <f t="shared" si="50"/>
        <v>455</v>
      </c>
      <c r="H53" s="116">
        <f t="shared" si="50"/>
        <v>1003.2442290722749</v>
      </c>
      <c r="I53" s="116">
        <f t="shared" si="50"/>
        <v>1521.7998364785919</v>
      </c>
      <c r="J53" s="116">
        <f t="shared" si="50"/>
        <v>862.01867997156478</v>
      </c>
      <c r="K53" s="116">
        <f t="shared" ref="K53:R53" si="51">SUM(K46:K52)</f>
        <v>875.50128728387517</v>
      </c>
      <c r="L53" s="116">
        <f t="shared" si="51"/>
        <v>895.68915259238202</v>
      </c>
      <c r="M53" s="116">
        <f t="shared" si="51"/>
        <v>745.68582063341478</v>
      </c>
      <c r="N53" s="116">
        <f t="shared" si="51"/>
        <v>592.64310435018365</v>
      </c>
      <c r="O53" s="116">
        <f t="shared" si="51"/>
        <v>609.64668309903686</v>
      </c>
      <c r="P53" s="116">
        <f t="shared" si="51"/>
        <v>627.17693735287571</v>
      </c>
      <c r="Q53" s="116">
        <f t="shared" si="51"/>
        <v>645.2498177543207</v>
      </c>
      <c r="R53" s="116">
        <f t="shared" si="51"/>
        <v>663.88173479925854</v>
      </c>
      <c r="S53" s="40"/>
      <c r="T53" s="1"/>
      <c r="U53" s="1"/>
      <c r="V53" s="1"/>
      <c r="W53" s="1"/>
      <c r="X53" s="1"/>
      <c r="Y53" s="1"/>
      <c r="Z53" s="1"/>
      <c r="AA53" s="1"/>
      <c r="AB53" s="1"/>
      <c r="AC53" s="1"/>
      <c r="AD53" s="1"/>
    </row>
    <row r="54" spans="1:30">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row>
    <row r="55" spans="1:30">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row>
    <row r="56" spans="1:30">
      <c r="A56" s="1" t="s">
        <v>403</v>
      </c>
      <c r="B56" s="1"/>
      <c r="C56" s="1"/>
      <c r="D56" s="6">
        <f>D3+D5+D4+D6+D7-SUM(C3:C7)</f>
        <v>568</v>
      </c>
      <c r="E56" s="6">
        <f t="shared" ref="E56:J56" si="52">E3+E5+E4+E6+E7-SUM(D3:D7)</f>
        <v>422</v>
      </c>
      <c r="F56" s="6">
        <f t="shared" si="52"/>
        <v>-394</v>
      </c>
      <c r="G56" s="6">
        <f t="shared" si="52"/>
        <v>197</v>
      </c>
      <c r="H56" s="6">
        <f t="shared" si="52"/>
        <v>-1396.3599221250042</v>
      </c>
      <c r="I56" s="6">
        <f t="shared" si="52"/>
        <v>151.30468998112337</v>
      </c>
      <c r="J56" s="6">
        <f t="shared" si="52"/>
        <v>158.65000382005383</v>
      </c>
      <c r="K56" s="6">
        <f t="shared" ref="K56:R56" si="53">K3+K5+K4+K6+K7-SUM(J3:J7)</f>
        <v>173.75316572855445</v>
      </c>
      <c r="L56" s="6">
        <f t="shared" si="53"/>
        <v>175.03900511333268</v>
      </c>
      <c r="M56" s="6">
        <f t="shared" si="53"/>
        <v>176.33447608234928</v>
      </c>
      <c r="N56" s="6">
        <f t="shared" si="53"/>
        <v>177.63965124046808</v>
      </c>
      <c r="O56" s="6">
        <f t="shared" si="53"/>
        <v>178.95460373901005</v>
      </c>
      <c r="P56" s="6">
        <f t="shared" si="53"/>
        <v>180.27940727984242</v>
      </c>
      <c r="Q56" s="6">
        <f t="shared" si="53"/>
        <v>181.6141361194459</v>
      </c>
      <c r="R56" s="6">
        <f t="shared" si="53"/>
        <v>182.95886507302566</v>
      </c>
      <c r="S56" s="6"/>
      <c r="T56" s="1"/>
      <c r="U56" s="1"/>
      <c r="V56" s="1"/>
      <c r="W56" s="1"/>
      <c r="X56" s="1"/>
      <c r="Y56" s="1"/>
      <c r="Z56" s="1"/>
      <c r="AA56" s="1"/>
      <c r="AB56" s="1"/>
      <c r="AC56" s="1"/>
      <c r="AD56" s="1"/>
    </row>
    <row r="57" spans="1:30">
      <c r="A57" s="1" t="s">
        <v>273</v>
      </c>
      <c r="B57" s="1"/>
      <c r="C57" s="1"/>
      <c r="D57" s="6">
        <f>D8-C8</f>
        <v>240</v>
      </c>
      <c r="E57" s="6">
        <f t="shared" ref="E57:J57" si="54">E8-D8</f>
        <v>129</v>
      </c>
      <c r="F57" s="6">
        <f t="shared" si="54"/>
        <v>141</v>
      </c>
      <c r="G57" s="6">
        <f t="shared" si="54"/>
        <v>3</v>
      </c>
      <c r="H57" s="6">
        <f t="shared" si="54"/>
        <v>138.71198742999968</v>
      </c>
      <c r="I57" s="6">
        <f t="shared" si="54"/>
        <v>51.68971964239995</v>
      </c>
      <c r="J57" s="6">
        <f t="shared" si="54"/>
        <v>52.542142836505263</v>
      </c>
      <c r="K57" s="6">
        <f t="shared" ref="K57:R58" si="55">K8-J8</f>
        <v>53.406445522527747</v>
      </c>
      <c r="L57" s="6">
        <f t="shared" si="55"/>
        <v>54.282780047987671</v>
      </c>
      <c r="M57" s="6">
        <f t="shared" si="55"/>
        <v>55.171300619404064</v>
      </c>
      <c r="N57" s="6">
        <f t="shared" si="55"/>
        <v>56.072163324244229</v>
      </c>
      <c r="O57" s="6">
        <f t="shared" si="55"/>
        <v>56.985526153119281</v>
      </c>
      <c r="P57" s="6">
        <f t="shared" si="55"/>
        <v>57.911549022239797</v>
      </c>
      <c r="Q57" s="6">
        <f t="shared" si="55"/>
        <v>58.850393796126355</v>
      </c>
      <c r="R57" s="6">
        <f t="shared" si="55"/>
        <v>59.802224310589281</v>
      </c>
      <c r="S57" s="6"/>
      <c r="T57" s="1"/>
      <c r="U57" s="1"/>
      <c r="V57" s="1"/>
      <c r="W57" s="1"/>
      <c r="X57" s="1"/>
      <c r="Y57" s="1"/>
      <c r="Z57" s="1"/>
      <c r="AA57" s="1"/>
      <c r="AB57" s="1"/>
      <c r="AC57" s="1"/>
      <c r="AD57" s="1"/>
    </row>
    <row r="58" spans="1:30">
      <c r="A58" s="1" t="s">
        <v>160</v>
      </c>
      <c r="B58" s="1"/>
      <c r="C58" s="1"/>
      <c r="D58" s="6">
        <f>D9-C9</f>
        <v>2428</v>
      </c>
      <c r="E58" s="6">
        <f t="shared" ref="E58:J58" si="56">E9-D9</f>
        <v>2367</v>
      </c>
      <c r="F58" s="6">
        <f t="shared" si="56"/>
        <v>676</v>
      </c>
      <c r="G58" s="6">
        <f t="shared" si="56"/>
        <v>627</v>
      </c>
      <c r="H58" s="6">
        <f t="shared" si="56"/>
        <v>423.98369574999924</v>
      </c>
      <c r="I58" s="6">
        <f t="shared" si="56"/>
        <v>448.95008515500194</v>
      </c>
      <c r="J58" s="6">
        <f t="shared" si="56"/>
        <v>399.75076781640018</v>
      </c>
      <c r="K58" s="6">
        <f t="shared" si="55"/>
        <v>366.69957401523607</v>
      </c>
      <c r="L58" s="6">
        <f t="shared" si="55"/>
        <v>377.42688315635678</v>
      </c>
      <c r="M58" s="6">
        <f t="shared" si="55"/>
        <v>388.43660483351596</v>
      </c>
      <c r="N58" s="6">
        <f t="shared" si="55"/>
        <v>399.73574462449869</v>
      </c>
      <c r="O58" s="6">
        <f t="shared" si="55"/>
        <v>411.33147536518845</v>
      </c>
      <c r="P58" s="6">
        <f t="shared" si="55"/>
        <v>423.23114103765693</v>
      </c>
      <c r="Q58" s="6">
        <f t="shared" si="55"/>
        <v>435.44226074687685</v>
      </c>
      <c r="R58" s="6">
        <f t="shared" si="55"/>
        <v>447.97253278804965</v>
      </c>
      <c r="S58" s="6"/>
      <c r="T58" s="1"/>
      <c r="U58" s="1"/>
      <c r="V58" s="1"/>
      <c r="W58" s="1"/>
      <c r="X58" s="1"/>
      <c r="Y58" s="1"/>
      <c r="Z58" s="1"/>
      <c r="AA58" s="1"/>
      <c r="AB58" s="1"/>
      <c r="AC58" s="1"/>
      <c r="AD58" s="1"/>
    </row>
    <row r="59" spans="1:30">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row>
    <row r="60" spans="1:30">
      <c r="A60" s="1" t="s">
        <v>404</v>
      </c>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row>
    <row r="61" spans="1:30">
      <c r="A61" s="1" t="s">
        <v>403</v>
      </c>
      <c r="B61" s="1"/>
      <c r="C61" s="1"/>
      <c r="D61" s="1">
        <f>E61</f>
        <v>0.09</v>
      </c>
      <c r="E61" s="1">
        <v>0.09</v>
      </c>
      <c r="F61" s="1">
        <f t="shared" ref="F61:J63" si="57">E61</f>
        <v>0.09</v>
      </c>
      <c r="G61" s="1">
        <f t="shared" si="57"/>
        <v>0.09</v>
      </c>
      <c r="H61" s="1">
        <f t="shared" si="57"/>
        <v>0.09</v>
      </c>
      <c r="I61" s="1">
        <f t="shared" si="57"/>
        <v>0.09</v>
      </c>
      <c r="J61" s="1">
        <f t="shared" si="57"/>
        <v>0.09</v>
      </c>
      <c r="K61" s="1">
        <f t="shared" ref="K61:R63" si="58">J61</f>
        <v>0.09</v>
      </c>
      <c r="L61" s="1">
        <f t="shared" si="58"/>
        <v>0.09</v>
      </c>
      <c r="M61" s="1">
        <f t="shared" si="58"/>
        <v>0.09</v>
      </c>
      <c r="N61" s="1">
        <f t="shared" si="58"/>
        <v>0.09</v>
      </c>
      <c r="O61" s="1">
        <f t="shared" si="58"/>
        <v>0.09</v>
      </c>
      <c r="P61" s="1">
        <f t="shared" si="58"/>
        <v>0.09</v>
      </c>
      <c r="Q61" s="1">
        <f t="shared" si="58"/>
        <v>0.09</v>
      </c>
      <c r="R61" s="1">
        <f t="shared" si="58"/>
        <v>0.09</v>
      </c>
      <c r="S61" s="1"/>
      <c r="T61" s="1"/>
      <c r="U61" s="1"/>
      <c r="V61" s="1"/>
      <c r="W61" s="1"/>
      <c r="X61" s="1"/>
      <c r="Y61" s="1"/>
      <c r="Z61" s="1"/>
      <c r="AA61" s="1"/>
      <c r="AB61" s="1"/>
      <c r="AC61" s="1"/>
      <c r="AD61" s="1"/>
    </row>
    <row r="62" spans="1:30">
      <c r="A62" s="1" t="s">
        <v>273</v>
      </c>
      <c r="B62" s="1"/>
      <c r="C62" s="1"/>
      <c r="D62" s="1">
        <f>E62</f>
        <v>0.09</v>
      </c>
      <c r="E62" s="1">
        <v>0.09</v>
      </c>
      <c r="F62" s="1">
        <f t="shared" si="57"/>
        <v>0.09</v>
      </c>
      <c r="G62" s="1">
        <f t="shared" si="57"/>
        <v>0.09</v>
      </c>
      <c r="H62" s="1">
        <f t="shared" si="57"/>
        <v>0.09</v>
      </c>
      <c r="I62" s="1">
        <f t="shared" si="57"/>
        <v>0.09</v>
      </c>
      <c r="J62" s="1">
        <f t="shared" si="57"/>
        <v>0.09</v>
      </c>
      <c r="K62" s="1">
        <f t="shared" si="58"/>
        <v>0.09</v>
      </c>
      <c r="L62" s="1">
        <f t="shared" si="58"/>
        <v>0.09</v>
      </c>
      <c r="M62" s="1">
        <f t="shared" si="58"/>
        <v>0.09</v>
      </c>
      <c r="N62" s="1">
        <f t="shared" si="58"/>
        <v>0.09</v>
      </c>
      <c r="O62" s="1">
        <f t="shared" si="58"/>
        <v>0.09</v>
      </c>
      <c r="P62" s="1">
        <f t="shared" si="58"/>
        <v>0.09</v>
      </c>
      <c r="Q62" s="1">
        <f t="shared" si="58"/>
        <v>0.09</v>
      </c>
      <c r="R62" s="1">
        <f t="shared" si="58"/>
        <v>0.09</v>
      </c>
      <c r="S62" s="1"/>
      <c r="T62" s="1"/>
      <c r="U62" s="1"/>
      <c r="V62" s="1"/>
      <c r="W62" s="1"/>
      <c r="X62" s="1"/>
      <c r="Y62" s="1"/>
      <c r="Z62" s="1"/>
      <c r="AA62" s="1"/>
      <c r="AB62" s="1"/>
      <c r="AC62" s="1"/>
      <c r="AD62" s="1"/>
    </row>
    <row r="63" spans="1:30">
      <c r="A63" s="1" t="s">
        <v>160</v>
      </c>
      <c r="B63" s="1"/>
      <c r="C63" s="1"/>
      <c r="D63" s="1">
        <f>E63</f>
        <v>0.05</v>
      </c>
      <c r="E63" s="1">
        <v>0.05</v>
      </c>
      <c r="F63" s="1">
        <f t="shared" si="57"/>
        <v>0.05</v>
      </c>
      <c r="G63" s="1">
        <f t="shared" si="57"/>
        <v>0.05</v>
      </c>
      <c r="H63" s="1">
        <f t="shared" si="57"/>
        <v>0.05</v>
      </c>
      <c r="I63" s="1">
        <f t="shared" si="57"/>
        <v>0.05</v>
      </c>
      <c r="J63" s="1">
        <f t="shared" si="57"/>
        <v>0.05</v>
      </c>
      <c r="K63" s="1">
        <f t="shared" si="58"/>
        <v>0.05</v>
      </c>
      <c r="L63" s="1">
        <f t="shared" si="58"/>
        <v>0.05</v>
      </c>
      <c r="M63" s="1">
        <f t="shared" si="58"/>
        <v>0.05</v>
      </c>
      <c r="N63" s="1">
        <f t="shared" si="58"/>
        <v>0.05</v>
      </c>
      <c r="O63" s="1">
        <f t="shared" si="58"/>
        <v>0.05</v>
      </c>
      <c r="P63" s="1">
        <f t="shared" si="58"/>
        <v>0.05</v>
      </c>
      <c r="Q63" s="1">
        <f t="shared" si="58"/>
        <v>0.05</v>
      </c>
      <c r="R63" s="1">
        <f t="shared" si="58"/>
        <v>0.05</v>
      </c>
      <c r="S63" s="1"/>
      <c r="T63" s="1"/>
      <c r="U63" s="1"/>
      <c r="V63" s="1"/>
      <c r="W63" s="1"/>
      <c r="X63" s="1"/>
      <c r="Y63" s="1"/>
      <c r="Z63" s="1"/>
      <c r="AA63" s="1"/>
      <c r="AB63" s="1"/>
      <c r="AC63" s="1"/>
      <c r="AD63" s="1"/>
    </row>
    <row r="64" spans="1:30">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row>
    <row r="65" spans="1:30">
      <c r="A65" s="1" t="s">
        <v>405</v>
      </c>
      <c r="B65" s="1"/>
      <c r="C65" s="2"/>
      <c r="D65" s="2">
        <f t="shared" ref="D65:J65" si="59">(D56*D61)+(D57*D62)+(D58*D63)</f>
        <v>194.12</v>
      </c>
      <c r="E65" s="2">
        <f t="shared" si="59"/>
        <v>167.94</v>
      </c>
      <c r="F65" s="2">
        <f t="shared" si="59"/>
        <v>11.030000000000001</v>
      </c>
      <c r="G65" s="2">
        <f t="shared" si="59"/>
        <v>49.35</v>
      </c>
      <c r="H65" s="2">
        <f t="shared" si="59"/>
        <v>-91.98912933505045</v>
      </c>
      <c r="I65" s="2">
        <f t="shared" si="59"/>
        <v>40.717001123867192</v>
      </c>
      <c r="J65" s="2">
        <f t="shared" si="59"/>
        <v>38.994831589910326</v>
      </c>
      <c r="K65" s="2">
        <f t="shared" ref="K65:R65" si="60">(K56*K61)+(K57*K62)+(K58*K63)</f>
        <v>38.779343713359204</v>
      </c>
      <c r="L65" s="2">
        <f t="shared" si="60"/>
        <v>39.510304822336671</v>
      </c>
      <c r="M65" s="2">
        <f t="shared" si="60"/>
        <v>40.257350144833595</v>
      </c>
      <c r="N65" s="2">
        <f t="shared" si="60"/>
        <v>41.020850542049047</v>
      </c>
      <c r="O65" s="2">
        <f t="shared" si="60"/>
        <v>41.80118545855106</v>
      </c>
      <c r="P65" s="2">
        <f t="shared" si="60"/>
        <v>42.598743119070249</v>
      </c>
      <c r="Q65" s="2">
        <f t="shared" si="60"/>
        <v>43.413920729745342</v>
      </c>
      <c r="R65" s="2">
        <f t="shared" si="60"/>
        <v>44.247124683927829</v>
      </c>
      <c r="S65" s="2"/>
      <c r="T65" s="1"/>
      <c r="U65" s="1"/>
      <c r="V65" s="1"/>
      <c r="W65" s="1"/>
      <c r="X65" s="1"/>
      <c r="Y65" s="1"/>
      <c r="Z65" s="1"/>
      <c r="AA65" s="1"/>
      <c r="AB65" s="1"/>
      <c r="AC65" s="1"/>
      <c r="AD65" s="1"/>
    </row>
    <row r="66" spans="1:30">
      <c r="A66" s="1" t="s">
        <v>210</v>
      </c>
      <c r="B66" s="1"/>
      <c r="C66" s="2"/>
      <c r="D66" s="2">
        <f>Master!H28</f>
        <v>402</v>
      </c>
      <c r="E66" s="2">
        <f>Master!I28</f>
        <v>634</v>
      </c>
      <c r="F66" s="2">
        <f>Master!J28</f>
        <v>586</v>
      </c>
      <c r="G66" s="2">
        <f>Master!K28</f>
        <v>257</v>
      </c>
      <c r="H66" s="2">
        <f>Master!L28</f>
        <v>258.79166107797295</v>
      </c>
      <c r="I66" s="2">
        <f>Master!M28</f>
        <v>269.40147831582021</v>
      </c>
      <c r="J66" s="2">
        <f>Master!N28</f>
        <v>278.20707248888192</v>
      </c>
      <c r="K66" s="2">
        <f>Master!O28</f>
        <v>295.05278547486472</v>
      </c>
      <c r="L66" s="2">
        <f>Master!P28</f>
        <v>302.12273200606688</v>
      </c>
      <c r="M66" s="2">
        <f>Master!Q28</f>
        <v>319.91401698300626</v>
      </c>
      <c r="N66" s="2">
        <f>Master!R28</f>
        <v>325.468458174923</v>
      </c>
      <c r="O66" s="2">
        <f>Master!S28</f>
        <v>342.81725952249258</v>
      </c>
      <c r="P66" s="2">
        <f>Master!T28</f>
        <v>347.77282386819508</v>
      </c>
      <c r="Q66" s="2">
        <f>Master!U28</f>
        <v>366.41213083310117</v>
      </c>
      <c r="R66" s="2">
        <f>Master!V28</f>
        <v>386.11284697475224</v>
      </c>
      <c r="S66" s="2"/>
      <c r="T66" s="1"/>
      <c r="U66" s="1"/>
      <c r="V66" s="1"/>
      <c r="W66" s="1"/>
      <c r="X66" s="1"/>
      <c r="Y66" s="1"/>
      <c r="Z66" s="1"/>
      <c r="AA66" s="1"/>
      <c r="AB66" s="1"/>
      <c r="AC66" s="1"/>
      <c r="AD66" s="1"/>
    </row>
    <row r="67" spans="1:30">
      <c r="A67" s="1" t="s">
        <v>406</v>
      </c>
      <c r="B67" s="1">
        <v>167</v>
      </c>
      <c r="C67" s="2">
        <v>114</v>
      </c>
      <c r="D67" s="2">
        <f>D66-D65</f>
        <v>207.88</v>
      </c>
      <c r="E67" s="2">
        <f t="shared" ref="E67:J67" si="61">E66-E65</f>
        <v>466.06</v>
      </c>
      <c r="F67" s="2">
        <f t="shared" si="61"/>
        <v>574.97</v>
      </c>
      <c r="G67" s="2">
        <f t="shared" si="61"/>
        <v>207.65</v>
      </c>
      <c r="H67" s="2">
        <f t="shared" si="61"/>
        <v>350.7807904130234</v>
      </c>
      <c r="I67" s="2">
        <f t="shared" si="61"/>
        <v>228.68447719195302</v>
      </c>
      <c r="J67" s="2">
        <f t="shared" si="61"/>
        <v>239.2122408989716</v>
      </c>
      <c r="K67" s="2">
        <f t="shared" ref="K67:R67" si="62">K66-K65</f>
        <v>256.27344176150552</v>
      </c>
      <c r="L67" s="2">
        <f t="shared" si="62"/>
        <v>262.61242718373023</v>
      </c>
      <c r="M67" s="2">
        <f t="shared" si="62"/>
        <v>279.65666683817267</v>
      </c>
      <c r="N67" s="2">
        <f t="shared" si="62"/>
        <v>284.44760763287394</v>
      </c>
      <c r="O67" s="2">
        <f t="shared" si="62"/>
        <v>301.01607406394152</v>
      </c>
      <c r="P67" s="2">
        <f t="shared" si="62"/>
        <v>305.17408074912481</v>
      </c>
      <c r="Q67" s="2">
        <f t="shared" si="62"/>
        <v>322.99821010335586</v>
      </c>
      <c r="R67" s="2">
        <f t="shared" si="62"/>
        <v>341.86572229082441</v>
      </c>
      <c r="S67" s="2"/>
      <c r="T67" s="1"/>
      <c r="U67" s="1"/>
      <c r="V67" s="1"/>
      <c r="W67" s="1"/>
      <c r="X67" s="1"/>
      <c r="Y67" s="1"/>
      <c r="Z67" s="1"/>
      <c r="AA67" s="1"/>
      <c r="AB67" s="1"/>
      <c r="AC67" s="1"/>
      <c r="AD67" s="1"/>
    </row>
    <row r="68" spans="1:30">
      <c r="A68" s="1" t="s">
        <v>407</v>
      </c>
      <c r="B68" s="1"/>
      <c r="C68" s="1"/>
      <c r="D68" s="3">
        <f>D67/Consolidation!G10</f>
        <v>0.1315921075120432</v>
      </c>
      <c r="E68" s="3">
        <f>E67/Consolidation!H10</f>
        <v>0.23762822496722832</v>
      </c>
      <c r="F68" s="3">
        <f>F67/Consolidation!I10</f>
        <v>0.27050550472139073</v>
      </c>
      <c r="G68" s="3">
        <f>G67/Consolidation!J10</f>
        <v>0.12134581951525955</v>
      </c>
      <c r="H68" s="3">
        <f>H67/Consolidation!K10</f>
        <v>0.20331844674894747</v>
      </c>
      <c r="I68" s="3">
        <f>I67/Consolidation!L10</f>
        <v>0.1273291883668872</v>
      </c>
      <c r="J68" s="3">
        <f>J67/Consolidation!M10</f>
        <v>0.12467610769218328</v>
      </c>
      <c r="K68" s="3">
        <f>K67/Consolidation!N10</f>
        <v>0.12594237670257108</v>
      </c>
      <c r="L68" s="3">
        <f>L67/Consolidation!O10</f>
        <v>0.12169140521668509</v>
      </c>
      <c r="M68" s="3">
        <f>M67/Consolidation!P10</f>
        <v>0.12238267559068511</v>
      </c>
      <c r="N68" s="3">
        <f>N67/Consolidation!Q10</f>
        <v>0.11798509522480263</v>
      </c>
      <c r="O68" s="3">
        <f>O67/Consolidation!R10</f>
        <v>0.11853886836163179</v>
      </c>
      <c r="P68" s="3">
        <f>P67/Consolidation!S10</f>
        <v>0.11407628133825098</v>
      </c>
      <c r="Q68" s="3">
        <f>Q67/Consolidation!T10</f>
        <v>0.11459709922257565</v>
      </c>
      <c r="R68" s="3">
        <f>R67/Consolidation!U10</f>
        <v>0.11510247391668181</v>
      </c>
      <c r="S68" s="3"/>
      <c r="T68" s="1"/>
      <c r="U68" s="1"/>
      <c r="V68" s="1"/>
      <c r="W68" s="1"/>
      <c r="X68" s="1"/>
      <c r="Y68" s="1"/>
      <c r="Z68" s="1"/>
      <c r="AA68" s="1"/>
      <c r="AB68" s="1"/>
      <c r="AC68" s="1"/>
      <c r="AD68" s="1"/>
    </row>
    <row r="69" spans="1:30">
      <c r="A69" s="1" t="s">
        <v>426</v>
      </c>
      <c r="B69" s="1"/>
      <c r="C69" s="1"/>
      <c r="D69" s="3"/>
      <c r="E69" s="118">
        <f t="shared" ref="E69:J69" si="63">AVERAGE(D10:E10)</f>
        <v>32502</v>
      </c>
      <c r="F69" s="118">
        <f t="shared" si="63"/>
        <v>34172.5</v>
      </c>
      <c r="G69" s="118">
        <f t="shared" si="63"/>
        <v>34797.5</v>
      </c>
      <c r="H69" s="118">
        <f t="shared" si="63"/>
        <v>34794.167880527501</v>
      </c>
      <c r="I69" s="118">
        <f t="shared" si="63"/>
        <v>34703.308008444263</v>
      </c>
      <c r="J69" s="118">
        <f t="shared" si="63"/>
        <v>35334.75171307</v>
      </c>
      <c r="K69" s="118">
        <f t="shared" ref="K69:R69" si="64">AVERAGE(J10:K10)</f>
        <v>35937.152762939644</v>
      </c>
      <c r="L69" s="118">
        <f t="shared" si="64"/>
        <v>36537.45668973164</v>
      </c>
      <c r="M69" s="118">
        <f t="shared" si="64"/>
        <v>37150.802214658113</v>
      </c>
      <c r="N69" s="118">
        <f t="shared" si="64"/>
        <v>37777.497185020351</v>
      </c>
      <c r="O69" s="118">
        <f t="shared" si="64"/>
        <v>38417.856767243618</v>
      </c>
      <c r="P69" s="118">
        <f t="shared" si="64"/>
        <v>39072.203618542146</v>
      </c>
      <c r="Q69" s="118">
        <f t="shared" si="64"/>
        <v>39740.868062543239</v>
      </c>
      <c r="R69" s="118">
        <f t="shared" si="64"/>
        <v>40424.188268960293</v>
      </c>
      <c r="S69" s="118"/>
      <c r="T69" s="1"/>
      <c r="U69" s="1"/>
      <c r="V69" s="1"/>
      <c r="W69" s="1"/>
      <c r="X69" s="1"/>
      <c r="Y69" s="1"/>
      <c r="Z69" s="1"/>
      <c r="AA69" s="1"/>
      <c r="AB69" s="1"/>
      <c r="AC69" s="1"/>
      <c r="AD69" s="1"/>
    </row>
    <row r="70" spans="1:30">
      <c r="A70" s="1" t="s">
        <v>427</v>
      </c>
      <c r="B70" s="1"/>
      <c r="C70" s="1"/>
      <c r="D70" s="1"/>
      <c r="E70" s="2">
        <f t="shared" ref="E70:J70" si="65">E67*1000000/E69</f>
        <v>14339.425266137468</v>
      </c>
      <c r="F70" s="2">
        <f t="shared" si="65"/>
        <v>16825.517594557026</v>
      </c>
      <c r="G70" s="2">
        <f t="shared" si="65"/>
        <v>5967.3827142754508</v>
      </c>
      <c r="H70" s="2">
        <f t="shared" si="65"/>
        <v>10081.597341758454</v>
      </c>
      <c r="I70" s="2">
        <f t="shared" si="65"/>
        <v>6589.7025475585169</v>
      </c>
      <c r="J70" s="2">
        <f t="shared" si="65"/>
        <v>6769.8859989580505</v>
      </c>
      <c r="K70" s="2">
        <f t="shared" ref="K70:R70" si="66">K67*1000000/K69</f>
        <v>7131.1559781048845</v>
      </c>
      <c r="L70" s="2">
        <f t="shared" si="66"/>
        <v>7187.4851447318697</v>
      </c>
      <c r="M70" s="2">
        <f t="shared" si="66"/>
        <v>7527.6077545327444</v>
      </c>
      <c r="N70" s="2">
        <f t="shared" si="66"/>
        <v>7529.5514215712519</v>
      </c>
      <c r="O70" s="2">
        <f t="shared" si="66"/>
        <v>7835.3166832720917</v>
      </c>
      <c r="P70" s="2">
        <f t="shared" si="66"/>
        <v>7810.5162362611436</v>
      </c>
      <c r="Q70" s="2">
        <f t="shared" si="66"/>
        <v>8127.6083248868381</v>
      </c>
      <c r="R70" s="2">
        <f t="shared" si="66"/>
        <v>8456.9594821852224</v>
      </c>
      <c r="S70" s="2"/>
      <c r="W70" s="1" t="s">
        <v>428</v>
      </c>
      <c r="X70" s="1"/>
      <c r="Y70" s="1"/>
      <c r="Z70" s="1"/>
      <c r="AA70" s="1"/>
      <c r="AB70" s="1"/>
      <c r="AC70" s="1"/>
      <c r="AD70" s="1"/>
    </row>
    <row r="71" spans="1:30">
      <c r="A71" s="1"/>
      <c r="B71" s="1"/>
      <c r="C71" s="1"/>
      <c r="D71" s="1"/>
      <c r="E71" s="1"/>
      <c r="F71" s="1"/>
      <c r="G71" s="1"/>
      <c r="H71" s="1"/>
      <c r="I71" s="1"/>
      <c r="J71" s="1"/>
      <c r="K71" s="1"/>
      <c r="L71" s="1"/>
      <c r="M71" s="1"/>
      <c r="N71" s="1"/>
      <c r="O71" s="1"/>
      <c r="P71" s="1"/>
      <c r="Q71" s="1"/>
      <c r="R71" s="1"/>
      <c r="S71" s="1"/>
      <c r="W71" s="1"/>
      <c r="X71" s="1"/>
      <c r="Y71" s="1"/>
      <c r="Z71" s="1"/>
      <c r="AA71" s="1"/>
      <c r="AB71" s="1"/>
      <c r="AC71" s="1"/>
      <c r="AD71" s="1"/>
    </row>
    <row r="72" spans="1:30">
      <c r="A72" s="1"/>
      <c r="B72" s="1"/>
      <c r="C72" s="1" t="s">
        <v>280</v>
      </c>
      <c r="D72" s="1"/>
      <c r="E72" s="1"/>
      <c r="F72" s="1"/>
      <c r="G72" s="1"/>
      <c r="H72" s="1"/>
      <c r="I72" s="1"/>
      <c r="J72" s="1"/>
      <c r="K72" s="1"/>
      <c r="L72" s="1"/>
      <c r="M72" s="1"/>
      <c r="N72" s="1"/>
      <c r="O72" s="1"/>
      <c r="P72" s="1"/>
      <c r="Q72" s="1"/>
      <c r="R72" s="1"/>
      <c r="S72" s="1"/>
      <c r="W72" s="1"/>
      <c r="X72" s="1"/>
      <c r="Y72" s="1"/>
      <c r="Z72" s="1"/>
      <c r="AA72" s="1"/>
      <c r="AB72" s="1"/>
      <c r="AC72" s="1"/>
      <c r="AD72" s="1"/>
    </row>
    <row r="73" spans="1:30">
      <c r="A73" s="1"/>
      <c r="B73" s="1"/>
      <c r="C73" s="1">
        <v>2020</v>
      </c>
      <c r="D73" s="1">
        <f>C73+1</f>
        <v>2021</v>
      </c>
      <c r="E73" s="1">
        <f>D73+1</f>
        <v>2022</v>
      </c>
      <c r="F73" s="1">
        <f>E73+1</f>
        <v>2023</v>
      </c>
      <c r="G73" s="1">
        <f>F73+1</f>
        <v>2024</v>
      </c>
      <c r="H73" s="1">
        <f>G73+1</f>
        <v>2025</v>
      </c>
      <c r="I73" s="1"/>
      <c r="J73" s="1"/>
      <c r="K73" s="1"/>
      <c r="L73" s="1"/>
      <c r="M73" s="1"/>
      <c r="N73" s="1"/>
      <c r="O73" s="1"/>
      <c r="P73" s="1"/>
      <c r="Q73" s="1"/>
      <c r="R73" s="1"/>
      <c r="S73" s="1"/>
      <c r="W73" s="1" t="s">
        <v>355</v>
      </c>
      <c r="X73" s="4">
        <v>2020</v>
      </c>
      <c r="Y73" s="4">
        <f>X73+1</f>
        <v>2021</v>
      </c>
      <c r="Z73" s="4">
        <f>Y73+1</f>
        <v>2022</v>
      </c>
      <c r="AA73" s="4">
        <f>Z73+1</f>
        <v>2023</v>
      </c>
      <c r="AB73" s="4">
        <f>AA73+1</f>
        <v>2024</v>
      </c>
      <c r="AC73" s="4">
        <f>AB73+1</f>
        <v>2025</v>
      </c>
      <c r="AD73" s="1"/>
    </row>
    <row r="74" spans="1:30">
      <c r="A74" s="1" t="s">
        <v>203</v>
      </c>
      <c r="B74" s="1"/>
      <c r="C74" s="2">
        <f>Nigeria!G15</f>
        <v>37625</v>
      </c>
      <c r="D74" s="2">
        <f>Nigeria!H15</f>
        <v>39829</v>
      </c>
      <c r="E74" s="2">
        <f>Nigeria!I15</f>
        <v>41008</v>
      </c>
      <c r="F74" s="2">
        <f>Nigeria!J15</f>
        <v>41579</v>
      </c>
      <c r="G74" s="2">
        <f>Nigeria!K15</f>
        <v>42618.474999999999</v>
      </c>
      <c r="H74" s="2">
        <f>Nigeria!L15</f>
        <v>43577.390687499996</v>
      </c>
      <c r="I74" s="1"/>
      <c r="J74" s="1"/>
      <c r="K74" s="1"/>
      <c r="L74" s="1"/>
      <c r="M74" s="1"/>
      <c r="N74" s="1"/>
      <c r="O74" s="1"/>
      <c r="P74" s="1"/>
      <c r="Q74" s="1"/>
      <c r="R74" s="1"/>
      <c r="S74" s="1"/>
      <c r="W74" s="1">
        <f>Nigeria!G7</f>
        <v>213.99618100000001</v>
      </c>
      <c r="X74" s="2">
        <f t="shared" ref="X74:X82" si="67">$W74*1000000/C74</f>
        <v>5687.6061395348834</v>
      </c>
      <c r="Y74" s="2">
        <f t="shared" ref="Y74:Y82" si="68">$W74*1000000/D74</f>
        <v>5372.8735594667205</v>
      </c>
      <c r="Z74" s="2">
        <f t="shared" ref="Z74:Z82" si="69">$W74*1000000/E74</f>
        <v>5218.4008242294185</v>
      </c>
      <c r="AA74" s="2">
        <f t="shared" ref="AA74:AA82" si="70">$W74*1000000/F74</f>
        <v>5146.7370788138242</v>
      </c>
      <c r="AB74" s="2">
        <f t="shared" ref="AB74:AB82" si="71">$W74*1000000/G74</f>
        <v>5021.2069061598286</v>
      </c>
      <c r="AC74" s="2">
        <f t="shared" ref="AC74:AC82" si="72">$W74*1000000/H74</f>
        <v>4910.7158006453092</v>
      </c>
      <c r="AD74" s="1"/>
    </row>
    <row r="75" spans="1:30">
      <c r="A75" s="1" t="s">
        <v>278</v>
      </c>
      <c r="B75" s="1"/>
      <c r="C75" s="2">
        <f>SSA!G24</f>
        <v>4079</v>
      </c>
      <c r="D75" s="2">
        <f>SSA!H24</f>
        <v>4386</v>
      </c>
      <c r="E75" s="2">
        <f>SSA!I24</f>
        <v>4859</v>
      </c>
      <c r="F75" s="2">
        <f>SSA!J24</f>
        <v>5170</v>
      </c>
      <c r="G75" s="2">
        <f>SSA!K24</f>
        <v>5247.5499999999993</v>
      </c>
      <c r="H75" s="2">
        <f>SSA!L24</f>
        <v>5300.0254999999997</v>
      </c>
      <c r="I75" s="1"/>
      <c r="J75" s="1"/>
      <c r="K75" s="1"/>
      <c r="L75" s="1"/>
      <c r="M75" s="1"/>
      <c r="N75" s="1"/>
      <c r="O75" s="1"/>
      <c r="P75" s="1"/>
      <c r="Q75" s="1"/>
      <c r="R75" s="1"/>
      <c r="S75" s="1"/>
      <c r="W75" s="1">
        <f>SSA!G7</f>
        <v>28.915448999999999</v>
      </c>
      <c r="X75" s="2">
        <f t="shared" si="67"/>
        <v>7088.8573179700907</v>
      </c>
      <c r="Y75" s="2">
        <f t="shared" si="68"/>
        <v>6592.6696306429549</v>
      </c>
      <c r="Z75" s="2">
        <f t="shared" si="69"/>
        <v>5950.9053303148794</v>
      </c>
      <c r="AA75" s="2">
        <f t="shared" si="70"/>
        <v>5592.930174081238</v>
      </c>
      <c r="AB75" s="2">
        <f t="shared" si="71"/>
        <v>5510.2760335775747</v>
      </c>
      <c r="AC75" s="2">
        <f t="shared" si="72"/>
        <v>5455.7188451263119</v>
      </c>
      <c r="AD75" s="1"/>
    </row>
    <row r="76" spans="1:30">
      <c r="A76" s="1" t="s">
        <v>279</v>
      </c>
      <c r="B76" s="1"/>
      <c r="C76" s="2">
        <f>SSA!G25</f>
        <v>5208</v>
      </c>
      <c r="D76" s="2">
        <f>SSA!H25</f>
        <v>5631</v>
      </c>
      <c r="E76" s="2">
        <f>SSA!I25</f>
        <v>5398</v>
      </c>
      <c r="F76" s="2">
        <f>SSA!J25</f>
        <v>4188</v>
      </c>
      <c r="G76" s="2">
        <f>SSA!K25</f>
        <v>4250.82</v>
      </c>
      <c r="H76" s="2">
        <f>SSA!L25</f>
        <v>4293.3281999999999</v>
      </c>
      <c r="I76" s="1"/>
      <c r="J76" s="1"/>
      <c r="K76" s="1"/>
      <c r="L76" s="1"/>
      <c r="M76" s="1"/>
      <c r="N76" s="1"/>
      <c r="O76" s="1"/>
      <c r="P76" s="1"/>
      <c r="Q76" s="1"/>
      <c r="R76" s="1"/>
      <c r="S76" s="1"/>
      <c r="W76" s="1">
        <f>SSA!G8</f>
        <v>26.491087</v>
      </c>
      <c r="X76" s="2">
        <f t="shared" si="67"/>
        <v>5086.614247311828</v>
      </c>
      <c r="Y76" s="2">
        <f t="shared" si="68"/>
        <v>4704.5084354466344</v>
      </c>
      <c r="Z76" s="2">
        <f t="shared" si="69"/>
        <v>4907.5744720266766</v>
      </c>
      <c r="AA76" s="2">
        <f t="shared" si="70"/>
        <v>6325.4744508118438</v>
      </c>
      <c r="AB76" s="2">
        <f t="shared" si="71"/>
        <v>6231.9945328195508</v>
      </c>
      <c r="AC76" s="2">
        <f t="shared" si="72"/>
        <v>6170.2916166530204</v>
      </c>
      <c r="AD76" s="1"/>
    </row>
    <row r="77" spans="1:30">
      <c r="A77" s="1" t="s">
        <v>202</v>
      </c>
      <c r="B77" s="1"/>
      <c r="C77" s="2">
        <f>SSA!G26</f>
        <v>3491</v>
      </c>
      <c r="D77" s="2">
        <f>SSA!H26</f>
        <v>3479</v>
      </c>
      <c r="E77" s="2">
        <f>SSA!I26</f>
        <v>3643</v>
      </c>
      <c r="F77" s="2">
        <f>SSA!J26</f>
        <v>3737</v>
      </c>
      <c r="G77" s="2">
        <f>SSA!K26</f>
        <v>3755.6849999999995</v>
      </c>
      <c r="H77" s="2">
        <f>SSA!L26</f>
        <v>3774.463424999999</v>
      </c>
      <c r="I77" s="1"/>
      <c r="J77" s="1"/>
      <c r="K77" s="1"/>
      <c r="L77" s="1"/>
      <c r="M77" s="1"/>
      <c r="N77" s="1"/>
      <c r="O77" s="1"/>
      <c r="P77" s="1"/>
      <c r="Q77" s="1"/>
      <c r="R77" s="1"/>
      <c r="S77" s="1"/>
      <c r="W77" s="1">
        <f>SSA!G9</f>
        <v>18.927714999999999</v>
      </c>
      <c r="X77" s="2">
        <f t="shared" si="67"/>
        <v>5421.8604984245203</v>
      </c>
      <c r="Y77" s="2">
        <f t="shared" si="68"/>
        <v>5440.5619430870938</v>
      </c>
      <c r="Z77" s="2">
        <f t="shared" si="69"/>
        <v>5195.6395827614606</v>
      </c>
      <c r="AA77" s="2">
        <f t="shared" si="70"/>
        <v>5064.94915707787</v>
      </c>
      <c r="AB77" s="2">
        <f t="shared" si="71"/>
        <v>5039.7504050526077</v>
      </c>
      <c r="AC77" s="2">
        <f t="shared" si="72"/>
        <v>5014.6770199528437</v>
      </c>
      <c r="AD77" s="1"/>
    </row>
    <row r="78" spans="1:30">
      <c r="A78" s="1" t="s">
        <v>206</v>
      </c>
      <c r="B78" s="1"/>
      <c r="C78" s="2">
        <f>SSA!G27</f>
        <v>1605</v>
      </c>
      <c r="D78" s="2">
        <f>SSA!H27</f>
        <v>1739</v>
      </c>
      <c r="E78" s="2">
        <f>SSA!I27</f>
        <v>1861</v>
      </c>
      <c r="F78" s="2">
        <f>SSA!J27</f>
        <v>2099</v>
      </c>
      <c r="G78" s="2">
        <f>SSA!K27</f>
        <v>2203.9500000000003</v>
      </c>
      <c r="H78" s="2">
        <f>SSA!L27</f>
        <v>2292.1080000000002</v>
      </c>
      <c r="I78" s="1"/>
      <c r="J78" s="1"/>
      <c r="K78" s="1"/>
      <c r="L78" s="1"/>
      <c r="M78" s="1"/>
      <c r="N78" s="1"/>
      <c r="O78" s="1"/>
      <c r="P78" s="1"/>
      <c r="Q78" s="1"/>
      <c r="R78" s="1"/>
      <c r="S78" s="1"/>
      <c r="W78" s="1">
        <f>SSA!G10</f>
        <v>13.146362</v>
      </c>
      <c r="X78" s="2">
        <f t="shared" si="67"/>
        <v>8190.8797507788158</v>
      </c>
      <c r="Y78" s="2">
        <f t="shared" si="68"/>
        <v>7559.7251293847039</v>
      </c>
      <c r="Z78" s="2">
        <f t="shared" si="69"/>
        <v>7064.1386351423962</v>
      </c>
      <c r="AA78" s="2">
        <f t="shared" si="70"/>
        <v>6263.1548356360172</v>
      </c>
      <c r="AB78" s="2">
        <f t="shared" si="71"/>
        <v>5964.9093672723966</v>
      </c>
      <c r="AC78" s="2">
        <f t="shared" si="72"/>
        <v>5735.4897762234586</v>
      </c>
      <c r="AD78" s="1"/>
    </row>
    <row r="79" spans="1:30">
      <c r="A79" s="1" t="s">
        <v>285</v>
      </c>
      <c r="B79" s="1"/>
      <c r="C79" s="2">
        <f>MENA!G15</f>
        <v>5900</v>
      </c>
      <c r="D79" s="2">
        <f>MENA!H15</f>
        <v>6154</v>
      </c>
      <c r="E79" s="2">
        <f>MENA!I15</f>
        <v>6354</v>
      </c>
      <c r="F79" s="2">
        <f>MENA!J15</f>
        <v>6481.08</v>
      </c>
      <c r="G79" s="2">
        <f>MENA!K15</f>
        <v>6578.2961999999989</v>
      </c>
      <c r="H79" s="2">
        <f>MENA!L15</f>
        <v>6644.0791619999991</v>
      </c>
      <c r="I79" s="1"/>
      <c r="J79" s="1"/>
      <c r="K79" s="1"/>
      <c r="L79" s="1"/>
      <c r="M79" s="1"/>
      <c r="N79" s="1"/>
      <c r="O79" s="1"/>
      <c r="P79" s="1"/>
      <c r="Q79" s="1"/>
      <c r="R79" s="1"/>
      <c r="S79" s="1"/>
      <c r="W79" s="1">
        <f>MENA!G6</f>
        <v>4.4002670000000004</v>
      </c>
      <c r="X79" s="2">
        <f t="shared" si="67"/>
        <v>745.80796610169489</v>
      </c>
      <c r="Y79" s="2">
        <f t="shared" si="68"/>
        <v>715.02551186220342</v>
      </c>
      <c r="Z79" s="2">
        <f t="shared" si="69"/>
        <v>692.5192005036198</v>
      </c>
      <c r="AA79" s="2">
        <f t="shared" si="70"/>
        <v>678.94039265060758</v>
      </c>
      <c r="AB79" s="2">
        <f t="shared" si="71"/>
        <v>668.90679078877611</v>
      </c>
      <c r="AC79" s="2">
        <f t="shared" si="72"/>
        <v>662.28395127601596</v>
      </c>
      <c r="AD79" s="1"/>
    </row>
    <row r="80" spans="1:30">
      <c r="A80" s="1" t="str">
        <f>Latam!A27</f>
        <v>Brazil</v>
      </c>
      <c r="B80" s="1"/>
      <c r="C80" s="2">
        <f>Latam!G27</f>
        <v>64075</v>
      </c>
      <c r="D80" s="2">
        <f>Latam!H27</f>
        <v>64848</v>
      </c>
      <c r="E80" s="2">
        <f>Latam!I27</f>
        <v>74683</v>
      </c>
      <c r="F80" s="2">
        <f>Latam!J27</f>
        <v>76461</v>
      </c>
      <c r="G80" s="2">
        <f>Latam!K27</f>
        <v>78372.524999999994</v>
      </c>
      <c r="H80" s="2">
        <f>Latam!L27</f>
        <v>79939.9755</v>
      </c>
      <c r="I80" s="1"/>
      <c r="J80" s="1"/>
      <c r="K80" s="1"/>
      <c r="L80" s="1"/>
      <c r="M80" s="1"/>
      <c r="N80" s="1"/>
      <c r="O80" s="1"/>
      <c r="P80" s="1"/>
      <c r="Q80" s="1"/>
      <c r="R80" s="1"/>
      <c r="S80" s="1"/>
      <c r="W80" s="1">
        <f>Latam!G8</f>
        <v>208.660842</v>
      </c>
      <c r="X80" s="2">
        <f t="shared" si="67"/>
        <v>3256.5094342567304</v>
      </c>
      <c r="Y80" s="2">
        <f t="shared" si="68"/>
        <v>3217.6912472242784</v>
      </c>
      <c r="Z80" s="2">
        <f t="shared" si="69"/>
        <v>2793.9536708487876</v>
      </c>
      <c r="AA80" s="2">
        <f t="shared" si="70"/>
        <v>2728.9839526032879</v>
      </c>
      <c r="AB80" s="2">
        <f t="shared" si="71"/>
        <v>2662.4233683934517</v>
      </c>
      <c r="AC80" s="2">
        <f t="shared" si="72"/>
        <v>2610.2189886210308</v>
      </c>
      <c r="AD80" s="1"/>
    </row>
    <row r="81" spans="1:30">
      <c r="A81" s="1" t="str">
        <f>Latam!A28</f>
        <v>Peru</v>
      </c>
      <c r="B81" s="1"/>
      <c r="C81" s="2">
        <f>Latam!G28</f>
        <v>17903</v>
      </c>
      <c r="D81" s="2">
        <f>Latam!H28</f>
        <v>17790</v>
      </c>
      <c r="E81" s="2">
        <f>Latam!I28</f>
        <v>19145</v>
      </c>
      <c r="F81" s="2">
        <f>Latam!J28</f>
        <v>20102.25</v>
      </c>
      <c r="G81" s="2">
        <f>Latam!K28</f>
        <v>20906.34</v>
      </c>
      <c r="H81" s="2">
        <f>Latam!L28</f>
        <v>21533.530200000001</v>
      </c>
      <c r="I81" s="1"/>
      <c r="J81" s="1"/>
      <c r="K81" s="1"/>
      <c r="L81" s="1"/>
      <c r="M81" s="1"/>
      <c r="N81" s="1"/>
      <c r="O81" s="1"/>
      <c r="P81" s="1"/>
      <c r="Q81" s="1"/>
      <c r="R81" s="1"/>
      <c r="S81" s="1"/>
      <c r="W81" s="1">
        <f>Latam!G9</f>
        <v>32.838579000000003</v>
      </c>
      <c r="X81" s="2">
        <f t="shared" si="67"/>
        <v>1834.2500698207007</v>
      </c>
      <c r="Y81" s="2">
        <f t="shared" si="68"/>
        <v>1845.9010118043848</v>
      </c>
      <c r="Z81" s="2">
        <f t="shared" si="69"/>
        <v>1715.2561504309222</v>
      </c>
      <c r="AA81" s="2">
        <f t="shared" si="70"/>
        <v>1633.5772861246878</v>
      </c>
      <c r="AB81" s="2">
        <f t="shared" si="71"/>
        <v>1570.7473905045074</v>
      </c>
      <c r="AC81" s="2">
        <f t="shared" si="72"/>
        <v>1524.9974665092304</v>
      </c>
      <c r="AD81" s="1"/>
    </row>
    <row r="82" spans="1:30">
      <c r="A82" s="1" t="str">
        <f>Latam!A29</f>
        <v>Colombia</v>
      </c>
      <c r="B82" s="1"/>
      <c r="C82" s="2">
        <f>Latam!G29</f>
        <v>17474</v>
      </c>
      <c r="D82" s="2">
        <f>Latam!H29</f>
        <v>17737</v>
      </c>
      <c r="E82" s="2">
        <f>Latam!I29</f>
        <v>19039</v>
      </c>
      <c r="F82" s="2">
        <f>Latam!J29</f>
        <v>21087</v>
      </c>
      <c r="G82" s="2">
        <f>Latam!K29</f>
        <v>22773.960000000003</v>
      </c>
      <c r="H82" s="2">
        <f>Latam!L29</f>
        <v>24140.397600000004</v>
      </c>
      <c r="I82" s="1"/>
      <c r="J82" s="1"/>
      <c r="K82" s="1"/>
      <c r="L82" s="1"/>
      <c r="M82" s="1"/>
      <c r="N82" s="1"/>
      <c r="O82" s="1"/>
      <c r="P82" s="1"/>
      <c r="Q82" s="1"/>
      <c r="R82" s="1"/>
      <c r="S82" s="1"/>
      <c r="W82" s="1">
        <f>Latam!G10</f>
        <v>50.629997000000003</v>
      </c>
      <c r="X82" s="2">
        <f t="shared" si="67"/>
        <v>2897.4474648048531</v>
      </c>
      <c r="Y82" s="2">
        <f t="shared" si="68"/>
        <v>2854.4848057732424</v>
      </c>
      <c r="Z82" s="2">
        <f t="shared" si="69"/>
        <v>2659.278165870056</v>
      </c>
      <c r="AA82" s="2">
        <f t="shared" si="70"/>
        <v>2401.0052164840899</v>
      </c>
      <c r="AB82" s="2">
        <f t="shared" si="71"/>
        <v>2223.1529782260086</v>
      </c>
      <c r="AC82" s="2">
        <f t="shared" si="72"/>
        <v>2097.314130401895</v>
      </c>
      <c r="AD82" s="1"/>
    </row>
    <row r="83" spans="1:30">
      <c r="A83" s="1"/>
      <c r="B83" s="1"/>
      <c r="C83" s="1"/>
      <c r="D83" s="1"/>
      <c r="E83" s="1"/>
      <c r="F83" s="1"/>
      <c r="G83" s="1"/>
      <c r="H83" s="1"/>
      <c r="I83" s="1"/>
      <c r="J83" s="1"/>
      <c r="K83" s="1"/>
      <c r="L83" s="1"/>
      <c r="M83" s="1"/>
      <c r="N83" s="1"/>
      <c r="O83" s="1"/>
      <c r="P83" s="1"/>
      <c r="Q83" s="1"/>
      <c r="R83" s="1"/>
      <c r="S83" s="1"/>
      <c r="W83" s="1"/>
      <c r="X83" s="6">
        <f t="shared" ref="X83:AC83" si="73">AVERAGE(X74:X82)</f>
        <v>4467.7592098893474</v>
      </c>
      <c r="Y83" s="6">
        <f t="shared" si="73"/>
        <v>4255.9379194102476</v>
      </c>
      <c r="Z83" s="6">
        <f t="shared" si="73"/>
        <v>4021.9628924586909</v>
      </c>
      <c r="AA83" s="6">
        <f t="shared" si="73"/>
        <v>3981.7502826981631</v>
      </c>
      <c r="AB83" s="6">
        <f t="shared" si="73"/>
        <v>3877.0408636438565</v>
      </c>
      <c r="AC83" s="6">
        <f t="shared" si="73"/>
        <v>3797.9675106010127</v>
      </c>
      <c r="AD83" s="1"/>
    </row>
    <row r="84" spans="1:30">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row>
    <row r="85" spans="1:30">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row>
    <row r="86" spans="1:30">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row>
    <row r="87" spans="1:30">
      <c r="A87" s="115" t="s">
        <v>203</v>
      </c>
      <c r="B87" s="115">
        <v>2020</v>
      </c>
      <c r="C87" s="115">
        <f t="shared" ref="C87:J87" si="74">B87+1</f>
        <v>2021</v>
      </c>
      <c r="D87" s="115">
        <f t="shared" si="74"/>
        <v>2022</v>
      </c>
      <c r="E87" s="115">
        <f t="shared" si="74"/>
        <v>2023</v>
      </c>
      <c r="F87" s="115">
        <f t="shared" si="74"/>
        <v>2024</v>
      </c>
      <c r="G87" s="115">
        <f t="shared" si="74"/>
        <v>2025</v>
      </c>
      <c r="H87" s="115">
        <f t="shared" si="74"/>
        <v>2026</v>
      </c>
      <c r="I87" s="115">
        <f t="shared" si="74"/>
        <v>2027</v>
      </c>
      <c r="J87" s="115">
        <f t="shared" si="74"/>
        <v>2028</v>
      </c>
      <c r="K87" s="115">
        <f t="shared" ref="K87:Q87" si="75">J87+1</f>
        <v>2029</v>
      </c>
      <c r="L87" s="115">
        <f t="shared" si="75"/>
        <v>2030</v>
      </c>
      <c r="M87" s="115">
        <f t="shared" si="75"/>
        <v>2031</v>
      </c>
      <c r="N87" s="115">
        <f t="shared" si="75"/>
        <v>2032</v>
      </c>
      <c r="O87" s="115">
        <f t="shared" si="75"/>
        <v>2033</v>
      </c>
      <c r="P87" s="115">
        <f t="shared" si="75"/>
        <v>2034</v>
      </c>
      <c r="Q87" s="115">
        <f t="shared" si="75"/>
        <v>2035</v>
      </c>
      <c r="U87" s="115">
        <f>Q87+1</f>
        <v>2036</v>
      </c>
      <c r="V87" s="115"/>
      <c r="W87" s="115">
        <f>J87+1</f>
        <v>2029</v>
      </c>
      <c r="X87" s="115">
        <f>W87+1</f>
        <v>2030</v>
      </c>
      <c r="Y87" s="1"/>
      <c r="Z87" s="1"/>
      <c r="AA87" s="1"/>
      <c r="AB87" s="1"/>
      <c r="AC87" s="1"/>
      <c r="AD87" s="1"/>
    </row>
    <row r="88" spans="1:30">
      <c r="A88" s="1" t="s">
        <v>280</v>
      </c>
      <c r="B88" s="6">
        <f>C74</f>
        <v>37625</v>
      </c>
      <c r="C88" s="6">
        <f>D74</f>
        <v>39829</v>
      </c>
      <c r="D88" s="6">
        <f>E74</f>
        <v>41008</v>
      </c>
      <c r="E88" s="6">
        <f>F74</f>
        <v>41579</v>
      </c>
      <c r="F88" s="6">
        <f>G74</f>
        <v>42618.474999999999</v>
      </c>
      <c r="G88" s="6">
        <f>Nigeria!L15</f>
        <v>43577.390687499996</v>
      </c>
      <c r="H88" s="6">
        <f>Nigeria!M15</f>
        <v>44448.938501249999</v>
      </c>
      <c r="I88" s="6">
        <f>Nigeria!N15</f>
        <v>45226.794925021873</v>
      </c>
      <c r="J88" s="6">
        <f>Nigeria!O15</f>
        <v>46018.263836209757</v>
      </c>
      <c r="K88" s="6">
        <f>Nigeria!P15</f>
        <v>46823.583453343432</v>
      </c>
      <c r="L88" s="6">
        <f>Nigeria!Q15</f>
        <v>47642.996163776945</v>
      </c>
      <c r="M88" s="6">
        <f>Nigeria!R15</f>
        <v>48476.748596643047</v>
      </c>
      <c r="N88" s="6">
        <f>Nigeria!S15</f>
        <v>49325.091697084303</v>
      </c>
      <c r="O88" s="6">
        <f>Nigeria!T15</f>
        <v>50188.280801783279</v>
      </c>
      <c r="P88" s="6">
        <f>Nigeria!U15</f>
        <v>51066.575715814492</v>
      </c>
      <c r="Q88" s="6">
        <f>Nigeria!V15</f>
        <v>51960.24079084125</v>
      </c>
      <c r="U88" s="6">
        <f>Nigeria!W15</f>
        <v>0</v>
      </c>
      <c r="V88" s="6"/>
      <c r="W88" s="6">
        <f>Nigeria!P15</f>
        <v>46823.583453343432</v>
      </c>
      <c r="X88" s="6">
        <f>Nigeria!Q15</f>
        <v>47642.996163776945</v>
      </c>
      <c r="Y88" s="1"/>
      <c r="Z88" s="1"/>
      <c r="AA88" s="1"/>
      <c r="AB88" s="1"/>
      <c r="AC88" s="1"/>
      <c r="AD88" s="1"/>
    </row>
    <row r="89" spans="1:30">
      <c r="A89" s="1" t="s">
        <v>3</v>
      </c>
      <c r="B89" s="34">
        <f>Nigeria!G16</f>
        <v>0.03</v>
      </c>
      <c r="C89" s="34">
        <f>Nigeria!H16</f>
        <v>5.8578073089700977E-2</v>
      </c>
      <c r="D89" s="34">
        <f>Nigeria!I16</f>
        <v>2.9601546611765395E-2</v>
      </c>
      <c r="E89" s="34">
        <f>Nigeria!J16</f>
        <v>1.3924112368318475E-2</v>
      </c>
      <c r="F89" s="34">
        <f>Nigeria!K16</f>
        <v>2.5000000000000001E-2</v>
      </c>
      <c r="G89" s="34">
        <f>Nigeria!L16</f>
        <v>2.2499999999999999E-2</v>
      </c>
      <c r="H89" s="34">
        <f>Nigeria!M16</f>
        <v>0.02</v>
      </c>
      <c r="I89" s="34">
        <f>Nigeria!N16</f>
        <v>1.7500000000000002E-2</v>
      </c>
      <c r="J89" s="34">
        <f>Nigeria!O16</f>
        <v>1.7500000000000002E-2</v>
      </c>
      <c r="K89" s="34">
        <f>Nigeria!P16</f>
        <v>1.7500000000000002E-2</v>
      </c>
      <c r="L89" s="34">
        <f>Nigeria!Q16</f>
        <v>1.7500000000000002E-2</v>
      </c>
      <c r="M89" s="34">
        <f>Nigeria!R16</f>
        <v>1.7500000000000002E-2</v>
      </c>
      <c r="N89" s="34">
        <f>Nigeria!S16</f>
        <v>1.7500000000000002E-2</v>
      </c>
      <c r="O89" s="34">
        <f>Nigeria!T16</f>
        <v>1.7500000000000002E-2</v>
      </c>
      <c r="P89" s="34">
        <f>Nigeria!U16</f>
        <v>1.7500000000000002E-2</v>
      </c>
      <c r="Q89" s="34">
        <f>Nigeria!V16</f>
        <v>1.7500000000000002E-2</v>
      </c>
      <c r="U89" s="34">
        <f>Nigeria!W16</f>
        <v>0</v>
      </c>
      <c r="V89" s="34"/>
      <c r="W89" s="34">
        <f>Nigeria!P16</f>
        <v>1.7500000000000002E-2</v>
      </c>
      <c r="X89" s="34">
        <f>Nigeria!Q16</f>
        <v>1.7500000000000002E-2</v>
      </c>
      <c r="Y89" s="1"/>
      <c r="Z89" s="1"/>
      <c r="AA89" s="1"/>
      <c r="AB89" s="1"/>
      <c r="AC89" s="1"/>
      <c r="AD89" s="1"/>
    </row>
    <row r="90" spans="1:30">
      <c r="A90" s="1" t="s">
        <v>286</v>
      </c>
      <c r="B90" s="6">
        <f>Nigeria!G20</f>
        <v>16537</v>
      </c>
      <c r="C90" s="6">
        <f>Nigeria!H20</f>
        <v>16854</v>
      </c>
      <c r="D90" s="6">
        <f>Nigeria!I20</f>
        <v>16995</v>
      </c>
      <c r="E90" s="6">
        <f>Nigeria!J20</f>
        <v>16395</v>
      </c>
      <c r="F90" s="6">
        <f>Nigeria!K20</f>
        <v>16495</v>
      </c>
      <c r="G90" s="6">
        <f>Nigeria!L20</f>
        <v>16536.237499999999</v>
      </c>
      <c r="H90" s="6">
        <f>Nigeria!M20</f>
        <v>16618.918687499998</v>
      </c>
      <c r="I90" s="6">
        <f>Nigeria!N20</f>
        <v>16718.632199624997</v>
      </c>
      <c r="J90" s="6">
        <f>Nigeria!O20</f>
        <v>16835.662625022371</v>
      </c>
      <c r="K90" s="6">
        <f>Nigeria!P20</f>
        <v>16953.512263397526</v>
      </c>
      <c r="L90" s="6">
        <f>Nigeria!Q20</f>
        <v>17072.186849241309</v>
      </c>
      <c r="M90" s="6">
        <f>Nigeria!R20</f>
        <v>17191.692157185997</v>
      </c>
      <c r="N90" s="6">
        <f>Nigeria!S20</f>
        <v>17312.034002286298</v>
      </c>
      <c r="O90" s="6">
        <f>Nigeria!T20</f>
        <v>17433.2182403023</v>
      </c>
      <c r="P90" s="6">
        <f>Nigeria!U20</f>
        <v>17555.250767984413</v>
      </c>
      <c r="Q90" s="6">
        <f>Nigeria!V20</f>
        <v>17678.137523360303</v>
      </c>
      <c r="U90" s="6">
        <f>Nigeria!W20</f>
        <v>0</v>
      </c>
      <c r="V90" s="6"/>
      <c r="W90" s="6">
        <f>Nigeria!P20</f>
        <v>16953.512263397526</v>
      </c>
      <c r="X90" s="6">
        <f>Nigeria!Q20</f>
        <v>17072.186849241309</v>
      </c>
      <c r="Y90" s="1"/>
      <c r="Z90" s="1"/>
      <c r="AA90" s="1"/>
      <c r="AB90" s="1"/>
      <c r="AC90" s="1"/>
      <c r="AD90" s="1"/>
    </row>
    <row r="91" spans="1:30" ht="17.25" customHeight="1">
      <c r="A91" s="1" t="s">
        <v>2</v>
      </c>
      <c r="B91" s="6">
        <f>Nigeria!G39</f>
        <v>24834</v>
      </c>
      <c r="C91" s="6">
        <f>Nigeria!H39</f>
        <v>25621</v>
      </c>
      <c r="D91" s="6">
        <f>Nigeria!I39</f>
        <v>26210</v>
      </c>
      <c r="E91" s="6">
        <f>Nigeria!J39</f>
        <v>26009</v>
      </c>
      <c r="F91" s="6">
        <f>Nigeria!K39</f>
        <v>25740</v>
      </c>
      <c r="G91" s="6">
        <f>Nigeria!L39</f>
        <v>26127.255249999998</v>
      </c>
      <c r="H91" s="6">
        <f>Nigeria!M39</f>
        <v>27255.026647499995</v>
      </c>
      <c r="I91" s="6">
        <f>Nigeria!N39</f>
        <v>27752.929451377495</v>
      </c>
      <c r="J91" s="6">
        <f>Nigeria!O39</f>
        <v>28283.913210037583</v>
      </c>
      <c r="K91" s="6">
        <f>Nigeria!P39</f>
        <v>28820.970847775792</v>
      </c>
      <c r="L91" s="6">
        <f>Nigeria!Q39</f>
        <v>29193.439512202636</v>
      </c>
      <c r="M91" s="6">
        <f>Nigeria!R39</f>
        <v>29397.793588788052</v>
      </c>
      <c r="N91" s="6">
        <f>Nigeria!S39</f>
        <v>29603.57814390957</v>
      </c>
      <c r="O91" s="6">
        <f>Nigeria!T39</f>
        <v>29810.803190916933</v>
      </c>
      <c r="P91" s="6">
        <f>Nigeria!U39</f>
        <v>30019.478813253347</v>
      </c>
      <c r="Q91" s="6">
        <f>Nigeria!V39</f>
        <v>30229.615164946117</v>
      </c>
      <c r="U91" s="6">
        <f>Nigeria!W39</f>
        <v>0</v>
      </c>
      <c r="V91" s="6"/>
      <c r="W91" s="6">
        <f>Nigeria!P39</f>
        <v>28820.970847775792</v>
      </c>
      <c r="X91" s="6">
        <f>Nigeria!Q39</f>
        <v>29193.439512202636</v>
      </c>
      <c r="Y91" s="1"/>
      <c r="Z91" s="1"/>
      <c r="AA91" s="1"/>
      <c r="AB91" s="1"/>
      <c r="AC91" s="1"/>
      <c r="AD91" s="1"/>
    </row>
    <row r="92" spans="1:30" ht="17.25" customHeight="1">
      <c r="A92" s="1" t="s">
        <v>3</v>
      </c>
      <c r="B92" s="34">
        <f>Nigeria!G40</f>
        <v>2.6367994709869391E-2</v>
      </c>
      <c r="C92" s="34">
        <f>Nigeria!H40</f>
        <v>3.1690424418136409E-2</v>
      </c>
      <c r="D92" s="34">
        <f>Nigeria!I40</f>
        <v>2.2988954373365678E-2</v>
      </c>
      <c r="E92" s="34">
        <f>Nigeria!J40</f>
        <v>-7.6688286913392245E-3</v>
      </c>
      <c r="F92" s="34">
        <f>Nigeria!K40</f>
        <v>-1.0342573724479998E-2</v>
      </c>
      <c r="G92" s="34">
        <f>Nigeria!L40</f>
        <v>1.5044881507381369E-2</v>
      </c>
      <c r="H92" s="34">
        <f>Nigeria!M40</f>
        <v>4.3164556962025147E-2</v>
      </c>
      <c r="I92" s="34">
        <f>Nigeria!N40</f>
        <v>1.8268292682926734E-2</v>
      </c>
      <c r="J92" s="34">
        <f>Nigeria!O40</f>
        <v>1.9132530120481883E-2</v>
      </c>
      <c r="K92" s="34">
        <f>Nigeria!P40</f>
        <v>1.8988095238095193E-2</v>
      </c>
      <c r="L92" s="34">
        <f>Nigeria!Q40</f>
        <v>1.2923529411764667E-2</v>
      </c>
      <c r="M92" s="34">
        <f>Nigeria!R40</f>
        <v>6.9999999999998952E-3</v>
      </c>
      <c r="N92" s="34">
        <f>Nigeria!S40</f>
        <v>7.0000000000001172E-3</v>
      </c>
      <c r="O92" s="34">
        <f>Nigeria!T40</f>
        <v>6.9999999999998952E-3</v>
      </c>
      <c r="P92" s="34">
        <f>Nigeria!U40</f>
        <v>6.9999999999998952E-3</v>
      </c>
      <c r="Q92" s="34">
        <f>Nigeria!V40</f>
        <v>6.9999999999998952E-3</v>
      </c>
      <c r="U92" s="34">
        <f>Nigeria!W40</f>
        <v>0</v>
      </c>
      <c r="V92" s="34"/>
      <c r="W92" s="34">
        <f>Nigeria!P40</f>
        <v>1.8988095238095193E-2</v>
      </c>
      <c r="X92" s="34">
        <f>Nigeria!Q40</f>
        <v>1.2923529411764667E-2</v>
      </c>
      <c r="Y92" s="1"/>
      <c r="Z92" s="1"/>
      <c r="AA92" s="1"/>
      <c r="AB92" s="1"/>
      <c r="AC92" s="1"/>
      <c r="AD92" s="1"/>
    </row>
    <row r="93" spans="1:30">
      <c r="A93" s="1" t="s">
        <v>401</v>
      </c>
      <c r="B93" s="30">
        <f>Nigeria!G30</f>
        <v>1.5017234081151358</v>
      </c>
      <c r="C93" s="30">
        <f>Nigeria!H30</f>
        <v>1.5201732526403229</v>
      </c>
      <c r="D93" s="30">
        <f>Nigeria!I30</f>
        <v>1.542218299499853</v>
      </c>
      <c r="E93" s="30">
        <f>Nigeria!J30</f>
        <v>1.5863982921622446</v>
      </c>
      <c r="F93" s="30">
        <f>Nigeria!K30</f>
        <v>1.5604728705668385</v>
      </c>
      <c r="G93" s="30">
        <f>Nigeria!L30</f>
        <v>1.58</v>
      </c>
      <c r="H93" s="30">
        <f>Nigeria!M30</f>
        <v>1.64</v>
      </c>
      <c r="I93" s="30">
        <f>Nigeria!N30</f>
        <v>1.66</v>
      </c>
      <c r="J93" s="30">
        <f>Nigeria!O30</f>
        <v>1.68</v>
      </c>
      <c r="K93" s="30">
        <f>Nigeria!P30</f>
        <v>1.7</v>
      </c>
      <c r="L93" s="30">
        <f>Nigeria!Q30</f>
        <v>1.71</v>
      </c>
      <c r="M93" s="30">
        <f>Nigeria!R30</f>
        <v>1.71</v>
      </c>
      <c r="N93" s="30">
        <f>Nigeria!S30</f>
        <v>1.71</v>
      </c>
      <c r="O93" s="30">
        <f>Nigeria!T30</f>
        <v>1.71</v>
      </c>
      <c r="P93" s="30">
        <f>Nigeria!U30</f>
        <v>1.71</v>
      </c>
      <c r="Q93" s="30">
        <f>Nigeria!V30</f>
        <v>1.71</v>
      </c>
      <c r="U93" s="30">
        <f>Nigeria!W30</f>
        <v>0</v>
      </c>
      <c r="V93" s="30"/>
      <c r="W93" s="30">
        <f>Nigeria!P30</f>
        <v>1.7</v>
      </c>
      <c r="X93" s="30">
        <f>Nigeria!Q30</f>
        <v>1.71</v>
      </c>
      <c r="Y93" s="1"/>
      <c r="Z93" s="1"/>
      <c r="AA93" s="1"/>
      <c r="AB93" s="1"/>
      <c r="AC93" s="1"/>
      <c r="AD93" s="1"/>
    </row>
    <row r="94" spans="1:30">
      <c r="A94" s="1" t="s">
        <v>6</v>
      </c>
      <c r="B94" s="6">
        <f>Nigeria!G43</f>
        <v>3527.8944863688898</v>
      </c>
      <c r="C94" s="6">
        <f>Nigeria!H43</f>
        <v>3787.9694777524528</v>
      </c>
      <c r="D94" s="6">
        <f>Nigeria!I43</f>
        <v>4348.7552494324509</v>
      </c>
      <c r="E94" s="6">
        <f>Nigeria!J43</f>
        <v>4409.7199614444298</v>
      </c>
      <c r="F94" s="6">
        <f>Nigeria!K43</f>
        <v>3215.7336373649732</v>
      </c>
      <c r="G94" s="6">
        <f>Nigeria!L43</f>
        <v>3386.1675201453168</v>
      </c>
      <c r="H94" s="6">
        <f>Nigeria!M43</f>
        <v>3541.9312260720017</v>
      </c>
      <c r="I94" s="6">
        <f>Nigeria!N43</f>
        <v>3722.5697186016737</v>
      </c>
      <c r="J94" s="6">
        <f>Nigeria!O43</f>
        <v>3893.807925657351</v>
      </c>
      <c r="K94" s="6">
        <f>Nigeria!P43</f>
        <v>4072.9230902375893</v>
      </c>
      <c r="L94" s="6">
        <f>Nigeria!Q43</f>
        <v>4262.3140139336374</v>
      </c>
      <c r="M94" s="6">
        <f>Nigeria!R43</f>
        <v>4460.5116155815513</v>
      </c>
      <c r="N94" s="6">
        <f>Nigeria!S43</f>
        <v>4667.9254057060934</v>
      </c>
      <c r="O94" s="6">
        <f>Nigeria!T43</f>
        <v>4884.9839370714271</v>
      </c>
      <c r="P94" s="6">
        <f>Nigeria!U43</f>
        <v>5112.1356901452482</v>
      </c>
      <c r="Q94" s="6">
        <f>Nigeria!V43</f>
        <v>5349.8499997370018</v>
      </c>
      <c r="U94" s="6">
        <f>Nigeria!W43</f>
        <v>0</v>
      </c>
      <c r="V94" s="6"/>
      <c r="W94" s="6">
        <f>Nigeria!P43</f>
        <v>4072.9230902375893</v>
      </c>
      <c r="X94" s="6">
        <f>Nigeria!Q43</f>
        <v>4262.3140139336374</v>
      </c>
      <c r="Y94" s="1"/>
      <c r="Z94" s="1"/>
      <c r="AA94" s="1"/>
      <c r="AB94" s="1"/>
      <c r="AC94" s="1"/>
      <c r="AD94" s="1"/>
    </row>
    <row r="95" spans="1:30">
      <c r="A95" s="1" t="s">
        <v>3</v>
      </c>
      <c r="B95" s="34">
        <f>Nigeria!G44</f>
        <v>8.1252875751467002E-2</v>
      </c>
      <c r="C95" s="34">
        <f>Nigeria!H44</f>
        <v>7.3719605954328582E-2</v>
      </c>
      <c r="D95" s="34">
        <f>Nigeria!I44</f>
        <v>0.14804389923773464</v>
      </c>
      <c r="E95" s="34">
        <f>Nigeria!J44</f>
        <v>1.4018887823115556E-2</v>
      </c>
      <c r="F95" s="34">
        <f>Nigeria!K44</f>
        <v>-0.27076239183414252</v>
      </c>
      <c r="G95" s="34">
        <f>Nigeria!L44</f>
        <v>5.2999999999999999E-2</v>
      </c>
      <c r="H95" s="34">
        <f>Nigeria!M44</f>
        <v>4.5999999999999999E-2</v>
      </c>
      <c r="I95" s="34">
        <f>Nigeria!N44</f>
        <v>5.0999999999999997E-2</v>
      </c>
      <c r="J95" s="34">
        <f>Nigeria!O44</f>
        <v>4.5999999999999999E-2</v>
      </c>
      <c r="K95" s="34">
        <f>Nigeria!P44</f>
        <v>4.5999999999999999E-2</v>
      </c>
      <c r="L95" s="34">
        <f>Nigeria!Q44</f>
        <v>4.65E-2</v>
      </c>
      <c r="M95" s="34">
        <f>Nigeria!R44</f>
        <v>4.65E-2</v>
      </c>
      <c r="N95" s="34">
        <f>Nigeria!S44</f>
        <v>4.65E-2</v>
      </c>
      <c r="O95" s="34">
        <f>Nigeria!T44</f>
        <v>4.65E-2</v>
      </c>
      <c r="P95" s="34">
        <f>Nigeria!U44</f>
        <v>4.65E-2</v>
      </c>
      <c r="Q95" s="34">
        <f>Nigeria!V44</f>
        <v>4.65E-2</v>
      </c>
      <c r="U95" s="34">
        <f>Nigeria!W44</f>
        <v>0</v>
      </c>
      <c r="V95" s="34"/>
      <c r="W95" s="34">
        <f>Nigeria!P44</f>
        <v>4.5999999999999999E-2</v>
      </c>
      <c r="X95" s="34">
        <f>Nigeria!Q44</f>
        <v>4.65E-2</v>
      </c>
      <c r="Y95" s="1"/>
      <c r="Z95" s="1"/>
      <c r="AA95" s="1"/>
      <c r="AB95" s="1"/>
      <c r="AC95" s="1"/>
      <c r="AD95" s="1"/>
    </row>
    <row r="96" spans="1:30">
      <c r="A96" s="1"/>
      <c r="B96" s="1"/>
      <c r="C96" s="1"/>
      <c r="D96" s="1"/>
      <c r="E96" s="1"/>
      <c r="F96" s="1"/>
      <c r="G96" s="1"/>
      <c r="H96" s="1"/>
      <c r="I96" s="1"/>
      <c r="J96" s="1"/>
      <c r="K96" s="1"/>
      <c r="L96" s="1"/>
      <c r="M96" s="1"/>
      <c r="N96" s="1"/>
      <c r="O96" s="1"/>
      <c r="P96" s="1"/>
      <c r="Q96" s="1"/>
      <c r="U96" s="1"/>
      <c r="V96" s="1"/>
      <c r="W96" s="1"/>
      <c r="X96" s="1"/>
      <c r="Y96" s="1"/>
      <c r="Z96" s="1"/>
      <c r="AA96" s="1"/>
      <c r="AB96" s="1"/>
      <c r="AC96" s="1"/>
      <c r="AD96" s="1"/>
    </row>
    <row r="97" spans="1:30">
      <c r="A97" s="115" t="s">
        <v>402</v>
      </c>
      <c r="B97" s="115">
        <v>2020</v>
      </c>
      <c r="C97" s="115">
        <f t="shared" ref="C97:J97" si="76">B97+1</f>
        <v>2021</v>
      </c>
      <c r="D97" s="115">
        <f t="shared" si="76"/>
        <v>2022</v>
      </c>
      <c r="E97" s="115">
        <f t="shared" si="76"/>
        <v>2023</v>
      </c>
      <c r="F97" s="115">
        <f t="shared" si="76"/>
        <v>2024</v>
      </c>
      <c r="G97" s="115">
        <f t="shared" si="76"/>
        <v>2025</v>
      </c>
      <c r="H97" s="115">
        <f t="shared" si="76"/>
        <v>2026</v>
      </c>
      <c r="I97" s="115">
        <f t="shared" si="76"/>
        <v>2027</v>
      </c>
      <c r="J97" s="115">
        <f t="shared" si="76"/>
        <v>2028</v>
      </c>
      <c r="K97" s="115">
        <f t="shared" ref="K97:Q97" si="77">J97+1</f>
        <v>2029</v>
      </c>
      <c r="L97" s="115">
        <f t="shared" si="77"/>
        <v>2030</v>
      </c>
      <c r="M97" s="115">
        <f t="shared" si="77"/>
        <v>2031</v>
      </c>
      <c r="N97" s="115">
        <f t="shared" si="77"/>
        <v>2032</v>
      </c>
      <c r="O97" s="115">
        <f t="shared" si="77"/>
        <v>2033</v>
      </c>
      <c r="P97" s="115">
        <f t="shared" si="77"/>
        <v>2034</v>
      </c>
      <c r="Q97" s="115">
        <f t="shared" si="77"/>
        <v>2035</v>
      </c>
      <c r="U97" s="115">
        <f>Q97+1</f>
        <v>2036</v>
      </c>
      <c r="V97" s="115"/>
      <c r="W97" s="115">
        <f>J97+1</f>
        <v>2029</v>
      </c>
      <c r="X97" s="115">
        <f>W97+1</f>
        <v>2030</v>
      </c>
      <c r="Y97" s="1"/>
      <c r="Z97" s="1"/>
      <c r="AA97" s="1"/>
      <c r="AB97" s="1"/>
      <c r="AC97" s="1"/>
      <c r="AD97" s="1"/>
    </row>
    <row r="98" spans="1:30">
      <c r="A98" s="1" t="s">
        <v>280</v>
      </c>
      <c r="B98" s="6">
        <f>SSA!G29</f>
        <v>14383</v>
      </c>
      <c r="C98" s="6">
        <f>SSA!H29</f>
        <v>40176</v>
      </c>
      <c r="D98" s="6">
        <f>SSA!I29</f>
        <v>41609</v>
      </c>
      <c r="E98" s="6">
        <f>SSA!J29</f>
        <v>40915</v>
      </c>
      <c r="F98" s="6">
        <f>SSA!K29</f>
        <v>41436.214999999997</v>
      </c>
      <c r="G98" s="6">
        <f>SSA!L29</f>
        <v>41897.917224999997</v>
      </c>
      <c r="H98" s="6">
        <f>SSA!M29</f>
        <v>42343.866240124997</v>
      </c>
      <c r="I98" s="6">
        <f>SSA!N29</f>
        <v>42771.946936215623</v>
      </c>
      <c r="J98" s="6">
        <f>SSA!O29</f>
        <v>43180.604893473603</v>
      </c>
      <c r="K98" s="6">
        <f>SSA!P29</f>
        <v>43593.254122743638</v>
      </c>
      <c r="L98" s="6">
        <f>SSA!Q29</f>
        <v>44009.934060208048</v>
      </c>
      <c r="M98" s="6">
        <f>SSA!R29</f>
        <v>44430.684534028289</v>
      </c>
      <c r="N98" s="6">
        <f>SSA!S29</f>
        <v>44855.545768252829</v>
      </c>
      <c r="O98" s="6">
        <f>SSA!T29</f>
        <v>45284.558386764031</v>
      </c>
      <c r="P98" s="6">
        <f>SSA!U29</f>
        <v>45717.76341726449</v>
      </c>
      <c r="Q98" s="6">
        <f>SSA!V29</f>
        <v>46155.202295303119</v>
      </c>
      <c r="U98" s="6">
        <f>SSA!W29</f>
        <v>0</v>
      </c>
      <c r="V98" s="6"/>
      <c r="W98" s="6">
        <f>SSA!P29</f>
        <v>43593.254122743638</v>
      </c>
      <c r="X98" s="6">
        <f>SSA!Q29</f>
        <v>44009.934060208048</v>
      </c>
      <c r="Y98" s="1"/>
      <c r="Z98" s="1"/>
      <c r="AA98" s="1"/>
      <c r="AB98" s="1"/>
      <c r="AC98" s="1"/>
      <c r="AD98" s="1"/>
    </row>
    <row r="99" spans="1:30">
      <c r="A99" s="1" t="s">
        <v>3</v>
      </c>
      <c r="B99" s="34"/>
      <c r="C99" s="34">
        <f>SSA!H37</f>
        <v>1.7932976430508241</v>
      </c>
      <c r="D99" s="34">
        <f>SSA!I37</f>
        <v>3.5668060533651902E-2</v>
      </c>
      <c r="E99" s="34">
        <f>SSA!J37</f>
        <v>-1.6679083852051191E-2</v>
      </c>
      <c r="F99" s="34">
        <f>SSA!K37</f>
        <v>1.2738971037516755E-2</v>
      </c>
      <c r="G99" s="34">
        <f>SSA!L37</f>
        <v>1.1142480677832189E-2</v>
      </c>
      <c r="H99" s="34">
        <f>SSA!M37</f>
        <v>1.0643703665033311E-2</v>
      </c>
      <c r="I99" s="34">
        <f>SSA!N37</f>
        <v>1.0109627062938831E-2</v>
      </c>
      <c r="J99" s="34">
        <f>SSA!O37</f>
        <v>9.5543454654378746E-3</v>
      </c>
      <c r="K99" s="34">
        <f>SSA!P37</f>
        <v>9.5563559215541272E-3</v>
      </c>
      <c r="L99" s="34">
        <f>SSA!Q37</f>
        <v>9.5583581875118284E-3</v>
      </c>
      <c r="M99" s="34">
        <f>SSA!R37</f>
        <v>9.5603522887499626E-3</v>
      </c>
      <c r="N99" s="34">
        <f>SSA!S37</f>
        <v>9.5623382507004084E-3</v>
      </c>
      <c r="O99" s="34">
        <f>SSA!T37</f>
        <v>9.5643160987874953E-3</v>
      </c>
      <c r="P99" s="34">
        <f>SSA!U37</f>
        <v>9.5662858584280031E-3</v>
      </c>
      <c r="Q99" s="34">
        <f>SSA!V37</f>
        <v>9.5682475550289414E-3</v>
      </c>
      <c r="U99" s="34">
        <f>SSA!W37</f>
        <v>0</v>
      </c>
      <c r="V99" s="34"/>
      <c r="W99" s="34">
        <f>SSA!P37</f>
        <v>9.5563559215541272E-3</v>
      </c>
      <c r="X99" s="34">
        <f>SSA!Q37</f>
        <v>9.5583581875118284E-3</v>
      </c>
      <c r="Y99" s="1"/>
      <c r="Z99" s="1"/>
      <c r="AA99" s="1"/>
      <c r="AB99" s="1"/>
      <c r="AC99" s="1"/>
      <c r="AD99" s="1"/>
    </row>
    <row r="100" spans="1:30">
      <c r="A100" s="1" t="s">
        <v>286</v>
      </c>
      <c r="B100" s="6">
        <f>SSA!G53</f>
        <v>7627</v>
      </c>
      <c r="C100" s="6">
        <f>SSA!H53</f>
        <v>7878</v>
      </c>
      <c r="D100" s="6">
        <f>SSA!I53</f>
        <v>13850</v>
      </c>
      <c r="E100" s="6">
        <f>SSA!J53</f>
        <v>14056</v>
      </c>
      <c r="F100" s="6">
        <f>SSA!K53</f>
        <v>14155</v>
      </c>
      <c r="G100" s="6">
        <f>SSA!L53</f>
        <v>12720.670662785</v>
      </c>
      <c r="H100" s="6">
        <f>SSA!M53</f>
        <v>12798.556176477425</v>
      </c>
      <c r="I100" s="6">
        <f>SSA!N53</f>
        <v>12871.723367947754</v>
      </c>
      <c r="J100" s="6">
        <f>SSA!O53</f>
        <v>12947.797474939829</v>
      </c>
      <c r="K100" s="6">
        <f>SSA!P53</f>
        <v>13029.613931551252</v>
      </c>
      <c r="L100" s="6">
        <f>SSA!Q53</f>
        <v>13114.577181583427</v>
      </c>
      <c r="M100" s="6">
        <f>SSA!R53</f>
        <v>13216.695872338718</v>
      </c>
      <c r="N100" s="6">
        <f>SSA!S53</f>
        <v>13330.845832684397</v>
      </c>
      <c r="O100" s="6">
        <f>SSA!T53</f>
        <v>13451.687842130919</v>
      </c>
      <c r="P100" s="6">
        <f>SSA!U53</f>
        <v>13579.401392247357</v>
      </c>
      <c r="Q100" s="6">
        <f>SSA!V53</f>
        <v>13719.96607799704</v>
      </c>
      <c r="U100" s="6">
        <f>SSA!W53</f>
        <v>0</v>
      </c>
      <c r="V100" s="6"/>
      <c r="W100" s="6">
        <f>SSA!P53</f>
        <v>13029.613931551252</v>
      </c>
      <c r="X100" s="6">
        <f>SSA!Q53</f>
        <v>13114.577181583427</v>
      </c>
      <c r="Y100" s="1"/>
      <c r="Z100" s="1"/>
      <c r="AA100" s="1"/>
      <c r="AB100" s="1"/>
      <c r="AC100" s="1"/>
      <c r="AD100" s="1"/>
    </row>
    <row r="101" spans="1:30">
      <c r="A101" s="1" t="s">
        <v>2</v>
      </c>
      <c r="B101" s="6">
        <f>SSA!G70</f>
        <v>13623</v>
      </c>
      <c r="C101" s="6">
        <f>SSA!H70</f>
        <v>13416</v>
      </c>
      <c r="D101" s="6">
        <f>SSA!I70</f>
        <v>21036</v>
      </c>
      <c r="E101" s="6">
        <f>SSA!J70</f>
        <v>21593</v>
      </c>
      <c r="F101" s="6">
        <f>SSA!K70</f>
        <v>22428</v>
      </c>
      <c r="G101" s="6">
        <f>SSA!L70</f>
        <v>19879.969655113899</v>
      </c>
      <c r="H101" s="6">
        <f>SSA!M70</f>
        <v>20231.594522314354</v>
      </c>
      <c r="I101" s="6">
        <f>SSA!N70</f>
        <v>20574.483095854925</v>
      </c>
      <c r="J101" s="6">
        <f>SSA!O70</f>
        <v>20922.829662574433</v>
      </c>
      <c r="K101" s="6">
        <f>SSA!P70</f>
        <v>21282.066974394445</v>
      </c>
      <c r="L101" s="6">
        <f>SSA!Q70</f>
        <v>21648.904264981018</v>
      </c>
      <c r="M101" s="6">
        <f>SSA!R70</f>
        <v>22042.139790570112</v>
      </c>
      <c r="N101" s="6">
        <f>SSA!S70</f>
        <v>22455.306538474542</v>
      </c>
      <c r="O101" s="6">
        <f>SSA!T70</f>
        <v>22881.493737500248</v>
      </c>
      <c r="P101" s="6">
        <f>SSA!U70</f>
        <v>23321.122377596112</v>
      </c>
      <c r="Q101" s="6">
        <f>SSA!V70</f>
        <v>23782.536263636051</v>
      </c>
      <c r="U101" s="6">
        <f>SSA!W70</f>
        <v>0</v>
      </c>
      <c r="V101" s="6"/>
      <c r="W101" s="6">
        <f>SSA!P70</f>
        <v>21282.066974394445</v>
      </c>
      <c r="X101" s="6">
        <f>SSA!Q70</f>
        <v>21648.904264981018</v>
      </c>
      <c r="Y101" s="1"/>
      <c r="Z101" s="1"/>
      <c r="AA101" s="1"/>
      <c r="AB101" s="1"/>
      <c r="AC101" s="1"/>
      <c r="AD101" s="1"/>
    </row>
    <row r="102" spans="1:30">
      <c r="A102" s="1" t="s">
        <v>3</v>
      </c>
      <c r="B102" s="34"/>
      <c r="C102" s="34">
        <f>SSA!H71</f>
        <v>-1.5194890993173282E-2</v>
      </c>
      <c r="D102" s="34">
        <f>SSA!I71</f>
        <v>0.56797853309481217</v>
      </c>
      <c r="E102" s="34">
        <f>SSA!J71</f>
        <v>2.6478417950180688E-2</v>
      </c>
      <c r="F102" s="34">
        <f>SSA!K71</f>
        <v>3.8669939332190983E-2</v>
      </c>
      <c r="G102" s="34">
        <f>SSA!L71</f>
        <v>-0.11360934300366066</v>
      </c>
      <c r="H102" s="34">
        <f>SSA!M71</f>
        <v>1.7687394563502323E-2</v>
      </c>
      <c r="I102" s="34">
        <f>SSA!N71</f>
        <v>1.6948173470083372E-2</v>
      </c>
      <c r="J102" s="34">
        <f>SSA!O71</f>
        <v>1.6930999680360825E-2</v>
      </c>
      <c r="K102" s="34">
        <f>SSA!P71</f>
        <v>1.716963324815457E-2</v>
      </c>
      <c r="L102" s="34">
        <f>SSA!Q71</f>
        <v>1.7236920221514795E-2</v>
      </c>
      <c r="M102" s="34">
        <f>SSA!R71</f>
        <v>1.8164223037615113E-2</v>
      </c>
      <c r="N102" s="34">
        <f>SSA!S71</f>
        <v>1.8744402849726338E-2</v>
      </c>
      <c r="O102" s="34">
        <f>SSA!T71</f>
        <v>1.8979353423453915E-2</v>
      </c>
      <c r="P102" s="34">
        <f>SSA!U71</f>
        <v>1.9213284112451046E-2</v>
      </c>
      <c r="Q102" s="34">
        <f>SSA!V71</f>
        <v>1.9785234971503973E-2</v>
      </c>
      <c r="U102" s="34">
        <f>SSA!W71</f>
        <v>0</v>
      </c>
      <c r="V102" s="34"/>
      <c r="W102" s="34">
        <f>SSA!P71</f>
        <v>1.716963324815457E-2</v>
      </c>
      <c r="X102" s="34">
        <f>SSA!Q71</f>
        <v>1.7236920221514795E-2</v>
      </c>
      <c r="Y102" s="1"/>
      <c r="Z102" s="1"/>
      <c r="AA102" s="1"/>
      <c r="AB102" s="1"/>
      <c r="AC102" s="1"/>
      <c r="AD102" s="1"/>
    </row>
    <row r="103" spans="1:30">
      <c r="A103" s="1" t="s">
        <v>401</v>
      </c>
      <c r="B103" s="30">
        <f>SSA!G81</f>
        <v>1.7861544512914644</v>
      </c>
      <c r="C103" s="30">
        <f>SSA!H81</f>
        <v>1.7029702970297029</v>
      </c>
      <c r="D103" s="30">
        <f>SSA!I81</f>
        <v>1.5188447653429602</v>
      </c>
      <c r="E103" s="30">
        <f>SSA!J81</f>
        <v>1.5362122936824132</v>
      </c>
      <c r="F103" s="30">
        <f>SSA!K81</f>
        <v>1.58445778876722</v>
      </c>
      <c r="G103" s="30">
        <f>SSA!L81</f>
        <v>1.5628082969928472</v>
      </c>
      <c r="H103" s="30">
        <f>SSA!M81</f>
        <v>1.580771631060867</v>
      </c>
      <c r="I103" s="30">
        <f>SSA!N81</f>
        <v>1.5984248967848418</v>
      </c>
      <c r="J103" s="30">
        <f>SSA!O81</f>
        <v>1.6159373594675155</v>
      </c>
      <c r="K103" s="30">
        <f>SSA!P81</f>
        <v>1.6333612865427924</v>
      </c>
      <c r="L103" s="30">
        <f>SSA!Q81</f>
        <v>1.6507512186807058</v>
      </c>
      <c r="M103" s="30">
        <f>SSA!R81</f>
        <v>1.6677496405665357</v>
      </c>
      <c r="N103" s="30">
        <f>SSA!S81</f>
        <v>1.6844622479557081</v>
      </c>
      <c r="O103" s="30">
        <f>SSA!T81</f>
        <v>1.7010128398783544</v>
      </c>
      <c r="P103" s="30">
        <f>SSA!U81</f>
        <v>1.7173895743968817</v>
      </c>
      <c r="Q103" s="30">
        <f>SSA!V81</f>
        <v>1.7334252962750789</v>
      </c>
      <c r="U103" s="30">
        <f>SSA!W81</f>
        <v>0</v>
      </c>
      <c r="V103" s="30"/>
      <c r="W103" s="30">
        <f>SSA!P81</f>
        <v>1.6333612865427924</v>
      </c>
      <c r="X103" s="30">
        <f>SSA!Q81</f>
        <v>1.6507512186807058</v>
      </c>
      <c r="Y103" s="1"/>
      <c r="Z103" s="1"/>
      <c r="AA103" s="1"/>
      <c r="AB103" s="1"/>
      <c r="AC103" s="1"/>
      <c r="AD103" s="1"/>
    </row>
    <row r="104" spans="1:30">
      <c r="A104" s="1" t="s">
        <v>6</v>
      </c>
      <c r="B104" s="6">
        <f>SSA!G89</f>
        <v>1932.8769657724329</v>
      </c>
      <c r="C104" s="6">
        <f>SSA!H89</f>
        <v>2120.0549823095034</v>
      </c>
      <c r="D104" s="6">
        <f>SSA!I89</f>
        <v>1997.0974108905145</v>
      </c>
      <c r="E104" s="6">
        <f>SSA!J89</f>
        <v>1966.7714466677614</v>
      </c>
      <c r="F104" s="6">
        <f>SSA!K89</f>
        <v>1831.8605514034966</v>
      </c>
      <c r="G104" s="6">
        <f>SSA!L89</f>
        <v>1909.4117253052534</v>
      </c>
      <c r="H104" s="6">
        <f>SSA!M89</f>
        <v>1957.1470184378845</v>
      </c>
      <c r="I104" s="6">
        <f>SSA!N89</f>
        <v>2020.7542965371158</v>
      </c>
      <c r="J104" s="6">
        <f>SSA!O89</f>
        <v>2106.6363541399433</v>
      </c>
      <c r="K104" s="6">
        <f>SSA!P89</f>
        <v>2193.0084446596807</v>
      </c>
      <c r="L104" s="6">
        <f>SSA!Q89</f>
        <v>2282.9217908907276</v>
      </c>
      <c r="M104" s="6">
        <f>SSA!R89</f>
        <v>2376.5215843172473</v>
      </c>
      <c r="N104" s="6">
        <f>SSA!S89</f>
        <v>2473.9589692742543</v>
      </c>
      <c r="O104" s="6">
        <f>SSA!T89</f>
        <v>2575.3912870144986</v>
      </c>
      <c r="P104" s="6">
        <f>SSA!U89</f>
        <v>2680.9823297820931</v>
      </c>
      <c r="Q104" s="6">
        <f>SSA!V89</f>
        <v>2790.9026053031589</v>
      </c>
      <c r="U104" s="6">
        <f>SSA!W89</f>
        <v>0</v>
      </c>
      <c r="V104" s="6"/>
      <c r="W104" s="6">
        <f>SSA!P89</f>
        <v>2193.0084446596807</v>
      </c>
      <c r="X104" s="6">
        <f>SSA!Q89</f>
        <v>2282.9217908907276</v>
      </c>
      <c r="Y104" s="1"/>
      <c r="Z104" s="1"/>
      <c r="AA104" s="1"/>
      <c r="AB104" s="1"/>
      <c r="AC104" s="1"/>
      <c r="AD104" s="1"/>
    </row>
    <row r="105" spans="1:30">
      <c r="A105" s="1" t="s">
        <v>3</v>
      </c>
      <c r="B105" s="34">
        <f>SSA!G90</f>
        <v>0</v>
      </c>
      <c r="C105" s="34">
        <f>SSA!H90</f>
        <v>9.6839074525506108E-2</v>
      </c>
      <c r="D105" s="34">
        <f>SSA!I90</f>
        <v>-5.7997350278644055E-2</v>
      </c>
      <c r="E105" s="34">
        <f>SSA!J90</f>
        <v>-1.5185020048286257E-2</v>
      </c>
      <c r="F105" s="34">
        <f>SSA!K90</f>
        <v>-6.8595105696109271E-2</v>
      </c>
      <c r="G105" s="34">
        <f>SSA!L90</f>
        <v>4.2334649240816979E-2</v>
      </c>
      <c r="H105" s="34">
        <f>SSA!M90</f>
        <v>2.5000000000000001E-2</v>
      </c>
      <c r="I105" s="34">
        <f>SSA!N90</f>
        <v>3.2500000000000001E-2</v>
      </c>
      <c r="J105" s="34">
        <f>SSA!O90</f>
        <v>4.2500000000000003E-2</v>
      </c>
      <c r="K105" s="34">
        <f>SSA!P90</f>
        <v>4.1000000000000002E-2</v>
      </c>
      <c r="L105" s="34">
        <f>SSA!Q90</f>
        <v>4.1000000000000002E-2</v>
      </c>
      <c r="M105" s="34">
        <f>SSA!R90</f>
        <v>4.1000000000000002E-2</v>
      </c>
      <c r="N105" s="34">
        <f>SSA!S90</f>
        <v>4.1000000000000002E-2</v>
      </c>
      <c r="O105" s="34">
        <f>SSA!T90</f>
        <v>4.1000000000000002E-2</v>
      </c>
      <c r="P105" s="34">
        <f>SSA!U90</f>
        <v>4.1000000000000002E-2</v>
      </c>
      <c r="Q105" s="34">
        <f>SSA!V90</f>
        <v>4.1000000000000002E-2</v>
      </c>
      <c r="U105" s="34">
        <f>SSA!W90</f>
        <v>0</v>
      </c>
      <c r="V105" s="34"/>
      <c r="W105" s="34">
        <f>SSA!P90</f>
        <v>4.1000000000000002E-2</v>
      </c>
      <c r="X105" s="34">
        <f>SSA!Q90</f>
        <v>4.1000000000000002E-2</v>
      </c>
      <c r="Y105" s="1"/>
      <c r="Z105" s="1"/>
      <c r="AA105" s="1"/>
      <c r="AB105" s="1"/>
      <c r="AC105" s="1"/>
      <c r="AD105" s="1"/>
    </row>
    <row r="106" spans="1:30">
      <c r="A106" s="1"/>
      <c r="B106" s="1"/>
      <c r="C106" s="1"/>
      <c r="D106" s="1"/>
      <c r="E106" s="1"/>
      <c r="F106" s="1"/>
      <c r="G106" s="1"/>
      <c r="H106" s="1"/>
      <c r="I106" s="1"/>
      <c r="J106" s="1"/>
      <c r="K106" s="1"/>
      <c r="L106" s="1"/>
      <c r="M106" s="1"/>
      <c r="N106" s="1"/>
      <c r="O106" s="1"/>
      <c r="P106" s="1"/>
      <c r="Q106" s="1"/>
      <c r="U106" s="1"/>
      <c r="V106" s="1"/>
      <c r="W106" s="1"/>
      <c r="X106" s="1"/>
      <c r="Y106" s="1"/>
      <c r="Z106" s="1"/>
      <c r="AA106" s="1"/>
      <c r="AB106" s="1"/>
      <c r="AC106" s="1"/>
      <c r="AD106" s="1"/>
    </row>
    <row r="107" spans="1:30">
      <c r="A107" s="115" t="s">
        <v>285</v>
      </c>
      <c r="B107" s="115">
        <v>2020</v>
      </c>
      <c r="C107" s="115">
        <f t="shared" ref="C107:J107" si="78">B107+1</f>
        <v>2021</v>
      </c>
      <c r="D107" s="115">
        <f t="shared" si="78"/>
        <v>2022</v>
      </c>
      <c r="E107" s="115">
        <f t="shared" si="78"/>
        <v>2023</v>
      </c>
      <c r="F107" s="115">
        <f t="shared" si="78"/>
        <v>2024</v>
      </c>
      <c r="G107" s="115">
        <f t="shared" si="78"/>
        <v>2025</v>
      </c>
      <c r="H107" s="115">
        <f t="shared" si="78"/>
        <v>2026</v>
      </c>
      <c r="I107" s="115">
        <f t="shared" si="78"/>
        <v>2027</v>
      </c>
      <c r="J107" s="115">
        <f t="shared" si="78"/>
        <v>2028</v>
      </c>
      <c r="K107" s="115">
        <f t="shared" ref="K107:Q107" si="79">J107+1</f>
        <v>2029</v>
      </c>
      <c r="L107" s="115">
        <f t="shared" si="79"/>
        <v>2030</v>
      </c>
      <c r="M107" s="115">
        <f t="shared" si="79"/>
        <v>2031</v>
      </c>
      <c r="N107" s="115">
        <f t="shared" si="79"/>
        <v>2032</v>
      </c>
      <c r="O107" s="115">
        <f t="shared" si="79"/>
        <v>2033</v>
      </c>
      <c r="P107" s="115">
        <f t="shared" si="79"/>
        <v>2034</v>
      </c>
      <c r="Q107" s="115">
        <f t="shared" si="79"/>
        <v>2035</v>
      </c>
      <c r="U107" s="115">
        <f>Q107+1</f>
        <v>2036</v>
      </c>
      <c r="V107" s="115"/>
      <c r="W107" s="115">
        <f>J107+1</f>
        <v>2029</v>
      </c>
      <c r="X107" s="115">
        <f>W107+1</f>
        <v>2030</v>
      </c>
      <c r="Y107" s="1"/>
      <c r="Z107" s="1"/>
      <c r="AA107" s="1"/>
      <c r="AB107" s="1"/>
      <c r="AC107" s="1"/>
      <c r="AD107" s="1"/>
    </row>
    <row r="108" spans="1:30">
      <c r="A108" s="1" t="s">
        <v>280</v>
      </c>
      <c r="B108" s="6">
        <f>C79</f>
        <v>5900</v>
      </c>
      <c r="C108" s="6">
        <f>D79</f>
        <v>6154</v>
      </c>
      <c r="D108" s="6">
        <f>E79</f>
        <v>6354</v>
      </c>
      <c r="E108" s="6">
        <f>F79</f>
        <v>6481.08</v>
      </c>
      <c r="F108" s="6">
        <f>G79</f>
        <v>6578.2961999999989</v>
      </c>
      <c r="G108" s="6">
        <f>MENA!L15</f>
        <v>6644.0791619999991</v>
      </c>
      <c r="H108" s="6">
        <f>MENA!M15</f>
        <v>6710.5199536199989</v>
      </c>
      <c r="I108" s="6">
        <f>MENA!N15</f>
        <v>6777.6251531561993</v>
      </c>
      <c r="J108" s="6">
        <f>MENA!O15</f>
        <v>6845.401404687761</v>
      </c>
      <c r="K108" s="6">
        <f>MENA!P15</f>
        <v>6913.855418734639</v>
      </c>
      <c r="L108" s="6">
        <f>MENA!Q15</f>
        <v>6982.993972921985</v>
      </c>
      <c r="M108" s="6">
        <f>MENA!R15</f>
        <v>7052.8239126512053</v>
      </c>
      <c r="N108" s="6">
        <f>MENA!S15</f>
        <v>7123.3521517777172</v>
      </c>
      <c r="O108" s="6">
        <f>MENA!T15</f>
        <v>7194.5856732954944</v>
      </c>
      <c r="P108" s="6">
        <f>MENA!U15</f>
        <v>7266.5315300284492</v>
      </c>
      <c r="Q108" s="6">
        <f>MENA!V15</f>
        <v>7339.1968453287336</v>
      </c>
      <c r="U108" s="6">
        <f>MENA!W15</f>
        <v>0</v>
      </c>
      <c r="V108" s="6"/>
      <c r="W108" s="6">
        <f>MENA!P15</f>
        <v>6913.855418734639</v>
      </c>
      <c r="X108" s="6">
        <f>MENA!Q15</f>
        <v>6982.993972921985</v>
      </c>
      <c r="Y108" s="1"/>
      <c r="Z108" s="1"/>
      <c r="AA108" s="1"/>
      <c r="AB108" s="1"/>
      <c r="AC108" s="1"/>
      <c r="AD108" s="1"/>
    </row>
    <row r="109" spans="1:30">
      <c r="A109" s="1" t="s">
        <v>3</v>
      </c>
      <c r="B109" s="34"/>
      <c r="C109" s="34">
        <f t="shared" ref="C109:J109" si="80">C108/B108-1</f>
        <v>4.3050847457627217E-2</v>
      </c>
      <c r="D109" s="34">
        <f t="shared" si="80"/>
        <v>3.2499187520312001E-2</v>
      </c>
      <c r="E109" s="34">
        <f t="shared" si="80"/>
        <v>2.0000000000000018E-2</v>
      </c>
      <c r="F109" s="34">
        <f t="shared" si="80"/>
        <v>1.4999999999999902E-2</v>
      </c>
      <c r="G109" s="34">
        <f t="shared" si="80"/>
        <v>1.0000000000000009E-2</v>
      </c>
      <c r="H109" s="34">
        <f t="shared" si="80"/>
        <v>1.0000000000000009E-2</v>
      </c>
      <c r="I109" s="34">
        <f t="shared" si="80"/>
        <v>1.0000000000000009E-2</v>
      </c>
      <c r="J109" s="34">
        <f t="shared" si="80"/>
        <v>1.0000000000000009E-2</v>
      </c>
      <c r="K109" s="34">
        <f t="shared" ref="K109:Q109" si="81">K108/J108-1</f>
        <v>1.0000000000000009E-2</v>
      </c>
      <c r="L109" s="34">
        <f t="shared" si="81"/>
        <v>1.0000000000000009E-2</v>
      </c>
      <c r="M109" s="34">
        <f t="shared" si="81"/>
        <v>1.0000000000000009E-2</v>
      </c>
      <c r="N109" s="34">
        <f t="shared" si="81"/>
        <v>1.0000000000000009E-2</v>
      </c>
      <c r="O109" s="34">
        <f t="shared" si="81"/>
        <v>1.0000000000000009E-2</v>
      </c>
      <c r="P109" s="34">
        <f t="shared" si="81"/>
        <v>1.0000000000000009E-2</v>
      </c>
      <c r="Q109" s="34">
        <f t="shared" si="81"/>
        <v>1.0000000000000009E-2</v>
      </c>
      <c r="U109" s="34">
        <f>U108/Q108-1</f>
        <v>-1</v>
      </c>
      <c r="V109" s="34"/>
      <c r="W109" s="34">
        <f>W108/J108-1</f>
        <v>1.0000000000000009E-2</v>
      </c>
      <c r="X109" s="34">
        <f>X108/W108-1</f>
        <v>1.0000000000000009E-2</v>
      </c>
      <c r="Y109" s="1"/>
      <c r="Z109" s="1"/>
      <c r="AA109" s="1"/>
      <c r="AB109" s="1"/>
      <c r="AC109" s="1"/>
      <c r="AD109" s="1"/>
    </row>
    <row r="110" spans="1:30">
      <c r="A110" s="1" t="s">
        <v>286</v>
      </c>
      <c r="B110" s="6">
        <f>MENA!G18</f>
        <v>1162</v>
      </c>
      <c r="C110" s="6">
        <f>MENA!H18</f>
        <v>1402</v>
      </c>
      <c r="D110" s="6">
        <f>MENA!I18</f>
        <v>1531</v>
      </c>
      <c r="E110" s="6">
        <f>MENA!J18</f>
        <v>1672</v>
      </c>
      <c r="F110" s="6">
        <f>MENA!K18</f>
        <v>1675</v>
      </c>
      <c r="G110" s="6">
        <f>MENA!L18</f>
        <v>1813.7119874299997</v>
      </c>
      <c r="H110" s="6">
        <f>MENA!M18</f>
        <v>1865.4017070723996</v>
      </c>
      <c r="I110" s="6">
        <f>MENA!N18</f>
        <v>1917.9438499089049</v>
      </c>
      <c r="J110" s="6">
        <f>MENA!O18</f>
        <v>1971.3502954314326</v>
      </c>
      <c r="K110" s="6">
        <f>MENA!P18</f>
        <v>2025.6330754794203</v>
      </c>
      <c r="L110" s="6">
        <f>MENA!Q18</f>
        <v>2080.8043760988244</v>
      </c>
      <c r="M110" s="6">
        <f>MENA!R18</f>
        <v>2136.8765394230686</v>
      </c>
      <c r="N110" s="6">
        <f>MENA!S18</f>
        <v>2193.8620655761879</v>
      </c>
      <c r="O110" s="6">
        <f>MENA!T18</f>
        <v>2251.7736145984277</v>
      </c>
      <c r="P110" s="6">
        <f>MENA!U18</f>
        <v>2310.624008394554</v>
      </c>
      <c r="Q110" s="6">
        <f>MENA!V18</f>
        <v>2370.4262327051433</v>
      </c>
      <c r="U110" s="6">
        <f>MENA!W18</f>
        <v>0</v>
      </c>
      <c r="V110" s="6"/>
      <c r="W110" s="6">
        <f>MENA!P18</f>
        <v>2025.6330754794203</v>
      </c>
      <c r="X110" s="6">
        <f>MENA!Q18</f>
        <v>2080.8043760988244</v>
      </c>
      <c r="Y110" s="1"/>
      <c r="Z110" s="1"/>
      <c r="AA110" s="1"/>
      <c r="AB110" s="1"/>
      <c r="AC110" s="1"/>
      <c r="AD110" s="1"/>
    </row>
    <row r="111" spans="1:30">
      <c r="A111" s="1" t="s">
        <v>2</v>
      </c>
      <c r="B111" s="6">
        <f>MENA!G30</f>
        <v>1162</v>
      </c>
      <c r="C111" s="6">
        <f>MENA!H30</f>
        <v>1416</v>
      </c>
      <c r="D111" s="6">
        <f>MENA!I30</f>
        <v>1546</v>
      </c>
      <c r="E111" s="6">
        <f>MENA!J30</f>
        <v>1696</v>
      </c>
      <c r="F111" s="6">
        <f>MENA!K30</f>
        <v>1697</v>
      </c>
      <c r="G111" s="6">
        <f>MENA!L30</f>
        <v>1846.602436157275</v>
      </c>
      <c r="H111" s="6">
        <f>MENA!M30</f>
        <v>1908.5565226837757</v>
      </c>
      <c r="I111" s="6">
        <f>MENA!N30</f>
        <v>1971.903911954849</v>
      </c>
      <c r="J111" s="6">
        <f>MENA!O30</f>
        <v>2036.6696634293094</v>
      </c>
      <c r="K111" s="6">
        <f>MENA!P30</f>
        <v>2102.8792323130001</v>
      </c>
      <c r="L111" s="6">
        <f>MENA!Q30</f>
        <v>2170.5584753066682</v>
      </c>
      <c r="M111" s="6">
        <f>MENA!R30</f>
        <v>2239.7336564326106</v>
      </c>
      <c r="N111" s="6">
        <f>MENA!S30</f>
        <v>2310.4314529411299</v>
      </c>
      <c r="O111" s="6">
        <f>MENA!T30</f>
        <v>2382.6789612978419</v>
      </c>
      <c r="P111" s="6">
        <f>MENA!U30</f>
        <v>2456.5037032528944</v>
      </c>
      <c r="Q111" s="6">
        <f>MENA!V30</f>
        <v>2531.9336319931854</v>
      </c>
      <c r="U111" s="6">
        <f>MENA!W30</f>
        <v>0</v>
      </c>
      <c r="V111" s="6"/>
      <c r="W111" s="6">
        <f>MENA!P30</f>
        <v>2102.8792323130001</v>
      </c>
      <c r="X111" s="6">
        <f>MENA!Q30</f>
        <v>2170.5584753066682</v>
      </c>
      <c r="Y111" s="1"/>
      <c r="Z111" s="1"/>
      <c r="AA111" s="1"/>
      <c r="AB111" s="1"/>
      <c r="AC111" s="1"/>
      <c r="AD111" s="1"/>
    </row>
    <row r="112" spans="1:30">
      <c r="A112" s="1" t="s">
        <v>3</v>
      </c>
      <c r="B112" s="34"/>
      <c r="C112" s="34">
        <f t="shared" ref="C112:J112" si="82">C111/B111-1</f>
        <v>0.21858864027538716</v>
      </c>
      <c r="D112" s="34">
        <f t="shared" si="82"/>
        <v>9.1807909604519677E-2</v>
      </c>
      <c r="E112" s="34">
        <f t="shared" si="82"/>
        <v>9.70245795601552E-2</v>
      </c>
      <c r="F112" s="34">
        <f t="shared" si="82"/>
        <v>5.8962264150941301E-4</v>
      </c>
      <c r="G112" s="34">
        <f t="shared" si="82"/>
        <v>8.8157004217604529E-2</v>
      </c>
      <c r="H112" s="34">
        <f t="shared" si="82"/>
        <v>3.3550311270803546E-2</v>
      </c>
      <c r="I112" s="34">
        <f t="shared" si="82"/>
        <v>3.3191256595322294E-2</v>
      </c>
      <c r="J112" s="34">
        <f t="shared" si="82"/>
        <v>3.2844273537778301E-2</v>
      </c>
      <c r="K112" s="34">
        <f t="shared" ref="K112:Q112" si="83">K111/J111-1</f>
        <v>3.2508742125715306E-2</v>
      </c>
      <c r="L112" s="34">
        <f t="shared" si="83"/>
        <v>3.218408454166255E-2</v>
      </c>
      <c r="M112" s="34">
        <f t="shared" si="83"/>
        <v>3.1869761590352486E-2</v>
      </c>
      <c r="N112" s="34">
        <f t="shared" si="83"/>
        <v>3.1565269515628547E-2</v>
      </c>
      <c r="O112" s="34">
        <f t="shared" si="83"/>
        <v>3.1270137127306752E-2</v>
      </c>
      <c r="P112" s="34">
        <f t="shared" si="83"/>
        <v>3.0983923203334207E-2</v>
      </c>
      <c r="Q112" s="34">
        <f t="shared" si="83"/>
        <v>3.070621413694874E-2</v>
      </c>
      <c r="U112" s="34">
        <f>U111/Q111-1</f>
        <v>-1</v>
      </c>
      <c r="V112" s="34"/>
      <c r="W112" s="34">
        <f>W111/J111-1</f>
        <v>3.2508742125715306E-2</v>
      </c>
      <c r="X112" s="34">
        <f>X111/W111-1</f>
        <v>3.218408454166255E-2</v>
      </c>
      <c r="Y112" s="1"/>
      <c r="Z112" s="1"/>
      <c r="AA112" s="1"/>
      <c r="AB112" s="1"/>
      <c r="AC112" s="1"/>
      <c r="AD112" s="1"/>
    </row>
    <row r="113" spans="1:30">
      <c r="A113" s="1" t="s">
        <v>401</v>
      </c>
      <c r="B113" s="30">
        <f>C30</f>
        <v>1</v>
      </c>
      <c r="C113" s="30">
        <f>D30</f>
        <v>1.0099857346647647</v>
      </c>
      <c r="D113" s="30">
        <f>E30</f>
        <v>1.0097975179621164</v>
      </c>
      <c r="E113" s="30">
        <f>F30</f>
        <v>1.0143540669856459</v>
      </c>
      <c r="F113" s="30">
        <f>G30</f>
        <v>1.013134328358209</v>
      </c>
      <c r="G113" s="30">
        <f>MENA!L27</f>
        <v>1.0181343283582089</v>
      </c>
      <c r="H113" s="30">
        <f>MENA!M27</f>
        <v>1.0231343283582088</v>
      </c>
      <c r="I113" s="30">
        <f>MENA!N27</f>
        <v>1.0281343283582087</v>
      </c>
      <c r="J113" s="30">
        <f>MENA!O27</f>
        <v>1.0331343283582086</v>
      </c>
      <c r="K113" s="30">
        <f>MENA!P27</f>
        <v>1.0381343283582085</v>
      </c>
      <c r="L113" s="30">
        <f>MENA!Q27</f>
        <v>1.0431343283582084</v>
      </c>
      <c r="M113" s="30">
        <f>MENA!R27</f>
        <v>1.0481343283582083</v>
      </c>
      <c r="N113" s="30">
        <f>MENA!S27</f>
        <v>1.0531343283582082</v>
      </c>
      <c r="O113" s="30">
        <f>MENA!T27</f>
        <v>1.0581343283582081</v>
      </c>
      <c r="P113" s="30">
        <f>MENA!U27</f>
        <v>1.063134328358208</v>
      </c>
      <c r="Q113" s="30">
        <f>MENA!V27</f>
        <v>1.0681343283582079</v>
      </c>
      <c r="U113" s="30">
        <f>MENA!W27</f>
        <v>0</v>
      </c>
      <c r="V113" s="30"/>
      <c r="W113" s="30">
        <f>MENA!P27</f>
        <v>1.0381343283582085</v>
      </c>
      <c r="X113" s="30">
        <f>MENA!Q27</f>
        <v>1.0431343283582084</v>
      </c>
      <c r="Y113" s="1"/>
      <c r="Z113" s="1"/>
      <c r="AA113" s="1"/>
      <c r="AB113" s="1"/>
      <c r="AC113" s="1"/>
      <c r="AD113" s="1"/>
    </row>
    <row r="114" spans="1:30">
      <c r="A114" s="1" t="s">
        <v>6</v>
      </c>
      <c r="B114" s="6">
        <f>MENA!G35</f>
        <v>1557.730923694779</v>
      </c>
      <c r="C114" s="6">
        <f>MENA!H35</f>
        <v>1897.271786914921</v>
      </c>
      <c r="D114" s="6">
        <f>MENA!I35</f>
        <v>2029.3157776277289</v>
      </c>
      <c r="E114" s="6">
        <f>MENA!J35</f>
        <v>2090.0678593460825</v>
      </c>
      <c r="F114" s="6">
        <f>MENA!K35</f>
        <v>2204.8826014343254</v>
      </c>
      <c r="G114" s="6">
        <f>MENA!L35</f>
        <v>2315.1267315060418</v>
      </c>
      <c r="H114" s="6">
        <f>MENA!M35</f>
        <v>2407.7318007662834</v>
      </c>
      <c r="I114" s="6">
        <f>MENA!N35</f>
        <v>2492.0024137931032</v>
      </c>
      <c r="J114" s="6">
        <f>MENA!O35</f>
        <v>2566.7624862068965</v>
      </c>
      <c r="K114" s="6">
        <f>MENA!P35</f>
        <v>2643.7653607931034</v>
      </c>
      <c r="L114" s="6">
        <f>MENA!Q35</f>
        <v>2723.0783216168966</v>
      </c>
      <c r="M114" s="6">
        <f>MENA!R35</f>
        <v>2804.7706712654035</v>
      </c>
      <c r="N114" s="6">
        <f>MENA!S35</f>
        <v>2888.9137914033658</v>
      </c>
      <c r="O114" s="6">
        <f>MENA!T35</f>
        <v>2975.5812051454668</v>
      </c>
      <c r="P114" s="6">
        <f>MENA!U35</f>
        <v>3064.8486412998309</v>
      </c>
      <c r="Q114" s="6">
        <f>MENA!V35</f>
        <v>3156.7941005388261</v>
      </c>
      <c r="U114" s="6">
        <f>MENA!W35</f>
        <v>0</v>
      </c>
      <c r="V114" s="6"/>
      <c r="W114" s="6">
        <f>MENA!P35</f>
        <v>2643.7653607931034</v>
      </c>
      <c r="X114" s="6">
        <f>MENA!Q35</f>
        <v>2723.0783216168966</v>
      </c>
      <c r="Y114" s="1"/>
      <c r="Z114" s="1"/>
      <c r="AA114" s="1"/>
      <c r="AB114" s="1"/>
      <c r="AC114" s="1"/>
      <c r="AD114" s="1"/>
    </row>
    <row r="115" spans="1:30">
      <c r="A115" s="1" t="s">
        <v>3</v>
      </c>
      <c r="B115" s="34"/>
      <c r="C115" s="34">
        <f t="shared" ref="C115:J115" si="84">C114/B114-1</f>
        <v>0.21797144683677816</v>
      </c>
      <c r="D115" s="34">
        <f t="shared" si="84"/>
        <v>6.9596771334232255E-2</v>
      </c>
      <c r="E115" s="34">
        <f t="shared" si="84"/>
        <v>2.9937224353211667E-2</v>
      </c>
      <c r="F115" s="34">
        <f t="shared" si="84"/>
        <v>5.4933499682715992E-2</v>
      </c>
      <c r="G115" s="34">
        <f t="shared" si="84"/>
        <v>5.0000000000000044E-2</v>
      </c>
      <c r="H115" s="34">
        <f t="shared" si="84"/>
        <v>4.0000000000000036E-2</v>
      </c>
      <c r="I115" s="34">
        <f t="shared" si="84"/>
        <v>3.499999999999992E-2</v>
      </c>
      <c r="J115" s="34">
        <f t="shared" si="84"/>
        <v>3.0000000000000027E-2</v>
      </c>
      <c r="K115" s="34">
        <f t="shared" ref="K115:Q115" si="85">K114/J114-1</f>
        <v>3.0000000000000027E-2</v>
      </c>
      <c r="L115" s="34">
        <f t="shared" si="85"/>
        <v>3.0000000000000027E-2</v>
      </c>
      <c r="M115" s="34">
        <f t="shared" si="85"/>
        <v>3.0000000000000027E-2</v>
      </c>
      <c r="N115" s="34">
        <f t="shared" si="85"/>
        <v>3.0000000000000027E-2</v>
      </c>
      <c r="O115" s="34">
        <f t="shared" si="85"/>
        <v>3.0000000000000027E-2</v>
      </c>
      <c r="P115" s="34">
        <f t="shared" si="85"/>
        <v>3.0000000000000027E-2</v>
      </c>
      <c r="Q115" s="34">
        <f t="shared" si="85"/>
        <v>3.0000000000000027E-2</v>
      </c>
      <c r="U115" s="34">
        <f>U114/Q114-1</f>
        <v>-1</v>
      </c>
      <c r="V115" s="34"/>
      <c r="W115" s="34">
        <f>W114/J114-1</f>
        <v>3.0000000000000027E-2</v>
      </c>
      <c r="X115" s="34">
        <f>X114/W114-1</f>
        <v>3.0000000000000027E-2</v>
      </c>
      <c r="Y115" s="1"/>
      <c r="Z115" s="1"/>
      <c r="AA115" s="1"/>
      <c r="AB115" s="1"/>
      <c r="AC115" s="1"/>
      <c r="AD115" s="1"/>
    </row>
    <row r="116" spans="1:30">
      <c r="A116" s="1"/>
      <c r="B116" s="1"/>
      <c r="C116" s="1"/>
      <c r="D116" s="1"/>
      <c r="E116" s="1"/>
      <c r="F116" s="1"/>
      <c r="G116" s="1"/>
      <c r="H116" s="1"/>
      <c r="I116" s="1"/>
      <c r="J116" s="1"/>
      <c r="K116" s="1"/>
      <c r="L116" s="1"/>
      <c r="M116" s="1"/>
      <c r="N116" s="1"/>
      <c r="O116" s="1"/>
      <c r="P116" s="1"/>
      <c r="Q116" s="1"/>
      <c r="U116" s="1"/>
      <c r="V116" s="1"/>
      <c r="W116" s="1"/>
      <c r="X116" s="1"/>
      <c r="Y116" s="1"/>
      <c r="Z116" s="1"/>
      <c r="AA116" s="1"/>
      <c r="AB116" s="1"/>
      <c r="AC116" s="1"/>
      <c r="AD116" s="1"/>
    </row>
    <row r="117" spans="1:30">
      <c r="A117" s="115" t="s">
        <v>160</v>
      </c>
      <c r="B117" s="115">
        <v>2020</v>
      </c>
      <c r="C117" s="115">
        <f t="shared" ref="C117:J117" si="86">B117+1</f>
        <v>2021</v>
      </c>
      <c r="D117" s="115">
        <f t="shared" si="86"/>
        <v>2022</v>
      </c>
      <c r="E117" s="115">
        <f t="shared" si="86"/>
        <v>2023</v>
      </c>
      <c r="F117" s="115">
        <f t="shared" si="86"/>
        <v>2024</v>
      </c>
      <c r="G117" s="115">
        <f t="shared" si="86"/>
        <v>2025</v>
      </c>
      <c r="H117" s="115">
        <f t="shared" si="86"/>
        <v>2026</v>
      </c>
      <c r="I117" s="115">
        <f t="shared" si="86"/>
        <v>2027</v>
      </c>
      <c r="J117" s="115">
        <f t="shared" si="86"/>
        <v>2028</v>
      </c>
      <c r="K117" s="115">
        <f t="shared" ref="K117:Q117" si="87">J117+1</f>
        <v>2029</v>
      </c>
      <c r="L117" s="115">
        <f t="shared" si="87"/>
        <v>2030</v>
      </c>
      <c r="M117" s="115">
        <f t="shared" si="87"/>
        <v>2031</v>
      </c>
      <c r="N117" s="115">
        <f t="shared" si="87"/>
        <v>2032</v>
      </c>
      <c r="O117" s="115">
        <f t="shared" si="87"/>
        <v>2033</v>
      </c>
      <c r="P117" s="115">
        <f t="shared" si="87"/>
        <v>2034</v>
      </c>
      <c r="Q117" s="115">
        <f t="shared" si="87"/>
        <v>2035</v>
      </c>
      <c r="U117" s="115">
        <f>Q117+1</f>
        <v>2036</v>
      </c>
      <c r="V117" s="115"/>
      <c r="W117" s="115">
        <f>J117+1</f>
        <v>2029</v>
      </c>
      <c r="X117" s="115">
        <f>W117+1</f>
        <v>2030</v>
      </c>
      <c r="Y117" s="1"/>
      <c r="Z117" s="1"/>
      <c r="AA117" s="1"/>
      <c r="AB117" s="1"/>
      <c r="AC117" s="1"/>
      <c r="AD117" s="1"/>
    </row>
    <row r="118" spans="1:30">
      <c r="A118" s="1" t="s">
        <v>280</v>
      </c>
      <c r="B118" s="6">
        <f>C80+C81+C82</f>
        <v>99452</v>
      </c>
      <c r="C118" s="6">
        <f>D80+D81+D82</f>
        <v>100375</v>
      </c>
      <c r="D118" s="6">
        <f>E80+E81+E82</f>
        <v>112867</v>
      </c>
      <c r="E118" s="6">
        <f>F80+F81+F82</f>
        <v>117650.25</v>
      </c>
      <c r="F118" s="6">
        <f>G80+G81+G82</f>
        <v>122052.825</v>
      </c>
      <c r="G118" s="6">
        <f>Latam!L30</f>
        <v>125613.90330000001</v>
      </c>
      <c r="H118" s="6">
        <f>Latam!M30</f>
        <v>128850.39329400001</v>
      </c>
      <c r="I118" s="6">
        <f>Latam!N30</f>
        <v>131680.87533468002</v>
      </c>
      <c r="J118" s="6">
        <f>Latam!O30</f>
        <v>134314.49284137361</v>
      </c>
      <c r="K118" s="6">
        <f>Latam!P30</f>
        <v>137000.78269820107</v>
      </c>
      <c r="L118" s="6">
        <f>Latam!Q30</f>
        <v>139740.79835216509</v>
      </c>
      <c r="M118" s="6">
        <f>Latam!R30</f>
        <v>142535.6143192084</v>
      </c>
      <c r="N118" s="6">
        <f>Latam!S30</f>
        <v>145386.32660559256</v>
      </c>
      <c r="O118" s="6">
        <f>Latam!T30</f>
        <v>148294.05313770441</v>
      </c>
      <c r="P118" s="6">
        <f>Latam!U30</f>
        <v>151259.93420045852</v>
      </c>
      <c r="Q118" s="6">
        <f>Latam!V30</f>
        <v>154285.13288446766</v>
      </c>
      <c r="U118" s="6">
        <f>Latam!W30</f>
        <v>0</v>
      </c>
      <c r="V118" s="6"/>
      <c r="W118" s="6">
        <f>Latam!P30</f>
        <v>137000.78269820107</v>
      </c>
      <c r="X118" s="6">
        <f>Latam!Q30</f>
        <v>139740.79835216509</v>
      </c>
      <c r="Y118" s="1"/>
      <c r="Z118" s="1"/>
      <c r="AA118" s="1"/>
      <c r="AB118" s="1"/>
      <c r="AC118" s="1"/>
      <c r="AD118" s="1"/>
    </row>
    <row r="119" spans="1:30">
      <c r="A119" s="1" t="s">
        <v>3</v>
      </c>
      <c r="B119" s="34"/>
      <c r="C119" s="34">
        <f t="shared" ref="C119:J119" si="88">C118/B118-1</f>
        <v>9.2808591079114322E-3</v>
      </c>
      <c r="D119" s="34">
        <f t="shared" si="88"/>
        <v>0.12445330012453293</v>
      </c>
      <c r="E119" s="34">
        <f t="shared" si="88"/>
        <v>4.2379526345167395E-2</v>
      </c>
      <c r="F119" s="34">
        <f t="shared" si="88"/>
        <v>3.742087245883452E-2</v>
      </c>
      <c r="G119" s="34">
        <f t="shared" si="88"/>
        <v>2.917653319372171E-2</v>
      </c>
      <c r="H119" s="34">
        <f t="shared" si="88"/>
        <v>2.5765380335888377E-2</v>
      </c>
      <c r="I119" s="34">
        <f t="shared" si="88"/>
        <v>2.1967197525130322E-2</v>
      </c>
      <c r="J119" s="34">
        <f t="shared" si="88"/>
        <v>1.9999999999999796E-2</v>
      </c>
      <c r="K119" s="34">
        <f t="shared" ref="K119:Q119" si="89">K118/J118-1</f>
        <v>2.0000000000000018E-2</v>
      </c>
      <c r="L119" s="34">
        <f t="shared" si="89"/>
        <v>2.0000000000000018E-2</v>
      </c>
      <c r="M119" s="34">
        <f t="shared" si="89"/>
        <v>2.0000000000000018E-2</v>
      </c>
      <c r="N119" s="34">
        <f t="shared" si="89"/>
        <v>2.0000000000000018E-2</v>
      </c>
      <c r="O119" s="34">
        <f t="shared" si="89"/>
        <v>2.0000000000000018E-2</v>
      </c>
      <c r="P119" s="34">
        <f t="shared" si="89"/>
        <v>2.000000000000024E-2</v>
      </c>
      <c r="Q119" s="34">
        <f t="shared" si="89"/>
        <v>1.9999999999999796E-2</v>
      </c>
      <c r="U119" s="34">
        <f>U118/Q118-1</f>
        <v>-1</v>
      </c>
      <c r="V119" s="34"/>
      <c r="W119" s="34">
        <f>W118/J118-1</f>
        <v>2.0000000000000018E-2</v>
      </c>
      <c r="X119" s="34">
        <f>X118/W118-1</f>
        <v>2.0000000000000018E-2</v>
      </c>
      <c r="Y119" s="1"/>
      <c r="Z119" s="1"/>
      <c r="AA119" s="1"/>
      <c r="AB119" s="1"/>
      <c r="AC119" s="1"/>
      <c r="AD119" s="1"/>
    </row>
    <row r="120" spans="1:30">
      <c r="A120" s="1" t="s">
        <v>286</v>
      </c>
      <c r="B120" s="6">
        <f>Latam!G42</f>
        <v>2481</v>
      </c>
      <c r="C120" s="6">
        <f>Latam!H42</f>
        <v>4909</v>
      </c>
      <c r="D120" s="6">
        <f>Latam!I42</f>
        <v>7276</v>
      </c>
      <c r="E120" s="6">
        <f>Latam!J42</f>
        <v>7952</v>
      </c>
      <c r="F120" s="6">
        <f>Latam!K42</f>
        <v>8579</v>
      </c>
      <c r="G120" s="6">
        <f>Latam!L42</f>
        <v>9002.9836957499992</v>
      </c>
      <c r="H120" s="6">
        <f>Latam!M42</f>
        <v>9451.9337809050012</v>
      </c>
      <c r="I120" s="6">
        <f>Latam!N42</f>
        <v>9851.6845487214014</v>
      </c>
      <c r="J120" s="6">
        <f>Latam!O42</f>
        <v>10218.384122736637</v>
      </c>
      <c r="K120" s="6">
        <f>Latam!P42</f>
        <v>10595.811005892994</v>
      </c>
      <c r="L120" s="6">
        <f>Latam!Q42</f>
        <v>10984.24761072651</v>
      </c>
      <c r="M120" s="6">
        <f>Latam!R42</f>
        <v>11383.983355351009</v>
      </c>
      <c r="N120" s="6">
        <f>Latam!S42</f>
        <v>11795.314830716197</v>
      </c>
      <c r="O120" s="6">
        <f>Latam!T42</f>
        <v>12218.545971753854</v>
      </c>
      <c r="P120" s="6">
        <f>Latam!U42</f>
        <v>12653.988232500731</v>
      </c>
      <c r="Q120" s="6">
        <f>Latam!V42</f>
        <v>13101.960765288781</v>
      </c>
      <c r="U120" s="6">
        <f>Latam!W42</f>
        <v>0</v>
      </c>
      <c r="V120" s="6"/>
      <c r="W120" s="6">
        <f>Latam!P42</f>
        <v>10595.811005892994</v>
      </c>
      <c r="X120" s="6">
        <f>Latam!Q42</f>
        <v>10984.24761072651</v>
      </c>
      <c r="Y120" s="1"/>
      <c r="Z120" s="1"/>
      <c r="AA120" s="1"/>
      <c r="AB120" s="1"/>
      <c r="AC120" s="1"/>
      <c r="AD120" s="1"/>
    </row>
    <row r="121" spans="1:30">
      <c r="A121" s="1" t="s">
        <v>2</v>
      </c>
      <c r="B121" s="6">
        <f>Latam!G53</f>
        <v>3245</v>
      </c>
      <c r="C121" s="6">
        <f>Latam!H53</f>
        <v>5961</v>
      </c>
      <c r="D121" s="6">
        <f>Latam!I53</f>
        <v>9781</v>
      </c>
      <c r="E121" s="6">
        <f>Latam!J53</f>
        <v>10429</v>
      </c>
      <c r="F121" s="6">
        <f>Latam!K53</f>
        <v>11175</v>
      </c>
      <c r="G121" s="6">
        <f>Latam!L53</f>
        <v>11883.93847839</v>
      </c>
      <c r="H121" s="6">
        <f>Latam!M53</f>
        <v>12571.071928603653</v>
      </c>
      <c r="I121" s="6">
        <f>Latam!N53</f>
        <v>13201.257295286679</v>
      </c>
      <c r="J121" s="6">
        <f>Latam!O53</f>
        <v>13794.818565694461</v>
      </c>
      <c r="K121" s="6">
        <f>Latam!P53</f>
        <v>14410.302968014474</v>
      </c>
      <c r="L121" s="6">
        <f>Latam!Q53</f>
        <v>15048.41922669532</v>
      </c>
      <c r="M121" s="6">
        <f>Latam!R53</f>
        <v>15709.897030384394</v>
      </c>
      <c r="N121" s="6">
        <f>Latam!S53</f>
        <v>16395.487614695518</v>
      </c>
      <c r="O121" s="6">
        <f>Latam!T53</f>
        <v>17105.964360455397</v>
      </c>
      <c r="P121" s="6">
        <f>Latam!U53</f>
        <v>17842.123407826031</v>
      </c>
      <c r="Q121" s="6">
        <f>Latam!V53</f>
        <v>18604.78428671007</v>
      </c>
      <c r="U121" s="6">
        <f>Latam!W53</f>
        <v>0</v>
      </c>
      <c r="V121" s="6"/>
      <c r="W121" s="6">
        <f>Latam!P53</f>
        <v>14410.302968014474</v>
      </c>
      <c r="X121" s="6">
        <f>Latam!Q53</f>
        <v>15048.41922669532</v>
      </c>
      <c r="Y121" s="1"/>
      <c r="Z121" s="1"/>
      <c r="AA121" s="1"/>
      <c r="AB121" s="1"/>
      <c r="AC121" s="1"/>
      <c r="AD121" s="1"/>
    </row>
    <row r="122" spans="1:30">
      <c r="A122" s="1" t="s">
        <v>3</v>
      </c>
      <c r="B122" s="34"/>
      <c r="C122" s="34">
        <f t="shared" ref="C122:J122" si="90">C121/B121-1</f>
        <v>0.83697996918335904</v>
      </c>
      <c r="D122" s="34">
        <f t="shared" si="90"/>
        <v>0.64083207515517526</v>
      </c>
      <c r="E122" s="34">
        <f t="shared" si="90"/>
        <v>6.6250894591554976E-2</v>
      </c>
      <c r="F122" s="34">
        <f t="shared" si="90"/>
        <v>7.1531306932591798E-2</v>
      </c>
      <c r="G122" s="34">
        <f t="shared" si="90"/>
        <v>6.3439684867114154E-2</v>
      </c>
      <c r="H122" s="34">
        <f t="shared" si="90"/>
        <v>5.7820347308524811E-2</v>
      </c>
      <c r="I122" s="34">
        <f t="shared" si="90"/>
        <v>5.0129803588915278E-2</v>
      </c>
      <c r="J122" s="34">
        <f t="shared" si="90"/>
        <v>4.4962480249491454E-2</v>
      </c>
      <c r="K122" s="34">
        <f t="shared" ref="K122:Q122" si="91">K121/J121-1</f>
        <v>4.4617071213290505E-2</v>
      </c>
      <c r="L122" s="34">
        <f t="shared" si="91"/>
        <v>4.4281946056042409E-2</v>
      </c>
      <c r="M122" s="34">
        <f t="shared" si="91"/>
        <v>4.3956630508780625E-2</v>
      </c>
      <c r="N122" s="34">
        <f t="shared" si="91"/>
        <v>4.3640679692879436E-2</v>
      </c>
      <c r="O122" s="34">
        <f t="shared" si="91"/>
        <v>4.3333675853779896E-2</v>
      </c>
      <c r="P122" s="34">
        <f t="shared" si="91"/>
        <v>4.3035226302262419E-2</v>
      </c>
      <c r="Q122" s="34">
        <f t="shared" si="91"/>
        <v>4.2744961541377746E-2</v>
      </c>
      <c r="U122" s="34">
        <f>U121/Q121-1</f>
        <v>-1</v>
      </c>
      <c r="V122" s="34"/>
      <c r="W122" s="34">
        <f>W121/J121-1</f>
        <v>4.4617071213290505E-2</v>
      </c>
      <c r="X122" s="34">
        <f>X121/W121-1</f>
        <v>4.4281946056042409E-2</v>
      </c>
      <c r="Y122" s="1"/>
      <c r="Z122" s="1"/>
      <c r="AA122" s="1"/>
      <c r="AB122" s="1"/>
      <c r="AC122" s="1"/>
      <c r="AD122" s="1"/>
    </row>
    <row r="123" spans="1:30">
      <c r="A123" s="1" t="s">
        <v>401</v>
      </c>
      <c r="B123" s="30">
        <f>Latam!G55</f>
        <v>1.3079403466344217</v>
      </c>
      <c r="C123" s="30">
        <f>Latam!H55</f>
        <v>1.214300264819719</v>
      </c>
      <c r="D123" s="30">
        <f>Latam!I55</f>
        <v>1.344282572842221</v>
      </c>
      <c r="E123" s="30">
        <f>Latam!J55</f>
        <v>1.3114939637826961</v>
      </c>
      <c r="F123" s="30">
        <f>Latam!K55</f>
        <v>1.3025993705560088</v>
      </c>
      <c r="G123" s="30">
        <f>Latam!L55</f>
        <v>1.32</v>
      </c>
      <c r="H123" s="30">
        <f>Latam!M55</f>
        <v>1.33</v>
      </c>
      <c r="I123" s="30">
        <f>Latam!N55</f>
        <v>1.34</v>
      </c>
      <c r="J123" s="30">
        <f>Latam!O55</f>
        <v>1.35</v>
      </c>
      <c r="K123" s="30">
        <f>Latam!P55</f>
        <v>1.36</v>
      </c>
      <c r="L123" s="30">
        <f>Latam!Q55</f>
        <v>1.37</v>
      </c>
      <c r="M123" s="30">
        <f>Latam!R55</f>
        <v>1.3800000000000001</v>
      </c>
      <c r="N123" s="30">
        <f>Latam!S55</f>
        <v>1.3900000000000001</v>
      </c>
      <c r="O123" s="30">
        <f>Latam!T55</f>
        <v>1.4000000000000001</v>
      </c>
      <c r="P123" s="30">
        <f>Latam!U55</f>
        <v>1.4100000000000001</v>
      </c>
      <c r="Q123" s="30">
        <f>Latam!V55</f>
        <v>1.4200000000000002</v>
      </c>
      <c r="U123" s="30">
        <f>Latam!W55</f>
        <v>0</v>
      </c>
      <c r="V123" s="30"/>
      <c r="W123" s="30">
        <f>Latam!P55</f>
        <v>1.36</v>
      </c>
      <c r="X123" s="30">
        <f>Latam!Q55</f>
        <v>1.37</v>
      </c>
      <c r="Y123" s="1"/>
      <c r="Z123" s="1"/>
      <c r="AA123" s="1"/>
      <c r="AB123" s="1"/>
      <c r="AC123" s="1"/>
      <c r="AD123" s="1"/>
    </row>
    <row r="124" spans="1:30">
      <c r="A124" s="1" t="s">
        <v>6</v>
      </c>
      <c r="B124" s="6">
        <v>750</v>
      </c>
      <c r="C124" s="6">
        <f>Latam!H64</f>
        <v>1080.9254833804041</v>
      </c>
      <c r="D124" s="6">
        <f>Latam!I64</f>
        <v>1090.5856943209251</v>
      </c>
      <c r="E124" s="6">
        <f>Latam!J64</f>
        <v>1133.9848259937326</v>
      </c>
      <c r="F124" s="6">
        <f>Latam!K64</f>
        <v>887.64426340801072</v>
      </c>
      <c r="G124" s="6">
        <f>Latam!L64</f>
        <v>801.73862660643431</v>
      </c>
      <c r="H124" s="6">
        <f>Latam!M64</f>
        <v>729.72475590918384</v>
      </c>
      <c r="I124" s="6">
        <f>Latam!N64</f>
        <v>669.26007201984464</v>
      </c>
      <c r="J124" s="6">
        <f>Latam!O64</f>
        <v>618.41778693491312</v>
      </c>
      <c r="K124" s="6">
        <f>Latam!P64</f>
        <v>567.89725264711308</v>
      </c>
      <c r="L124" s="6">
        <f>Latam!Q64</f>
        <v>516.05233887871736</v>
      </c>
      <c r="M124" s="6">
        <f>Latam!R64</f>
        <v>462.73089482591934</v>
      </c>
      <c r="N124" s="6">
        <f>Latam!S64</f>
        <v>407.77498327271138</v>
      </c>
      <c r="O124" s="6">
        <f>Latam!T64</f>
        <v>351.02022264485117</v>
      </c>
      <c r="P124" s="6">
        <f>Latam!U64</f>
        <v>292.29510934468323</v>
      </c>
      <c r="Q124" s="6">
        <f>Latam!V64</f>
        <v>231.42031663857512</v>
      </c>
      <c r="U124" s="6">
        <f>Latam!W64</f>
        <v>0</v>
      </c>
      <c r="V124" s="6"/>
      <c r="W124" s="6">
        <f>Latam!P64</f>
        <v>567.89725264711308</v>
      </c>
      <c r="X124" s="6">
        <f>Latam!Q64</f>
        <v>516.05233887871736</v>
      </c>
      <c r="Y124" s="1"/>
      <c r="Z124" s="1"/>
      <c r="AA124" s="1"/>
      <c r="AB124" s="1"/>
      <c r="AC124" s="1"/>
      <c r="AD124" s="1"/>
    </row>
    <row r="125" spans="1:30">
      <c r="A125" s="1" t="s">
        <v>3</v>
      </c>
      <c r="B125" s="34"/>
      <c r="C125" s="34">
        <f t="shared" ref="C125:J125" si="92">C124/B124-1</f>
        <v>0.44123397784053875</v>
      </c>
      <c r="D125" s="34">
        <f t="shared" si="92"/>
        <v>8.9369814007069781E-3</v>
      </c>
      <c r="E125" s="34">
        <f t="shared" si="92"/>
        <v>3.9794334272677867E-2</v>
      </c>
      <c r="F125" s="34">
        <f t="shared" si="92"/>
        <v>-0.21723444347665666</v>
      </c>
      <c r="G125" s="34">
        <f t="shared" si="92"/>
        <v>-9.6779352205523583E-2</v>
      </c>
      <c r="H125" s="34">
        <f t="shared" si="92"/>
        <v>-8.9822129441446186E-2</v>
      </c>
      <c r="I125" s="34">
        <f t="shared" si="92"/>
        <v>-8.2859576024667869E-2</v>
      </c>
      <c r="J125" s="34">
        <f t="shared" si="92"/>
        <v>-7.5967904272980391E-2</v>
      </c>
      <c r="K125" s="34">
        <f t="shared" ref="K125:Q125" si="93">K124/J124-1</f>
        <v>-8.1693210245773917E-2</v>
      </c>
      <c r="L125" s="34">
        <f t="shared" si="93"/>
        <v>-9.1292770878417584E-2</v>
      </c>
      <c r="M125" s="34">
        <f t="shared" si="93"/>
        <v>-0.10332565136446292</v>
      </c>
      <c r="N125" s="34">
        <f t="shared" si="93"/>
        <v>-0.11876430160100404</v>
      </c>
      <c r="O125" s="34">
        <f t="shared" si="93"/>
        <v>-0.13918156570655493</v>
      </c>
      <c r="P125" s="34">
        <f t="shared" si="93"/>
        <v>-0.16729837630917288</v>
      </c>
      <c r="Q125" s="34">
        <f t="shared" si="93"/>
        <v>-0.20826483495597159</v>
      </c>
      <c r="U125" s="34">
        <f>U124/Q124-1</f>
        <v>-1</v>
      </c>
      <c r="V125" s="34"/>
      <c r="W125" s="34">
        <f>W124/J124-1</f>
        <v>-8.1693210245773917E-2</v>
      </c>
      <c r="X125" s="34">
        <f>X124/W124-1</f>
        <v>-9.1292770878417584E-2</v>
      </c>
      <c r="Y125" s="1"/>
      <c r="Z125" s="1"/>
      <c r="AA125" s="1"/>
      <c r="AB125" s="1"/>
      <c r="AC125" s="1"/>
      <c r="AD125" s="1"/>
    </row>
    <row r="126" spans="1:30">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row>
    <row r="127" spans="1:30">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row>
    <row r="128" spans="1:30">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row>
    <row r="129" spans="1:30">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row>
    <row r="130" spans="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row>
    <row r="131" spans="1:30">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row>
    <row r="134" spans="1:30">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row>
    <row r="135" spans="1:30">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row>
    <row r="136" spans="1:30">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row>
    <row r="137" spans="1:30">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row>
    <row r="138" spans="1:30">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row>
    <row r="139" spans="1:30">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row>
    <row r="140" spans="1:3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row>
    <row r="141" spans="1:30">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row>
    <row r="142" spans="1:30">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row>
    <row r="143" spans="1:30">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row>
    <row r="144" spans="1:30">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6C1B-D33B-4F44-B121-B7CE26B4466D}">
  <sheetPr codeName="Sheet25"/>
  <dimension ref="A2:BI177"/>
  <sheetViews>
    <sheetView showGridLines="0" topLeftCell="A148" zoomScale="70" zoomScaleNormal="70" workbookViewId="0">
      <selection activeCell="K229" sqref="K229"/>
    </sheetView>
  </sheetViews>
  <sheetFormatPr defaultColWidth="9.140625" defaultRowHeight="16.5"/>
  <cols>
    <col min="1" max="1" width="15.42578125" customWidth="1"/>
    <col min="2" max="2" width="13.140625" style="36" bestFit="1" customWidth="1"/>
    <col min="3" max="3" width="19" style="36" customWidth="1"/>
    <col min="4" max="4" width="16.140625" style="36" customWidth="1"/>
    <col min="5" max="5" width="15.42578125" style="36" customWidth="1"/>
    <col min="6" max="6" width="16.5703125" style="36" customWidth="1"/>
    <col min="7" max="8" width="9"/>
    <col min="9" max="9" width="20.42578125" style="36" bestFit="1" customWidth="1"/>
    <col min="10" max="16384" width="9.140625" style="36"/>
  </cols>
  <sheetData>
    <row r="2" spans="2:10">
      <c r="G2" s="36"/>
      <c r="H2" s="36"/>
      <c r="I2" s="36" t="s">
        <v>384</v>
      </c>
      <c r="J2" s="36" t="s">
        <v>383</v>
      </c>
    </row>
    <row r="3" spans="2:10">
      <c r="B3" s="151">
        <v>44166</v>
      </c>
      <c r="G3" s="36"/>
      <c r="H3" s="36"/>
      <c r="I3" s="39">
        <f>Consolidation!F6/Consolidation!F10</f>
        <v>0.73964300527809423</v>
      </c>
      <c r="J3" s="39">
        <f>Consolidation!F27/(SUM(Consolidation!F27:F30))</f>
        <v>0.77515281477633224</v>
      </c>
    </row>
    <row r="4" spans="2:10">
      <c r="B4" s="48"/>
      <c r="C4" s="52" t="s">
        <v>280</v>
      </c>
      <c r="D4" s="52" t="s">
        <v>215</v>
      </c>
      <c r="E4" s="49" t="s">
        <v>281</v>
      </c>
      <c r="F4" s="52" t="s">
        <v>382</v>
      </c>
      <c r="G4" s="36"/>
      <c r="H4" s="36"/>
      <c r="I4" s="39">
        <v>7.0000000000000007E-2</v>
      </c>
      <c r="J4" s="39">
        <v>0.08</v>
      </c>
    </row>
    <row r="5" spans="2:10">
      <c r="B5" s="50" t="str">
        <f>'Sites and tenancies'!A3</f>
        <v>Nigeria</v>
      </c>
      <c r="C5" s="56">
        <f>'Sites and tenancies'!C74</f>
        <v>37625</v>
      </c>
      <c r="D5" s="54">
        <f t="shared" ref="D5:D10" si="0">E5/C5</f>
        <v>0.4395215946843854</v>
      </c>
      <c r="E5" s="58">
        <f>'Sites and tenancies'!C3</f>
        <v>16537</v>
      </c>
      <c r="F5" s="60">
        <f>'Sites and tenancies'!C25</f>
        <v>1.5017234081151358</v>
      </c>
      <c r="G5" s="36"/>
      <c r="H5" s="36"/>
      <c r="I5" s="39">
        <v>0.08</v>
      </c>
      <c r="J5" s="39">
        <v>0.06</v>
      </c>
    </row>
    <row r="6" spans="2:10">
      <c r="B6" s="50" t="str">
        <f>'Sites and tenancies'!A4</f>
        <v>Cote D'Ivoire</v>
      </c>
      <c r="C6" s="56">
        <f>'Sites and tenancies'!C75</f>
        <v>4079</v>
      </c>
      <c r="D6" s="54">
        <f t="shared" si="0"/>
        <v>0.66241725913214022</v>
      </c>
      <c r="E6" s="58">
        <f>'Sites and tenancies'!C4</f>
        <v>2702</v>
      </c>
      <c r="F6" s="60">
        <f>'Sites and tenancies'!C26</f>
        <v>1.7649888971132495</v>
      </c>
      <c r="G6" s="36"/>
      <c r="H6" s="36"/>
      <c r="I6" s="39">
        <f>(Consolidation!F7/Consolidation!F10)-Sheet2!I5-Sheet2!I4-I7</f>
        <v>4.8364724428752857E-2</v>
      </c>
      <c r="J6" s="39">
        <v>0.03</v>
      </c>
    </row>
    <row r="7" spans="2:10">
      <c r="B7" s="50" t="str">
        <f>'Sites and tenancies'!A5</f>
        <v>Cameroon</v>
      </c>
      <c r="C7" s="56">
        <f>'Sites and tenancies'!C76</f>
        <v>5208</v>
      </c>
      <c r="D7" s="54">
        <f t="shared" si="0"/>
        <v>0.42511520737327191</v>
      </c>
      <c r="E7" s="58">
        <f>'Sites and tenancies'!C5</f>
        <v>2214</v>
      </c>
      <c r="F7" s="60">
        <f>'Sites and tenancies'!C27</f>
        <v>1.6476964769647697</v>
      </c>
      <c r="G7" s="36"/>
      <c r="H7" s="36"/>
      <c r="I7" s="39">
        <v>2.5000000000000001E-2</v>
      </c>
      <c r="J7" s="39">
        <f>(Consolidation!F28/SUM(Consolidation!F27:F30))-J4-J5-J6</f>
        <v>1.8776265903237541E-2</v>
      </c>
    </row>
    <row r="8" spans="2:10">
      <c r="B8" s="50" t="str">
        <f>'Sites and tenancies'!A6</f>
        <v>Zambia</v>
      </c>
      <c r="C8" s="56">
        <f>'Sites and tenancies'!C77</f>
        <v>3491</v>
      </c>
      <c r="D8" s="54">
        <f t="shared" si="0"/>
        <v>0.50214838155256369</v>
      </c>
      <c r="E8" s="58">
        <f>'Sites and tenancies'!C6</f>
        <v>1753</v>
      </c>
      <c r="F8" s="60">
        <f>'Sites and tenancies'!C28</f>
        <v>1.8482601254991444</v>
      </c>
      <c r="G8" s="36"/>
      <c r="H8" s="36"/>
      <c r="I8" s="39">
        <f>Consolidation!F9/Consolidation!F10</f>
        <v>1.5480081359333733E-2</v>
      </c>
      <c r="J8" s="39">
        <f>Consolidation!F30/SUM(Consolidation!F27:F30)</f>
        <v>1.0983872928848554E-2</v>
      </c>
    </row>
    <row r="9" spans="2:10">
      <c r="B9" s="50" t="str">
        <f>'Sites and tenancies'!A7</f>
        <v>Rwanda</v>
      </c>
      <c r="C9" s="56">
        <f>'Sites and tenancies'!C78</f>
        <v>1605</v>
      </c>
      <c r="D9" s="54">
        <f t="shared" si="0"/>
        <v>0.59688473520249219</v>
      </c>
      <c r="E9" s="58">
        <f>'Sites and tenancies'!C7</f>
        <v>958</v>
      </c>
      <c r="F9" s="60">
        <f>'Sites and tenancies'!C29</f>
        <v>2.4874739039665972</v>
      </c>
      <c r="G9" s="36"/>
      <c r="H9" s="36"/>
      <c r="I9" s="39">
        <f>1-SUM(I3:I8)</f>
        <v>2.1512188933819121E-2</v>
      </c>
      <c r="J9" s="39">
        <f>1-SUM(J3:J8)</f>
        <v>2.5087046391581769E-2</v>
      </c>
    </row>
    <row r="10" spans="2:10">
      <c r="B10" s="50" t="str">
        <f>'Sites and tenancies'!A8</f>
        <v>Kuwait population</v>
      </c>
      <c r="C10" s="56">
        <f>'Sites and tenancies'!C79</f>
        <v>5900</v>
      </c>
      <c r="D10" s="54">
        <f t="shared" si="0"/>
        <v>0.19694915254237289</v>
      </c>
      <c r="E10" s="58">
        <f>'Sites and tenancies'!C8</f>
        <v>1162</v>
      </c>
      <c r="F10" s="60">
        <f>'Sites and tenancies'!C30</f>
        <v>1</v>
      </c>
      <c r="G10" s="36"/>
      <c r="H10" s="36"/>
    </row>
    <row r="11" spans="2:10">
      <c r="B11" s="51" t="s">
        <v>160</v>
      </c>
      <c r="C11" s="57">
        <v>99452</v>
      </c>
      <c r="D11" s="55">
        <v>2.4946707959618709E-2</v>
      </c>
      <c r="E11" s="59">
        <v>2481</v>
      </c>
      <c r="F11" s="61">
        <f>'Sites and tenancies'!C31</f>
        <v>1.3079403466344217</v>
      </c>
      <c r="G11" s="36"/>
      <c r="H11" s="36"/>
    </row>
    <row r="12" spans="2:10">
      <c r="B12" s="51" t="s">
        <v>385</v>
      </c>
      <c r="C12" s="53"/>
      <c r="D12" s="53"/>
      <c r="E12" s="62">
        <f>SUM(E5:E11)</f>
        <v>27807</v>
      </c>
      <c r="F12" s="63">
        <f>'Sites and tenancies'!C32</f>
        <v>1.5564785845290754</v>
      </c>
      <c r="G12" s="36"/>
      <c r="H12" s="36"/>
    </row>
    <row r="13" spans="2:10">
      <c r="G13" s="36"/>
      <c r="H13" s="36"/>
    </row>
    <row r="14" spans="2:10">
      <c r="B14" s="36" t="s">
        <v>221</v>
      </c>
      <c r="C14" s="36">
        <v>64075</v>
      </c>
      <c r="D14" s="152">
        <f>E14/C14</f>
        <v>3.7752633632461959E-2</v>
      </c>
      <c r="E14" s="36">
        <v>2419</v>
      </c>
    </row>
    <row r="15" spans="2:10">
      <c r="B15" s="36" t="s">
        <v>238</v>
      </c>
      <c r="C15" s="36">
        <v>17903</v>
      </c>
      <c r="D15" s="152">
        <f>E15/C15</f>
        <v>2.8486845780036863E-3</v>
      </c>
      <c r="E15" s="36">
        <v>51</v>
      </c>
    </row>
    <row r="16" spans="2:10">
      <c r="B16" s="36" t="s">
        <v>224</v>
      </c>
      <c r="C16" s="36">
        <v>17474</v>
      </c>
      <c r="D16" s="152">
        <f>E16/C16</f>
        <v>6.2950669566212659E-4</v>
      </c>
      <c r="E16" s="36">
        <v>11</v>
      </c>
    </row>
    <row r="27" spans="2:3">
      <c r="B27" s="36" t="s">
        <v>386</v>
      </c>
      <c r="C27" s="37">
        <v>212537</v>
      </c>
    </row>
    <row r="28" spans="2:3">
      <c r="B28" s="36" t="s">
        <v>156</v>
      </c>
      <c r="C28" s="37">
        <v>85749</v>
      </c>
    </row>
    <row r="29" spans="2:3">
      <c r="B29" s="36" t="s">
        <v>200</v>
      </c>
      <c r="C29" s="37">
        <v>33854</v>
      </c>
    </row>
    <row r="30" spans="2:3">
      <c r="B30" s="36" t="s">
        <v>381</v>
      </c>
      <c r="C30" s="37">
        <v>30207</v>
      </c>
    </row>
    <row r="31" spans="2:3">
      <c r="B31" s="36" t="s">
        <v>387</v>
      </c>
      <c r="C31" s="37">
        <v>13500</v>
      </c>
    </row>
    <row r="32" spans="2:3">
      <c r="B32" s="36" t="s">
        <v>201</v>
      </c>
      <c r="C32" s="37">
        <v>8603</v>
      </c>
    </row>
    <row r="48" spans="3:8">
      <c r="C48" s="36">
        <v>2015</v>
      </c>
      <c r="D48" s="36">
        <f>C48+1</f>
        <v>2016</v>
      </c>
      <c r="E48" s="36">
        <f>D48+1</f>
        <v>2017</v>
      </c>
      <c r="F48" s="36">
        <f>E48+1</f>
        <v>2018</v>
      </c>
      <c r="G48" s="36">
        <f>F48+1</f>
        <v>2019</v>
      </c>
      <c r="H48" s="36">
        <f>G48+1</f>
        <v>2020</v>
      </c>
    </row>
    <row r="49" spans="1:8">
      <c r="B49" s="36" t="s">
        <v>388</v>
      </c>
      <c r="C49" s="36">
        <v>796</v>
      </c>
      <c r="D49" s="36">
        <v>743</v>
      </c>
      <c r="E49" s="36">
        <v>670</v>
      </c>
      <c r="F49" s="36">
        <v>1172</v>
      </c>
      <c r="G49" s="36">
        <v>305</v>
      </c>
      <c r="H49" s="36">
        <v>362</v>
      </c>
    </row>
    <row r="50" spans="1:8">
      <c r="B50" s="36" t="s">
        <v>316</v>
      </c>
    </row>
    <row r="53" spans="1:8">
      <c r="C53" s="36">
        <v>5762</v>
      </c>
      <c r="D53" s="36">
        <v>9968</v>
      </c>
      <c r="E53" s="36">
        <v>13604</v>
      </c>
      <c r="F53" s="36">
        <v>17983</v>
      </c>
      <c r="G53" s="36">
        <v>21478</v>
      </c>
    </row>
    <row r="54" spans="1:8">
      <c r="D54" s="36">
        <f>D53-C53</f>
        <v>4206</v>
      </c>
      <c r="E54" s="36">
        <f>E53-D53</f>
        <v>3636</v>
      </c>
      <c r="F54" s="36">
        <f>F53-E53</f>
        <v>4379</v>
      </c>
      <c r="G54" s="36">
        <f>G53-F53</f>
        <v>3495</v>
      </c>
    </row>
    <row r="57" spans="1:8">
      <c r="A57" s="65" t="s">
        <v>150</v>
      </c>
      <c r="B57" s="107">
        <v>3.4939685461859535</v>
      </c>
    </row>
    <row r="58" spans="1:8">
      <c r="A58" s="64" t="s">
        <v>392</v>
      </c>
      <c r="B58" s="107">
        <v>6.992197289281143</v>
      </c>
    </row>
    <row r="59" spans="1:8">
      <c r="A59" s="64" t="s">
        <v>394</v>
      </c>
      <c r="B59" s="36">
        <v>9.5</v>
      </c>
      <c r="C59" s="36">
        <f>B59/B63-1</f>
        <v>-0.20168067226890762</v>
      </c>
    </row>
    <row r="60" spans="1:8">
      <c r="A60" s="64" t="s">
        <v>395</v>
      </c>
      <c r="B60" s="36">
        <v>10.7</v>
      </c>
      <c r="C60" s="36">
        <f>B60/B63-1</f>
        <v>-0.10084033613445387</v>
      </c>
    </row>
    <row r="61" spans="1:8">
      <c r="A61" s="64" t="s">
        <v>169</v>
      </c>
      <c r="B61" s="77">
        <v>10.896275464543365</v>
      </c>
    </row>
    <row r="62" spans="1:8">
      <c r="A62" s="64" t="s">
        <v>393</v>
      </c>
      <c r="B62" s="107">
        <v>11.262119595180938</v>
      </c>
    </row>
    <row r="63" spans="1:8">
      <c r="A63" s="64" t="s">
        <v>201</v>
      </c>
      <c r="B63" s="36">
        <v>11.9</v>
      </c>
    </row>
    <row r="64" spans="1:8">
      <c r="A64" s="36" t="s">
        <v>396</v>
      </c>
      <c r="B64" s="36">
        <v>12.3</v>
      </c>
    </row>
    <row r="65" spans="1:8">
      <c r="A65" s="65" t="s">
        <v>152</v>
      </c>
      <c r="B65" s="77">
        <v>16.297610627235702</v>
      </c>
    </row>
    <row r="66" spans="1:8">
      <c r="A66" s="64" t="s">
        <v>198</v>
      </c>
      <c r="B66" s="107">
        <v>21.881344230525915</v>
      </c>
    </row>
    <row r="67" spans="1:8">
      <c r="A67" s="65" t="s">
        <v>389</v>
      </c>
      <c r="B67" s="77">
        <v>22.006635527299796</v>
      </c>
    </row>
    <row r="68" spans="1:8">
      <c r="A68" s="106" t="s">
        <v>154</v>
      </c>
      <c r="B68" s="76">
        <v>22.351469902137406</v>
      </c>
    </row>
    <row r="69" spans="1:8">
      <c r="A69" s="64" t="s">
        <v>390</v>
      </c>
      <c r="B69" s="107">
        <v>25.357956260506615</v>
      </c>
    </row>
    <row r="70" spans="1:8">
      <c r="A70" s="64" t="s">
        <v>391</v>
      </c>
      <c r="B70" s="107">
        <v>31.707129464907037</v>
      </c>
    </row>
    <row r="71" spans="1:8">
      <c r="A71" s="65" t="s">
        <v>156</v>
      </c>
      <c r="B71" s="77">
        <v>40.468395234804547</v>
      </c>
    </row>
    <row r="75" spans="1:8">
      <c r="A75" s="65" t="s">
        <v>150</v>
      </c>
      <c r="B75" s="107">
        <v>3.4939685461859535</v>
      </c>
    </row>
    <row r="76" spans="1:8">
      <c r="A76" s="64" t="s">
        <v>392</v>
      </c>
      <c r="B76" s="107">
        <v>6.992197289281143</v>
      </c>
    </row>
    <row r="77" spans="1:8">
      <c r="A77" s="64" t="s">
        <v>394</v>
      </c>
      <c r="B77" s="36">
        <v>9.1</v>
      </c>
    </row>
    <row r="78" spans="1:8">
      <c r="A78" s="64" t="s">
        <v>395</v>
      </c>
      <c r="B78" s="36">
        <v>10.1</v>
      </c>
    </row>
    <row r="79" spans="1:8">
      <c r="A79" s="64" t="s">
        <v>169</v>
      </c>
      <c r="B79" s="77">
        <v>10.896275464543365</v>
      </c>
      <c r="E79"/>
      <c r="F79"/>
      <c r="G79" s="36"/>
      <c r="H79" s="36"/>
    </row>
    <row r="80" spans="1:8">
      <c r="A80" s="64" t="s">
        <v>393</v>
      </c>
      <c r="B80" s="107">
        <v>11.262119595180938</v>
      </c>
    </row>
    <row r="81" spans="1:2">
      <c r="A81" s="64" t="s">
        <v>201</v>
      </c>
      <c r="B81" s="36">
        <v>11.9</v>
      </c>
    </row>
    <row r="82" spans="1:2">
      <c r="A82" s="64" t="s">
        <v>400</v>
      </c>
      <c r="B82" s="36">
        <v>12</v>
      </c>
    </row>
    <row r="83" spans="1:2">
      <c r="A83" s="36" t="s">
        <v>396</v>
      </c>
      <c r="B83" s="36">
        <v>12.3</v>
      </c>
    </row>
    <row r="84" spans="1:2">
      <c r="A84" s="65" t="s">
        <v>152</v>
      </c>
      <c r="B84" s="77">
        <v>16.297610627235702</v>
      </c>
    </row>
    <row r="85" spans="1:2">
      <c r="A85" s="64" t="s">
        <v>198</v>
      </c>
      <c r="B85" s="107">
        <v>21.881344230525915</v>
      </c>
    </row>
    <row r="86" spans="1:2">
      <c r="A86" s="65" t="s">
        <v>389</v>
      </c>
      <c r="B86" s="77">
        <v>22.006635527299796</v>
      </c>
    </row>
    <row r="87" spans="1:2">
      <c r="A87" s="106" t="s">
        <v>154</v>
      </c>
      <c r="B87" s="76">
        <v>22.351469902137406</v>
      </c>
    </row>
    <row r="88" spans="1:2">
      <c r="A88" s="64" t="s">
        <v>390</v>
      </c>
      <c r="B88" s="107">
        <v>25.357956260506615</v>
      </c>
    </row>
    <row r="89" spans="1:2">
      <c r="A89" s="64" t="s">
        <v>391</v>
      </c>
      <c r="B89" s="107">
        <v>31.707129464907037</v>
      </c>
    </row>
    <row r="90" spans="1:2">
      <c r="A90" s="65" t="s">
        <v>156</v>
      </c>
      <c r="B90" s="77">
        <v>40.468395234804547</v>
      </c>
    </row>
    <row r="100" spans="1:6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row>
    <row r="101" spans="1:6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row>
    <row r="102" spans="1:6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row>
    <row r="103" spans="1:6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row>
    <row r="104" spans="1:61">
      <c r="A104" s="8"/>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row>
    <row r="105" spans="1:61">
      <c r="A105" s="8"/>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row>
    <row r="106" spans="1:61">
      <c r="A106" s="8"/>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row>
    <row r="107" spans="1:61">
      <c r="A107" s="8"/>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row>
    <row r="108" spans="1:61">
      <c r="A108" s="8"/>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row>
    <row r="109" spans="1:61">
      <c r="A109" s="8"/>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row>
    <row r="110" spans="1:61">
      <c r="A110" s="8"/>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row>
    <row r="111" spans="1:61">
      <c r="A111" s="8"/>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row>
    <row r="112" spans="1:61">
      <c r="A112" s="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row>
    <row r="113" spans="1:61">
      <c r="A113" s="8"/>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row>
    <row r="114" spans="1:61">
      <c r="A114" s="8"/>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row>
    <row r="115" spans="1:61">
      <c r="A115" s="8"/>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row>
    <row r="116" spans="1:61">
      <c r="A116" s="8"/>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row>
    <row r="117" spans="1:61">
      <c r="A117" s="8"/>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row>
    <row r="118" spans="1:61">
      <c r="A118" s="8"/>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row>
    <row r="119" spans="1:61">
      <c r="A119" s="8"/>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row>
    <row r="120" spans="1:61">
      <c r="A120" s="8"/>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row>
    <row r="121" spans="1:61">
      <c r="A121" s="8"/>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row>
    <row r="122" spans="1:61">
      <c r="A122" s="8"/>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row>
    <row r="123" spans="1:61">
      <c r="A123" s="8"/>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row>
    <row r="124" spans="1:61">
      <c r="A124" s="8"/>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row>
    <row r="125" spans="1:61">
      <c r="A125" s="10">
        <v>37987</v>
      </c>
      <c r="B125" s="10">
        <v>38018</v>
      </c>
      <c r="C125" s="10">
        <v>38047</v>
      </c>
      <c r="D125" s="10">
        <v>38078</v>
      </c>
      <c r="E125" s="10">
        <v>38108</v>
      </c>
      <c r="F125" s="10">
        <v>38139</v>
      </c>
      <c r="G125" s="10">
        <v>38169</v>
      </c>
      <c r="H125" s="10">
        <v>38200</v>
      </c>
      <c r="I125" s="10">
        <v>38231</v>
      </c>
      <c r="J125" s="10">
        <v>38261</v>
      </c>
      <c r="K125" s="10">
        <v>38292</v>
      </c>
      <c r="L125" s="10">
        <v>38322</v>
      </c>
      <c r="M125" s="10">
        <v>38353</v>
      </c>
      <c r="N125" s="10">
        <v>38384</v>
      </c>
      <c r="O125" s="10">
        <v>38412</v>
      </c>
      <c r="P125" s="10">
        <v>38443</v>
      </c>
      <c r="Q125" s="10">
        <v>38473</v>
      </c>
      <c r="R125" s="10">
        <v>38504</v>
      </c>
      <c r="S125" s="10">
        <v>38534</v>
      </c>
      <c r="T125" s="10">
        <v>38565</v>
      </c>
      <c r="U125" s="10">
        <v>38596</v>
      </c>
      <c r="V125" s="10">
        <v>38626</v>
      </c>
      <c r="W125" s="10">
        <v>38657</v>
      </c>
      <c r="X125" s="10">
        <v>38687</v>
      </c>
      <c r="Y125" s="10">
        <v>38718</v>
      </c>
      <c r="Z125" s="10">
        <v>38749</v>
      </c>
      <c r="AA125" s="10">
        <v>38777</v>
      </c>
      <c r="AB125" s="10">
        <v>38808</v>
      </c>
      <c r="AC125" s="10">
        <v>38838</v>
      </c>
      <c r="AD125" s="10">
        <v>38869</v>
      </c>
      <c r="AE125" s="10">
        <v>38899</v>
      </c>
      <c r="AF125" s="10">
        <v>38930</v>
      </c>
      <c r="AG125" s="10">
        <v>38961</v>
      </c>
      <c r="AH125" s="10">
        <v>38991</v>
      </c>
      <c r="AI125" s="10">
        <v>39022</v>
      </c>
      <c r="AJ125" s="10">
        <v>39052</v>
      </c>
      <c r="AK125" s="10">
        <v>39083</v>
      </c>
      <c r="AL125" s="10">
        <v>39114</v>
      </c>
      <c r="AM125" s="10">
        <v>39142</v>
      </c>
      <c r="AN125" s="10">
        <v>39173</v>
      </c>
      <c r="AO125" s="10">
        <v>39203</v>
      </c>
      <c r="AP125" s="10">
        <v>39234</v>
      </c>
      <c r="AQ125" s="10">
        <v>39264</v>
      </c>
      <c r="AR125" s="10">
        <v>39295</v>
      </c>
      <c r="AS125" s="10">
        <v>39326</v>
      </c>
      <c r="AT125" s="10">
        <v>39356</v>
      </c>
      <c r="AU125" s="10">
        <v>39387</v>
      </c>
      <c r="AV125" s="10">
        <v>39417</v>
      </c>
      <c r="AW125" s="10">
        <v>39448</v>
      </c>
      <c r="AX125" s="10">
        <v>39479</v>
      </c>
      <c r="AY125" s="10">
        <v>39508</v>
      </c>
      <c r="AZ125" s="10">
        <v>39539</v>
      </c>
      <c r="BA125" s="10">
        <v>39569</v>
      </c>
      <c r="BB125" s="10">
        <v>39600</v>
      </c>
      <c r="BC125" s="10">
        <v>39630</v>
      </c>
      <c r="BD125" s="10">
        <v>39661</v>
      </c>
      <c r="BE125" s="10">
        <v>39692</v>
      </c>
      <c r="BF125" s="10">
        <v>39722</v>
      </c>
      <c r="BG125" s="10">
        <v>39753</v>
      </c>
      <c r="BH125" s="10">
        <v>39783</v>
      </c>
      <c r="BI125" s="9"/>
    </row>
    <row r="126" spans="1:61">
      <c r="A126" s="8"/>
      <c r="B126" s="11">
        <v>443.99900000000343</v>
      </c>
      <c r="C126" s="11">
        <v>534.6929999999993</v>
      </c>
      <c r="D126" s="11">
        <v>560.31099999999424</v>
      </c>
      <c r="E126" s="11">
        <v>464.11100000000442</v>
      </c>
      <c r="F126" s="11">
        <v>212.58299999999872</v>
      </c>
      <c r="G126" s="11">
        <v>-116.98300000000017</v>
      </c>
      <c r="H126" s="11">
        <v>-24.748999999996158</v>
      </c>
      <c r="I126" s="11">
        <v>47.298999999999069</v>
      </c>
      <c r="J126" s="11">
        <v>106.12099999999919</v>
      </c>
      <c r="K126" s="11">
        <v>189.41500000000087</v>
      </c>
      <c r="L126" s="11">
        <v>143.96099999999569</v>
      </c>
      <c r="M126" s="11">
        <v>118.99400000000605</v>
      </c>
      <c r="N126" s="11">
        <v>216.8070000000007</v>
      </c>
      <c r="O126" s="11">
        <v>184.75099999999657</v>
      </c>
      <c r="P126" s="11">
        <v>127.0089999999982</v>
      </c>
      <c r="Q126" s="11">
        <v>172.06200000000536</v>
      </c>
      <c r="R126" s="11">
        <v>145.53799999999319</v>
      </c>
      <c r="S126" s="11">
        <v>132.20400000000518</v>
      </c>
      <c r="T126" s="11">
        <v>104.23399999999674</v>
      </c>
      <c r="U126" s="11">
        <v>123.53399999999965</v>
      </c>
      <c r="V126" s="11">
        <v>148.12700000000768</v>
      </c>
      <c r="W126" s="11">
        <v>159.11099999999715</v>
      </c>
      <c r="X126" s="11">
        <v>123.89999999999418</v>
      </c>
      <c r="Y126" s="11">
        <v>173.21800000000076</v>
      </c>
      <c r="Z126" s="11">
        <v>217.58400000000256</v>
      </c>
      <c r="AA126" s="11">
        <v>183.66799999999785</v>
      </c>
      <c r="AB126" s="11">
        <v>79.39100000000326</v>
      </c>
      <c r="AC126" s="11">
        <v>134.00799999999435</v>
      </c>
      <c r="AD126" s="11">
        <v>252.29700000000594</v>
      </c>
      <c r="AE126" s="11">
        <v>128.22200000000157</v>
      </c>
      <c r="AF126" s="11">
        <v>45.060999999994237</v>
      </c>
      <c r="AG126" s="11">
        <v>147.43800000000192</v>
      </c>
      <c r="AH126" s="11">
        <v>162.6449999999968</v>
      </c>
      <c r="AI126" s="11">
        <v>170.23200000000361</v>
      </c>
      <c r="AJ126" s="11">
        <v>161.0280000000057</v>
      </c>
      <c r="AK126" s="11">
        <v>221.13499999998749</v>
      </c>
      <c r="AL126" s="11">
        <v>353.79800000000978</v>
      </c>
      <c r="AM126" s="11">
        <v>329.11899999999878</v>
      </c>
      <c r="AN126" s="11">
        <v>307.93600000000151</v>
      </c>
      <c r="AO126" s="11">
        <v>374.06100000000151</v>
      </c>
      <c r="AP126" s="11">
        <v>536.65799999999581</v>
      </c>
      <c r="AQ126" s="11">
        <v>59.101000000002387</v>
      </c>
      <c r="AR126" s="11">
        <v>131.05399999999645</v>
      </c>
      <c r="AS126" s="11">
        <v>291.18300000000454</v>
      </c>
      <c r="AT126" s="11">
        <v>196.39799999999377</v>
      </c>
      <c r="AU126" s="11">
        <v>199.05500000000001</v>
      </c>
      <c r="AV126" s="11">
        <v>300.92799999999988</v>
      </c>
      <c r="AW126" s="11">
        <v>247.90000000000146</v>
      </c>
      <c r="AX126" s="11">
        <v>260.64899999999761</v>
      </c>
      <c r="AY126" s="11">
        <v>259.95600000000559</v>
      </c>
      <c r="AZ126" s="11">
        <v>235.72799999999552</v>
      </c>
      <c r="BA126" s="11">
        <v>235.95300000000134</v>
      </c>
      <c r="BB126" s="11">
        <v>245.09600000000501</v>
      </c>
      <c r="BC126" s="11">
        <v>68.349999999998545</v>
      </c>
      <c r="BD126" s="11">
        <v>94.936999999998079</v>
      </c>
      <c r="BE126" s="11">
        <v>128.40099999999802</v>
      </c>
      <c r="BF126" s="11">
        <v>110</v>
      </c>
      <c r="BG126" s="11">
        <v>111</v>
      </c>
      <c r="BH126" s="11">
        <v>110</v>
      </c>
      <c r="BI126" s="9"/>
    </row>
    <row r="127" spans="1:61">
      <c r="A127" s="8"/>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row>
    <row r="128" spans="1:61">
      <c r="A128" s="8"/>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row>
    <row r="129" spans="1:61">
      <c r="A129" s="8"/>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row>
    <row r="130" spans="1:61">
      <c r="A130" s="8"/>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row>
    <row r="131" spans="1:6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9"/>
      <c r="BG131" s="9"/>
      <c r="BH131" s="9"/>
      <c r="BI131" s="9"/>
    </row>
    <row r="132" spans="1:6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9"/>
      <c r="BG132" s="9"/>
      <c r="BH132" s="9"/>
      <c r="BI132" s="9"/>
    </row>
    <row r="133" spans="1:6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9"/>
      <c r="BG133" s="9"/>
      <c r="BH133" s="9"/>
      <c r="BI133" s="9"/>
    </row>
    <row r="134" spans="1:6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9"/>
      <c r="BG134" s="9"/>
      <c r="BH134" s="9"/>
      <c r="BI134" s="9"/>
    </row>
    <row r="135" spans="1:6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9"/>
      <c r="BG135" s="9"/>
      <c r="BH135" s="9"/>
      <c r="BI135" s="9"/>
    </row>
    <row r="136" spans="1:6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9"/>
      <c r="BG136" s="9"/>
      <c r="BH136" s="9"/>
      <c r="BI136" s="9"/>
    </row>
    <row r="137" spans="1:6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9"/>
      <c r="BG137" s="9"/>
      <c r="BH137" s="9"/>
      <c r="BI137" s="9"/>
    </row>
    <row r="138" spans="1:6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9"/>
      <c r="BG138" s="9"/>
      <c r="BH138" s="9"/>
      <c r="BI138" s="9"/>
    </row>
    <row r="139" spans="1:6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9"/>
      <c r="BG139" s="9"/>
      <c r="BH139" s="9"/>
      <c r="BI139" s="9"/>
    </row>
    <row r="140" spans="1:6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9"/>
      <c r="BG140" s="9"/>
      <c r="BH140" s="9"/>
      <c r="BI140" s="9"/>
    </row>
    <row r="141" spans="1:61">
      <c r="A141" s="8"/>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row>
    <row r="142" spans="1:61">
      <c r="A142" s="8"/>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row>
    <row r="143" spans="1:61">
      <c r="A143" s="8"/>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row>
    <row r="144" spans="1:6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row>
    <row r="145" spans="1:6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9"/>
      <c r="BG145" s="9"/>
      <c r="BH145" s="9"/>
      <c r="BI145" s="9"/>
    </row>
    <row r="146" spans="1:6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9"/>
      <c r="BG146" s="9"/>
      <c r="BH146" s="9"/>
      <c r="BI146" s="9"/>
    </row>
    <row r="147" spans="1:6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9"/>
      <c r="BG147" s="9"/>
      <c r="BH147" s="9"/>
      <c r="BI147" s="9"/>
    </row>
    <row r="148" spans="1:6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9"/>
      <c r="BG148" s="9"/>
      <c r="BH148" s="9"/>
      <c r="BI148" s="9"/>
    </row>
    <row r="149" spans="1:6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row>
    <row r="150" spans="1:6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row>
    <row r="151" spans="1:6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row>
    <row r="152" spans="1:6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row>
    <row r="153" spans="1:6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row>
    <row r="154" spans="1:6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row>
    <row r="155" spans="1:6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row>
    <row r="156" spans="1:6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row>
    <row r="157" spans="1:6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row>
    <row r="158" spans="1:6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row>
    <row r="159" spans="1:6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row>
    <row r="160" spans="1:6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row>
    <row r="161" spans="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row>
    <row r="165" spans="1:61">
      <c r="A165" t="s">
        <v>1164</v>
      </c>
    </row>
    <row r="167" spans="1:61">
      <c r="A167" t="s">
        <v>140</v>
      </c>
      <c r="B167" s="36">
        <v>274.5</v>
      </c>
      <c r="D167" s="36" t="s">
        <v>1191</v>
      </c>
      <c r="E167" s="36">
        <v>20</v>
      </c>
    </row>
    <row r="168" spans="1:61">
      <c r="A168" t="s">
        <v>1088</v>
      </c>
      <c r="B168" s="36">
        <v>8.3000000000000007</v>
      </c>
      <c r="D168" s="36" t="s">
        <v>9</v>
      </c>
      <c r="E168" s="36">
        <v>12</v>
      </c>
    </row>
    <row r="169" spans="1:61">
      <c r="A169" t="s">
        <v>640</v>
      </c>
      <c r="B169" s="1075">
        <f>B167/B168</f>
        <v>33.072289156626503</v>
      </c>
      <c r="D169" s="1075" t="s">
        <v>907</v>
      </c>
      <c r="E169" s="36">
        <v>7</v>
      </c>
    </row>
    <row r="170" spans="1:61">
      <c r="A170" t="s">
        <v>1165</v>
      </c>
      <c r="B170" s="1073">
        <v>38</v>
      </c>
    </row>
    <row r="171" spans="1:61">
      <c r="A171" t="s">
        <v>1167</v>
      </c>
      <c r="B171" s="1074">
        <f>B170/0.65</f>
        <v>58.46153846153846</v>
      </c>
    </row>
    <row r="172" spans="1:61">
      <c r="A172" t="s">
        <v>1166</v>
      </c>
      <c r="B172" s="1074">
        <f>10%*B171</f>
        <v>5.8461538461538467</v>
      </c>
    </row>
    <row r="173" spans="1:61">
      <c r="A173" t="s">
        <v>172</v>
      </c>
      <c r="B173" s="36">
        <v>1465</v>
      </c>
    </row>
    <row r="176" spans="1:61">
      <c r="B176" s="36">
        <f>0.25*B171</f>
        <v>14.615384615384615</v>
      </c>
    </row>
    <row r="177" spans="2:2">
      <c r="B177" s="36">
        <f>0.25*B170</f>
        <v>9.5</v>
      </c>
    </row>
  </sheetData>
  <sortState xmlns:xlrd2="http://schemas.microsoft.com/office/spreadsheetml/2017/richdata2" ref="A57:B70">
    <sortCondition ref="B57:B70"/>
  </sortState>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A3879-B143-4B7E-B642-3467BC0EF2B7}">
  <sheetPr codeName="Sheet14"/>
  <dimension ref="A1:AT248"/>
  <sheetViews>
    <sheetView showGridLines="0" zoomScale="72" zoomScaleNormal="72" workbookViewId="0">
      <pane xSplit="1" ySplit="2" topLeftCell="B3" activePane="bottomRight" state="frozen"/>
      <selection pane="topRight" activeCell="B1" sqref="B1"/>
      <selection pane="bottomLeft" activeCell="A3" sqref="A3"/>
      <selection pane="bottomRight"/>
    </sheetView>
  </sheetViews>
  <sheetFormatPr defaultRowHeight="15"/>
  <cols>
    <col min="1" max="1" width="40.42578125" customWidth="1"/>
    <col min="2" max="10" width="9.5703125" hidden="1" customWidth="1"/>
    <col min="11" max="16" width="9.5703125" customWidth="1"/>
    <col min="18" max="18" width="51" bestFit="1" customWidth="1"/>
    <col min="19" max="19" width="7.85546875" hidden="1" customWidth="1"/>
    <col min="20" max="22" width="9.42578125" hidden="1" customWidth="1"/>
    <col min="23" max="24" width="9.5703125" hidden="1" customWidth="1"/>
    <col min="25" max="25" width="9.42578125" hidden="1" customWidth="1"/>
    <col min="26" max="26" width="10" hidden="1" customWidth="1"/>
    <col min="27" max="27" width="12" hidden="1" customWidth="1"/>
    <col min="28" max="29" width="9.5703125" bestFit="1" customWidth="1"/>
    <col min="30" max="33" width="10" bestFit="1" customWidth="1"/>
    <col min="35" max="35" width="39.42578125" bestFit="1" customWidth="1"/>
  </cols>
  <sheetData>
    <row r="1" spans="1:46">
      <c r="A1" s="432"/>
      <c r="B1" s="433"/>
      <c r="C1" s="433"/>
      <c r="D1" s="433"/>
      <c r="E1" s="433"/>
      <c r="F1" s="433"/>
      <c r="G1" s="433"/>
      <c r="H1" s="433"/>
      <c r="I1" s="433"/>
      <c r="J1" s="433"/>
      <c r="K1" s="681"/>
      <c r="L1" s="681"/>
      <c r="M1" s="681"/>
      <c r="N1" s="681"/>
      <c r="O1" s="681"/>
      <c r="P1" s="681"/>
      <c r="Q1" s="347"/>
      <c r="R1" s="767"/>
      <c r="S1" s="768"/>
      <c r="T1" s="768"/>
      <c r="U1" s="768"/>
      <c r="V1" s="768"/>
      <c r="W1" s="768"/>
      <c r="X1" s="768"/>
      <c r="Y1" s="768"/>
      <c r="Z1" s="768"/>
      <c r="AA1" s="768"/>
      <c r="AB1" s="768"/>
      <c r="AC1" s="768"/>
      <c r="AD1" s="768"/>
      <c r="AE1" s="768"/>
      <c r="AF1" s="768"/>
      <c r="AG1" s="768"/>
    </row>
    <row r="2" spans="1:46">
      <c r="A2" s="436" t="str">
        <f>Consolidation!A2</f>
        <v>Consolidation (US$mn)</v>
      </c>
      <c r="B2" s="437">
        <f>Consolidation!B2</f>
        <v>2016</v>
      </c>
      <c r="C2" s="437">
        <f>Consolidation!C2</f>
        <v>2017</v>
      </c>
      <c r="D2" s="437">
        <f>Consolidation!D2</f>
        <v>2018</v>
      </c>
      <c r="E2" s="437">
        <f>Consolidation!E2</f>
        <v>2019</v>
      </c>
      <c r="F2" s="437">
        <f>Consolidation!F2</f>
        <v>2020</v>
      </c>
      <c r="G2" s="437">
        <f>Consolidation!G2</f>
        <v>2021</v>
      </c>
      <c r="H2" s="437">
        <f>Consolidation!H2</f>
        <v>2022</v>
      </c>
      <c r="I2" s="437">
        <f>Consolidation!I2</f>
        <v>2023</v>
      </c>
      <c r="J2" s="437">
        <f>Consolidation!J2</f>
        <v>2024</v>
      </c>
      <c r="K2" s="682" t="str">
        <f>Consolidation!K2</f>
        <v>2025E</v>
      </c>
      <c r="L2" s="682" t="str">
        <f>Consolidation!L2</f>
        <v>2026E</v>
      </c>
      <c r="M2" s="682" t="str">
        <f>Consolidation!M2</f>
        <v>2027E</v>
      </c>
      <c r="N2" s="682" t="str">
        <f>Consolidation!N2</f>
        <v>2028E</v>
      </c>
      <c r="O2" s="682" t="str">
        <f>Consolidation!O2</f>
        <v>2029E</v>
      </c>
      <c r="P2" s="682" t="str">
        <f>Consolidation!P2</f>
        <v>2030E</v>
      </c>
      <c r="Q2" s="154"/>
      <c r="R2" s="769" t="s">
        <v>897</v>
      </c>
      <c r="S2" s="770">
        <v>2016</v>
      </c>
      <c r="T2" s="770">
        <v>2017</v>
      </c>
      <c r="U2" s="770">
        <v>2018</v>
      </c>
      <c r="V2" s="770">
        <v>2019</v>
      </c>
      <c r="W2" s="770">
        <v>2020</v>
      </c>
      <c r="X2" s="770">
        <v>2021</v>
      </c>
      <c r="Y2" s="770">
        <v>2022</v>
      </c>
      <c r="Z2" s="770">
        <v>2023</v>
      </c>
      <c r="AA2" s="770" t="s">
        <v>265</v>
      </c>
      <c r="AB2" s="770" t="s">
        <v>266</v>
      </c>
      <c r="AC2" s="770" t="s">
        <v>267</v>
      </c>
      <c r="AD2" s="770" t="s">
        <v>268</v>
      </c>
      <c r="AE2" s="770" t="s">
        <v>269</v>
      </c>
      <c r="AF2" s="770" t="s">
        <v>270</v>
      </c>
      <c r="AG2" s="770" t="s">
        <v>271</v>
      </c>
      <c r="AJ2">
        <f t="shared" ref="AJ2:AP2" si="0">J2</f>
        <v>2024</v>
      </c>
      <c r="AK2" t="str">
        <f t="shared" si="0"/>
        <v>2025E</v>
      </c>
      <c r="AL2" t="str">
        <f t="shared" si="0"/>
        <v>2026E</v>
      </c>
      <c r="AM2" t="str">
        <f t="shared" si="0"/>
        <v>2027E</v>
      </c>
      <c r="AN2" t="str">
        <f t="shared" si="0"/>
        <v>2028E</v>
      </c>
      <c r="AO2" t="str">
        <f t="shared" si="0"/>
        <v>2029E</v>
      </c>
      <c r="AP2" t="str">
        <f t="shared" si="0"/>
        <v>2030E</v>
      </c>
    </row>
    <row r="3" spans="1:46">
      <c r="A3" s="154">
        <f>Consolidation!A3</f>
        <v>0</v>
      </c>
      <c r="B3" s="154">
        <f>Consolidation!B3</f>
        <v>0</v>
      </c>
      <c r="C3" s="154">
        <f>Consolidation!C3</f>
        <v>0</v>
      </c>
      <c r="D3" s="154">
        <f>Consolidation!D3</f>
        <v>0</v>
      </c>
      <c r="E3" s="154">
        <f>Consolidation!E3</f>
        <v>0</v>
      </c>
      <c r="F3" s="154">
        <f>Consolidation!F3</f>
        <v>0</v>
      </c>
      <c r="G3" s="154">
        <f>Consolidation!G3</f>
        <v>0</v>
      </c>
      <c r="H3" s="154">
        <f>Consolidation!H3</f>
        <v>0</v>
      </c>
      <c r="I3" s="154">
        <f>Consolidation!I3</f>
        <v>0</v>
      </c>
      <c r="J3" s="154">
        <f>Consolidation!J3</f>
        <v>0</v>
      </c>
      <c r="K3" s="154">
        <f>Consolidation!K3</f>
        <v>0</v>
      </c>
      <c r="L3" s="154">
        <f>Consolidation!L3</f>
        <v>0</v>
      </c>
      <c r="M3" s="154">
        <f>Consolidation!M3</f>
        <v>0</v>
      </c>
      <c r="N3" s="154">
        <f>Consolidation!N3</f>
        <v>0</v>
      </c>
      <c r="O3" s="154">
        <f>Consolidation!O3</f>
        <v>0</v>
      </c>
      <c r="P3" s="154">
        <f>Consolidation!P3</f>
        <v>0</v>
      </c>
      <c r="Q3" s="154"/>
      <c r="R3" s="767">
        <v>0</v>
      </c>
      <c r="S3" s="767">
        <v>0</v>
      </c>
      <c r="T3" s="767">
        <v>0</v>
      </c>
      <c r="U3" s="767">
        <v>0</v>
      </c>
      <c r="V3" s="767">
        <v>0</v>
      </c>
      <c r="W3" s="767">
        <v>0</v>
      </c>
      <c r="X3" s="767">
        <v>0</v>
      </c>
      <c r="Y3" s="767">
        <v>0</v>
      </c>
      <c r="Z3" s="767">
        <v>0</v>
      </c>
      <c r="AA3" s="767">
        <v>0</v>
      </c>
      <c r="AB3" s="767">
        <v>0</v>
      </c>
      <c r="AC3" s="767">
        <v>0</v>
      </c>
      <c r="AD3" s="767">
        <v>0</v>
      </c>
      <c r="AE3" s="767">
        <v>0</v>
      </c>
      <c r="AF3" s="767">
        <v>0</v>
      </c>
      <c r="AG3" s="767">
        <v>0</v>
      </c>
    </row>
    <row r="4" spans="1:46">
      <c r="A4" s="154">
        <f>Consolidation!A4</f>
        <v>0</v>
      </c>
      <c r="B4" s="154">
        <f>Consolidation!B4</f>
        <v>0</v>
      </c>
      <c r="C4" s="154">
        <f>Consolidation!C4</f>
        <v>0</v>
      </c>
      <c r="D4" s="154">
        <f>Consolidation!D4</f>
        <v>0</v>
      </c>
      <c r="E4" s="154">
        <f>Consolidation!E4</f>
        <v>0</v>
      </c>
      <c r="F4" s="154">
        <f>Consolidation!F4</f>
        <v>0</v>
      </c>
      <c r="G4" s="154">
        <f>Consolidation!G4</f>
        <v>0</v>
      </c>
      <c r="H4" s="154">
        <f>Consolidation!H4</f>
        <v>0</v>
      </c>
      <c r="I4" s="154">
        <f>Consolidation!I4</f>
        <v>0</v>
      </c>
      <c r="J4" s="154">
        <f>Consolidation!J4</f>
        <v>0</v>
      </c>
      <c r="K4" s="154">
        <f>Consolidation!K4</f>
        <v>0</v>
      </c>
      <c r="L4" s="154">
        <f>Consolidation!L4</f>
        <v>0</v>
      </c>
      <c r="M4" s="154">
        <f>Consolidation!M4</f>
        <v>0</v>
      </c>
      <c r="N4" s="154">
        <f>Consolidation!N4</f>
        <v>0</v>
      </c>
      <c r="O4" s="154">
        <f>Consolidation!O4</f>
        <v>0</v>
      </c>
      <c r="P4" s="154">
        <f>Consolidation!P4</f>
        <v>0</v>
      </c>
      <c r="Q4" s="154"/>
      <c r="R4" s="767">
        <v>0</v>
      </c>
      <c r="S4" s="767">
        <v>0</v>
      </c>
      <c r="T4" s="767">
        <v>0</v>
      </c>
      <c r="U4" s="767">
        <v>0</v>
      </c>
      <c r="V4" s="767">
        <v>0</v>
      </c>
      <c r="W4" s="767">
        <v>0</v>
      </c>
      <c r="X4" s="767">
        <v>0</v>
      </c>
      <c r="Y4" s="767">
        <v>0</v>
      </c>
      <c r="Z4" s="767">
        <v>0</v>
      </c>
      <c r="AA4" s="767">
        <v>0</v>
      </c>
      <c r="AB4" s="767">
        <v>0</v>
      </c>
      <c r="AC4" s="767">
        <v>0</v>
      </c>
      <c r="AD4" s="767">
        <v>0</v>
      </c>
      <c r="AE4" s="767">
        <v>0</v>
      </c>
      <c r="AF4" s="767">
        <v>0</v>
      </c>
      <c r="AG4" s="767">
        <v>0</v>
      </c>
    </row>
    <row r="5" spans="1:46">
      <c r="A5" s="519" t="str">
        <f>Consolidation!A5</f>
        <v>Revenue</v>
      </c>
      <c r="B5" s="520">
        <f>Consolidation!B5</f>
        <v>2016</v>
      </c>
      <c r="C5" s="520">
        <f>Consolidation!C5</f>
        <v>2017</v>
      </c>
      <c r="D5" s="520">
        <f>Consolidation!D5</f>
        <v>2018</v>
      </c>
      <c r="E5" s="520">
        <f>Consolidation!E5</f>
        <v>2019</v>
      </c>
      <c r="F5" s="520">
        <f>Consolidation!F5</f>
        <v>2020</v>
      </c>
      <c r="G5" s="520">
        <f>Consolidation!G5</f>
        <v>2021</v>
      </c>
      <c r="H5" s="520">
        <f>Consolidation!H5</f>
        <v>2022</v>
      </c>
      <c r="I5" s="520">
        <f>Consolidation!I5</f>
        <v>2023</v>
      </c>
      <c r="J5" s="520">
        <f>Consolidation!J5</f>
        <v>2024</v>
      </c>
      <c r="K5" s="520" t="str">
        <f>Consolidation!K5</f>
        <v>2025E</v>
      </c>
      <c r="L5" s="520" t="str">
        <f>Consolidation!L5</f>
        <v>2026E</v>
      </c>
      <c r="M5" s="520" t="str">
        <f>Consolidation!M5</f>
        <v>2027E</v>
      </c>
      <c r="N5" s="520" t="str">
        <f>Consolidation!N5</f>
        <v>2028E</v>
      </c>
      <c r="O5" s="520" t="str">
        <f>Consolidation!O5</f>
        <v>2029E</v>
      </c>
      <c r="P5" s="520" t="str">
        <f>Consolidation!P5</f>
        <v>2030E</v>
      </c>
      <c r="Q5" s="154"/>
      <c r="R5" s="771" t="s">
        <v>170</v>
      </c>
      <c r="S5" s="772">
        <v>2016</v>
      </c>
      <c r="T5" s="772">
        <v>2017</v>
      </c>
      <c r="U5" s="772">
        <v>2018</v>
      </c>
      <c r="V5" s="772">
        <v>2019</v>
      </c>
      <c r="W5" s="772">
        <v>2020</v>
      </c>
      <c r="X5" s="772">
        <v>2021</v>
      </c>
      <c r="Y5" s="772">
        <v>2022</v>
      </c>
      <c r="Z5" s="772">
        <v>2023</v>
      </c>
      <c r="AA5" s="772" t="s">
        <v>265</v>
      </c>
      <c r="AB5" s="772" t="s">
        <v>266</v>
      </c>
      <c r="AC5" s="772" t="s">
        <v>267</v>
      </c>
      <c r="AD5" s="772" t="s">
        <v>268</v>
      </c>
      <c r="AE5" s="772" t="s">
        <v>269</v>
      </c>
      <c r="AF5" s="772" t="s">
        <v>270</v>
      </c>
      <c r="AG5" s="772" t="s">
        <v>271</v>
      </c>
    </row>
    <row r="6" spans="1:46">
      <c r="A6" s="154" t="str">
        <f>Consolidation!A6</f>
        <v>Nigeria</v>
      </c>
      <c r="B6" s="521">
        <f>Consolidation!B6</f>
        <v>652</v>
      </c>
      <c r="C6" s="521">
        <f>Consolidation!C6</f>
        <v>821</v>
      </c>
      <c r="D6" s="521">
        <f>Consolidation!D6</f>
        <v>852.7</v>
      </c>
      <c r="E6" s="522">
        <f>Consolidation!E6</f>
        <v>925.70399999999995</v>
      </c>
      <c r="F6" s="522">
        <f>Consolidation!F6</f>
        <v>1037.836</v>
      </c>
      <c r="G6" s="522">
        <f>Consolidation!G6</f>
        <v>1146.732</v>
      </c>
      <c r="H6" s="522">
        <f>Consolidation!H6</f>
        <v>1352.402</v>
      </c>
      <c r="I6" s="522">
        <f>Consolidation!I6</f>
        <v>1381.627</v>
      </c>
      <c r="J6" s="523">
        <f>Consolidation!J6</f>
        <v>998.46600000000001</v>
      </c>
      <c r="K6" s="523">
        <f>Consolidation!K6</f>
        <v>1053.7872905198199</v>
      </c>
      <c r="L6" s="523">
        <f>Consolidation!L6</f>
        <v>1134.4582270304002</v>
      </c>
      <c r="M6" s="523">
        <f>Consolidation!M6</f>
        <v>1228.6257099351096</v>
      </c>
      <c r="N6" s="523">
        <f>Consolidation!N6</f>
        <v>1309.1802125029919</v>
      </c>
      <c r="O6" s="523">
        <f>Consolidation!O6</f>
        <v>1395.5028050664512</v>
      </c>
      <c r="P6" s="523">
        <f>Consolidation!P6</f>
        <v>1483.6538057245971</v>
      </c>
      <c r="Q6" s="154"/>
      <c r="R6" s="767" t="s">
        <v>203</v>
      </c>
      <c r="S6" s="767">
        <v>652</v>
      </c>
      <c r="T6" s="767">
        <v>821</v>
      </c>
      <c r="U6" s="767">
        <v>852.7</v>
      </c>
      <c r="V6" s="773">
        <v>925.70399999999995</v>
      </c>
      <c r="W6" s="773">
        <v>1037.836</v>
      </c>
      <c r="X6" s="773">
        <v>1146.732</v>
      </c>
      <c r="Y6" s="773">
        <v>1352.402</v>
      </c>
      <c r="Z6" s="773">
        <v>1381.627</v>
      </c>
      <c r="AA6" s="773">
        <v>952.46647377168222</v>
      </c>
      <c r="AB6" s="773">
        <v>995.83732658308725</v>
      </c>
      <c r="AC6" s="773">
        <v>1133.7660191336256</v>
      </c>
      <c r="AD6" s="773">
        <v>1251.8380814398088</v>
      </c>
      <c r="AE6" s="773">
        <v>1346.6866604358854</v>
      </c>
      <c r="AF6" s="773">
        <v>1431.5224606824752</v>
      </c>
      <c r="AG6" s="773">
        <v>1505.2952514762478</v>
      </c>
      <c r="AI6" t="str">
        <f>A6</f>
        <v>Nigeria</v>
      </c>
      <c r="AJ6" s="108">
        <f t="shared" ref="AJ6:AP10" si="1">J6/AA6-1</f>
        <v>4.8295165756505609E-2</v>
      </c>
      <c r="AK6" s="108">
        <f t="shared" si="1"/>
        <v>5.8192199056818161E-2</v>
      </c>
      <c r="AL6" s="108">
        <f t="shared" si="1"/>
        <v>6.1053858123516491E-4</v>
      </c>
      <c r="AM6" s="108">
        <f t="shared" si="1"/>
        <v>-1.8542630911180913E-2</v>
      </c>
      <c r="AN6" s="108">
        <f t="shared" si="1"/>
        <v>-2.7850909223942066E-2</v>
      </c>
      <c r="AO6" s="108">
        <f t="shared" si="1"/>
        <v>-2.5161781673234573E-2</v>
      </c>
      <c r="AP6" s="108">
        <f t="shared" si="1"/>
        <v>-1.4376877712479974E-2</v>
      </c>
      <c r="AQ6" s="108"/>
      <c r="AR6" s="108"/>
      <c r="AS6" s="108"/>
      <c r="AT6" s="108"/>
    </row>
    <row r="7" spans="1:46">
      <c r="A7" s="154" t="str">
        <f>Consolidation!A7</f>
        <v>Sub-Sahara Africa</v>
      </c>
      <c r="B7" s="521">
        <f>Consolidation!B7</f>
        <v>254</v>
      </c>
      <c r="C7" s="521">
        <f>Consolidation!C7</f>
        <v>286</v>
      </c>
      <c r="D7" s="521">
        <f>Consolidation!D7</f>
        <v>315</v>
      </c>
      <c r="E7" s="522">
        <f>Consolidation!E7</f>
        <v>305.35199999999998</v>
      </c>
      <c r="F7" s="522">
        <f>Consolidation!F7</f>
        <v>313.416</v>
      </c>
      <c r="G7" s="522">
        <f>Consolidation!G7</f>
        <v>343.94499999999999</v>
      </c>
      <c r="H7" s="522">
        <f>Consolidation!H7</f>
        <v>412.82400000000001</v>
      </c>
      <c r="I7" s="522">
        <f>Consolidation!I7</f>
        <v>503.04899999999998</v>
      </c>
      <c r="J7" s="523">
        <f>Consolidation!J7</f>
        <v>483.84199999999998</v>
      </c>
      <c r="K7" s="523">
        <f>Consolidation!K7</f>
        <v>484.7</v>
      </c>
      <c r="L7" s="523">
        <f>Consolidation!L7</f>
        <v>471.02536940840139</v>
      </c>
      <c r="M7" s="523">
        <f>Consolidation!M7</f>
        <v>494.75434003045558</v>
      </c>
      <c r="N7" s="523">
        <f>Consolidation!N7</f>
        <v>524.51848593613545</v>
      </c>
      <c r="O7" s="523">
        <f>Consolidation!O7</f>
        <v>555.33416838517019</v>
      </c>
      <c r="P7" s="523">
        <f>Consolidation!P7</f>
        <v>588.04829847884014</v>
      </c>
      <c r="Q7" s="154"/>
      <c r="R7" s="767" t="s">
        <v>272</v>
      </c>
      <c r="S7" s="767">
        <v>254</v>
      </c>
      <c r="T7" s="767">
        <v>286</v>
      </c>
      <c r="U7" s="767">
        <v>315</v>
      </c>
      <c r="V7" s="773">
        <v>305.35199999999998</v>
      </c>
      <c r="W7" s="773">
        <v>313.416</v>
      </c>
      <c r="X7" s="773">
        <v>343.94499999999999</v>
      </c>
      <c r="Y7" s="773">
        <v>412.82400000000001</v>
      </c>
      <c r="Z7" s="773">
        <v>503.04899999999998</v>
      </c>
      <c r="AA7" s="773">
        <v>489.09226529082622</v>
      </c>
      <c r="AB7" s="773">
        <v>506.47897516048596</v>
      </c>
      <c r="AC7" s="773">
        <v>531.51616399974944</v>
      </c>
      <c r="AD7" s="773">
        <v>562.24794268518735</v>
      </c>
      <c r="AE7" s="773">
        <v>594.40717708740283</v>
      </c>
      <c r="AF7" s="773">
        <v>628.03227526161982</v>
      </c>
      <c r="AG7" s="773">
        <v>663.15460336391948</v>
      </c>
      <c r="AI7" t="str">
        <f>A7</f>
        <v>Sub-Sahara Africa</v>
      </c>
      <c r="AJ7" s="108">
        <f t="shared" si="1"/>
        <v>-1.073471339340093E-2</v>
      </c>
      <c r="AK7" s="108">
        <f t="shared" si="1"/>
        <v>-4.3000748754842055E-2</v>
      </c>
      <c r="AL7" s="108">
        <f t="shared" si="1"/>
        <v>-0.11380800564209481</v>
      </c>
      <c r="AM7" s="108">
        <f t="shared" si="1"/>
        <v>-0.12004241817657058</v>
      </c>
      <c r="AN7" s="108">
        <f t="shared" si="1"/>
        <v>-0.11757713204898068</v>
      </c>
      <c r="AO7" s="108">
        <f t="shared" si="1"/>
        <v>-0.11575536758228822</v>
      </c>
      <c r="AP7" s="108">
        <f t="shared" si="1"/>
        <v>-0.11325610122299523</v>
      </c>
    </row>
    <row r="8" spans="1:46">
      <c r="A8" s="154" t="str">
        <f>Consolidation!A8</f>
        <v>Latam</v>
      </c>
      <c r="B8" s="521">
        <f>Consolidation!B8</f>
        <v>0</v>
      </c>
      <c r="C8" s="521">
        <f>Consolidation!C8</f>
        <v>0</v>
      </c>
      <c r="D8" s="521">
        <f>Consolidation!D8</f>
        <v>0</v>
      </c>
      <c r="E8" s="522">
        <f>Consolidation!E8</f>
        <v>0</v>
      </c>
      <c r="F8" s="522">
        <f>Consolidation!F8</f>
        <v>30.184999999999999</v>
      </c>
      <c r="G8" s="522">
        <f>Consolidation!G8</f>
        <v>59.706000000000003</v>
      </c>
      <c r="H8" s="522">
        <f>Consolidation!H8</f>
        <v>160.00800000000001</v>
      </c>
      <c r="I8" s="522">
        <f>Consolidation!I8</f>
        <v>200.20699999999999</v>
      </c>
      <c r="J8" s="523">
        <f>Consolidation!J8</f>
        <v>184.03</v>
      </c>
      <c r="K8" s="523">
        <f>Consolidation!K8</f>
        <v>186.79044999999999</v>
      </c>
      <c r="L8" s="523">
        <f>Consolidation!L8</f>
        <v>190.52625899999998</v>
      </c>
      <c r="M8" s="523">
        <f>Consolidation!M8</f>
        <v>195.28941547499997</v>
      </c>
      <c r="N8" s="523">
        <f>Consolidation!N8</f>
        <v>201.14809793924996</v>
      </c>
      <c r="O8" s="523">
        <f>Consolidation!O8</f>
        <v>207.18254087742747</v>
      </c>
      <c r="P8" s="523">
        <f>Consolidation!P8</f>
        <v>213.39801710375031</v>
      </c>
      <c r="Q8" s="154"/>
      <c r="R8" s="767" t="s">
        <v>160</v>
      </c>
      <c r="S8" s="767">
        <v>0</v>
      </c>
      <c r="T8" s="767">
        <v>0</v>
      </c>
      <c r="U8" s="767">
        <v>0</v>
      </c>
      <c r="V8" s="773">
        <v>0</v>
      </c>
      <c r="W8" s="773">
        <v>30.184999999999999</v>
      </c>
      <c r="X8" s="773">
        <v>59.706000000000003</v>
      </c>
      <c r="Y8" s="773">
        <v>160.00800000000001</v>
      </c>
      <c r="Z8" s="773">
        <v>200.20699999999999</v>
      </c>
      <c r="AA8" s="773">
        <v>204.21114</v>
      </c>
      <c r="AB8" s="773">
        <v>234.84281099999998</v>
      </c>
      <c r="AC8" s="773">
        <v>263.02394831999999</v>
      </c>
      <c r="AD8" s="773">
        <v>289.32634315199999</v>
      </c>
      <c r="AE8" s="773">
        <v>312.47245060416003</v>
      </c>
      <c r="AF8" s="773">
        <v>334.34552214645123</v>
      </c>
      <c r="AG8" s="773">
        <v>354.40625347523832</v>
      </c>
      <c r="AI8" t="str">
        <f>A8</f>
        <v>Latam</v>
      </c>
      <c r="AJ8" s="108">
        <f t="shared" si="1"/>
        <v>-9.8824873119066847E-2</v>
      </c>
      <c r="AK8" s="108">
        <f t="shared" si="1"/>
        <v>-0.20461499670943728</v>
      </c>
      <c r="AL8" s="108">
        <f t="shared" si="1"/>
        <v>-0.2756315148603804</v>
      </c>
      <c r="AM8" s="108">
        <f t="shared" si="1"/>
        <v>-0.32502027521080912</v>
      </c>
      <c r="AN8" s="108">
        <f t="shared" si="1"/>
        <v>-0.35626933654364212</v>
      </c>
      <c r="AO8" s="108">
        <f t="shared" si="1"/>
        <v>-0.38033403424294521</v>
      </c>
      <c r="AP8" s="108">
        <f t="shared" si="1"/>
        <v>-0.39787175025493726</v>
      </c>
    </row>
    <row r="9" spans="1:46">
      <c r="A9" s="154" t="str">
        <f>Consolidation!A9</f>
        <v>MENA</v>
      </c>
      <c r="B9" s="521">
        <f>Consolidation!B9</f>
        <v>0</v>
      </c>
      <c r="C9" s="521">
        <f>Consolidation!C9</f>
        <v>0</v>
      </c>
      <c r="D9" s="521">
        <f>Consolidation!D9</f>
        <v>0</v>
      </c>
      <c r="E9" s="522">
        <f>Consolidation!E9</f>
        <v>0</v>
      </c>
      <c r="F9" s="522">
        <f>Consolidation!F9</f>
        <v>21.721</v>
      </c>
      <c r="G9" s="522">
        <f>Consolidation!G9</f>
        <v>29.347000000000001</v>
      </c>
      <c r="H9" s="522">
        <f>Consolidation!H9</f>
        <v>36.064999999999998</v>
      </c>
      <c r="I9" s="522">
        <f>Consolidation!I9</f>
        <v>40.655999999999999</v>
      </c>
      <c r="J9" s="523">
        <f>Consolidation!J9</f>
        <v>44.887</v>
      </c>
      <c r="K9" s="523">
        <f>Consolidation!K9</f>
        <v>0</v>
      </c>
      <c r="L9" s="523">
        <f>Consolidation!L9</f>
        <v>0</v>
      </c>
      <c r="M9" s="523">
        <f>Consolidation!M9</f>
        <v>0</v>
      </c>
      <c r="N9" s="523">
        <f>Consolidation!N9</f>
        <v>0</v>
      </c>
      <c r="O9" s="523">
        <f>Consolidation!O9</f>
        <v>0</v>
      </c>
      <c r="P9" s="523">
        <f>Consolidation!P9</f>
        <v>0</v>
      </c>
      <c r="Q9" s="154"/>
      <c r="R9" s="767" t="s">
        <v>273</v>
      </c>
      <c r="S9" s="767">
        <v>0</v>
      </c>
      <c r="T9" s="767">
        <v>0</v>
      </c>
      <c r="U9" s="767">
        <v>0</v>
      </c>
      <c r="V9" s="773">
        <v>0</v>
      </c>
      <c r="W9" s="773">
        <v>21.721</v>
      </c>
      <c r="X9" s="773">
        <v>29.347000000000001</v>
      </c>
      <c r="Y9" s="773">
        <v>36.064999999999998</v>
      </c>
      <c r="Z9" s="773">
        <v>40.655999999999999</v>
      </c>
      <c r="AA9" s="773">
        <v>45.070729886177908</v>
      </c>
      <c r="AB9" s="773">
        <v>47.839684250683099</v>
      </c>
      <c r="AC9" s="773">
        <v>50.830827343207304</v>
      </c>
      <c r="AD9" s="773">
        <v>53.636503266389695</v>
      </c>
      <c r="AE9" s="773">
        <v>56.478122126387042</v>
      </c>
      <c r="AF9" s="773">
        <v>59.345205970388264</v>
      </c>
      <c r="AG9" s="773">
        <v>62.226546474749313</v>
      </c>
      <c r="AI9" t="str">
        <f>A9</f>
        <v>MENA</v>
      </c>
      <c r="AJ9" s="108">
        <f t="shared" si="1"/>
        <v>-4.0764790506366833E-3</v>
      </c>
      <c r="AK9" s="108">
        <f t="shared" si="1"/>
        <v>-1</v>
      </c>
      <c r="AL9" s="108">
        <f t="shared" si="1"/>
        <v>-1</v>
      </c>
      <c r="AM9" s="108">
        <f t="shared" si="1"/>
        <v>-1</v>
      </c>
      <c r="AN9" s="108">
        <f t="shared" si="1"/>
        <v>-1</v>
      </c>
      <c r="AO9" s="108">
        <f t="shared" si="1"/>
        <v>-1</v>
      </c>
      <c r="AP9" s="108">
        <f t="shared" si="1"/>
        <v>-1</v>
      </c>
    </row>
    <row r="10" spans="1:46">
      <c r="A10" s="525" t="str">
        <f>Consolidation!A10</f>
        <v>Total revenue</v>
      </c>
      <c r="B10" s="526">
        <f>Consolidation!B10</f>
        <v>906</v>
      </c>
      <c r="C10" s="526">
        <f>Consolidation!C10</f>
        <v>1107</v>
      </c>
      <c r="D10" s="526">
        <f>Consolidation!D10</f>
        <v>1167.7</v>
      </c>
      <c r="E10" s="526">
        <f>Consolidation!E10</f>
        <v>1231.056</v>
      </c>
      <c r="F10" s="526">
        <f>Consolidation!F10</f>
        <v>1403.1579999999999</v>
      </c>
      <c r="G10" s="526">
        <f>Consolidation!G10</f>
        <v>1579.7299999999998</v>
      </c>
      <c r="H10" s="526">
        <f>Consolidation!H10</f>
        <v>1961.2990000000002</v>
      </c>
      <c r="I10" s="526">
        <f>Consolidation!I10</f>
        <v>2125.5389999999998</v>
      </c>
      <c r="J10" s="526">
        <f>Consolidation!J10</f>
        <v>1711.2249999999999</v>
      </c>
      <c r="K10" s="526">
        <f>Consolidation!K10</f>
        <v>1725.2777405198199</v>
      </c>
      <c r="L10" s="526">
        <f>Consolidation!L10</f>
        <v>1796.0098554388017</v>
      </c>
      <c r="M10" s="526">
        <f>Consolidation!M10</f>
        <v>1918.6694654405651</v>
      </c>
      <c r="N10" s="526">
        <f>Consolidation!N10</f>
        <v>2034.8467963783773</v>
      </c>
      <c r="O10" s="526">
        <f>Consolidation!O10</f>
        <v>2158.0195143290489</v>
      </c>
      <c r="P10" s="526">
        <f>Consolidation!P10</f>
        <v>2285.1001213071872</v>
      </c>
      <c r="Q10" s="154"/>
      <c r="R10" s="774" t="s">
        <v>716</v>
      </c>
      <c r="S10" s="775">
        <v>906</v>
      </c>
      <c r="T10" s="775">
        <v>1107</v>
      </c>
      <c r="U10" s="775">
        <v>1167.7</v>
      </c>
      <c r="V10" s="775">
        <v>1231.056</v>
      </c>
      <c r="W10" s="775">
        <v>1403.1579999999999</v>
      </c>
      <c r="X10" s="775">
        <v>1579.7299999999998</v>
      </c>
      <c r="Y10" s="775">
        <v>1961.2990000000002</v>
      </c>
      <c r="Z10" s="775">
        <v>2125.5389999999998</v>
      </c>
      <c r="AA10" s="775">
        <v>1690.8406089486866</v>
      </c>
      <c r="AB10" s="775">
        <v>1784.9987969942563</v>
      </c>
      <c r="AC10" s="775">
        <v>1979.1369587965823</v>
      </c>
      <c r="AD10" s="775">
        <v>2157.0488705433859</v>
      </c>
      <c r="AE10" s="775">
        <v>2310.0444102538354</v>
      </c>
      <c r="AF10" s="775">
        <v>2453.2454640609344</v>
      </c>
      <c r="AG10" s="775">
        <v>2585.0826547901547</v>
      </c>
      <c r="AI10" s="114" t="str">
        <f>A10</f>
        <v>Total revenue</v>
      </c>
      <c r="AJ10" s="417">
        <f t="shared" si="1"/>
        <v>1.2055773290178928E-2</v>
      </c>
      <c r="AK10" s="417">
        <f t="shared" si="1"/>
        <v>-3.3457197044054143E-2</v>
      </c>
      <c r="AL10" s="417">
        <f t="shared" si="1"/>
        <v>-9.2528767422508928E-2</v>
      </c>
      <c r="AM10" s="417">
        <f t="shared" si="1"/>
        <v>-0.11051182398235149</v>
      </c>
      <c r="AN10" s="417">
        <f t="shared" si="1"/>
        <v>-0.11913087586277982</v>
      </c>
      <c r="AO10" s="417">
        <f t="shared" si="1"/>
        <v>-0.12034097445886593</v>
      </c>
      <c r="AP10" s="417">
        <f t="shared" si="1"/>
        <v>-0.1160436912634496</v>
      </c>
    </row>
    <row r="11" spans="1:46">
      <c r="A11" s="154" t="str">
        <f>Consolidation!A11</f>
        <v>YoY</v>
      </c>
      <c r="B11" s="154">
        <f>Consolidation!B11</f>
        <v>0</v>
      </c>
      <c r="C11" s="157">
        <f>Consolidation!C11</f>
        <v>0.2218543046357615</v>
      </c>
      <c r="D11" s="157">
        <f>Consolidation!D11</f>
        <v>5.4832881662149946E-2</v>
      </c>
      <c r="E11" s="157">
        <f>Consolidation!E11</f>
        <v>5.4257086580457248E-2</v>
      </c>
      <c r="F11" s="157">
        <f>Consolidation!F11</f>
        <v>0.13980030152974354</v>
      </c>
      <c r="G11" s="157">
        <f>Consolidation!G11</f>
        <v>0.125839000312153</v>
      </c>
      <c r="H11" s="157">
        <f>Consolidation!H11</f>
        <v>0.24154064302127609</v>
      </c>
      <c r="I11" s="157">
        <f>Consolidation!I11</f>
        <v>8.3740418977422459E-2</v>
      </c>
      <c r="J11" s="157">
        <f>Consolidation!J11</f>
        <v>-0.19492185276299323</v>
      </c>
      <c r="K11" s="157">
        <f>Consolidation!K11</f>
        <v>8.2120939793539627E-3</v>
      </c>
      <c r="L11" s="157">
        <f>Consolidation!L11</f>
        <v>4.0997523620556642E-2</v>
      </c>
      <c r="M11" s="157">
        <f>Consolidation!M11</f>
        <v>6.8295621892227931E-2</v>
      </c>
      <c r="N11" s="157">
        <f>Consolidation!N11</f>
        <v>6.0550987562172809E-2</v>
      </c>
      <c r="O11" s="157">
        <f>Consolidation!O11</f>
        <v>6.0531691216210826E-2</v>
      </c>
      <c r="P11" s="157">
        <f>Consolidation!P11</f>
        <v>5.8887607889704041E-2</v>
      </c>
      <c r="Q11" s="154"/>
      <c r="R11" s="767" t="s">
        <v>633</v>
      </c>
      <c r="S11" s="767">
        <v>0</v>
      </c>
      <c r="T11" s="776">
        <v>0.2218543046357615</v>
      </c>
      <c r="U11" s="776">
        <v>5.4832881662149946E-2</v>
      </c>
      <c r="V11" s="776">
        <v>5.4257086580457248E-2</v>
      </c>
      <c r="W11" s="776">
        <v>0.13980030152974354</v>
      </c>
      <c r="X11" s="776">
        <v>0.125839000312153</v>
      </c>
      <c r="Y11" s="776">
        <v>0.24154064302127609</v>
      </c>
      <c r="Z11" s="776">
        <v>8.3740418977422459E-2</v>
      </c>
      <c r="AA11" s="776">
        <v>-0.20451207484375167</v>
      </c>
      <c r="AB11" s="776">
        <v>5.5687205255919636E-2</v>
      </c>
      <c r="AC11" s="776">
        <v>0.10876094825903171</v>
      </c>
      <c r="AD11" s="776">
        <v>8.9893683686743442E-2</v>
      </c>
      <c r="AE11" s="776">
        <v>7.0928174970791513E-2</v>
      </c>
      <c r="AF11" s="776">
        <v>6.1990606401962411E-2</v>
      </c>
      <c r="AG11" s="776">
        <v>5.3739910115225831E-2</v>
      </c>
    </row>
    <row r="12" spans="1:46">
      <c r="A12" s="154" t="str">
        <f>Consolidation!A12</f>
        <v>Organic</v>
      </c>
      <c r="B12" s="154">
        <f>Consolidation!B12</f>
        <v>0</v>
      </c>
      <c r="C12" s="154">
        <f>Consolidation!C12</f>
        <v>0</v>
      </c>
      <c r="D12" s="154">
        <f>Consolidation!D12</f>
        <v>0</v>
      </c>
      <c r="E12" s="154">
        <f>Consolidation!E12</f>
        <v>0</v>
      </c>
      <c r="F12" s="154">
        <f>Consolidation!F12</f>
        <v>0</v>
      </c>
      <c r="G12" s="527">
        <f>Consolidation!G12</f>
        <v>0.161</v>
      </c>
      <c r="H12" s="527">
        <f>Consolidation!H12</f>
        <v>0.19500000000000001</v>
      </c>
      <c r="I12" s="527">
        <f>Consolidation!I12</f>
        <v>0.36899999999999999</v>
      </c>
      <c r="J12" s="528">
        <f>Consolidation!J12</f>
        <v>0.48099999999999998</v>
      </c>
      <c r="K12" s="528">
        <f>Consolidation!K12</f>
        <v>0</v>
      </c>
      <c r="L12" s="528">
        <f>Consolidation!L12</f>
        <v>0</v>
      </c>
      <c r="M12" s="528">
        <f>Consolidation!M12</f>
        <v>0</v>
      </c>
      <c r="N12" s="528">
        <f>Consolidation!N12</f>
        <v>0</v>
      </c>
      <c r="O12" s="528">
        <f>Consolidation!O12</f>
        <v>0</v>
      </c>
      <c r="P12" s="528">
        <f>Consolidation!P12</f>
        <v>0</v>
      </c>
      <c r="Q12" s="154"/>
      <c r="R12" s="767" t="s">
        <v>634</v>
      </c>
      <c r="S12" s="767">
        <v>0</v>
      </c>
      <c r="T12" s="767">
        <v>0</v>
      </c>
      <c r="U12" s="767">
        <v>0</v>
      </c>
      <c r="V12" s="767">
        <v>0</v>
      </c>
      <c r="W12" s="767">
        <v>0</v>
      </c>
      <c r="X12" s="776">
        <v>0.161</v>
      </c>
      <c r="Y12" s="776">
        <v>0.19500000000000001</v>
      </c>
      <c r="Z12" s="776">
        <v>0.36899999999999999</v>
      </c>
      <c r="AA12" s="777">
        <v>0</v>
      </c>
      <c r="AB12" s="777">
        <v>0</v>
      </c>
      <c r="AC12" s="777">
        <v>0</v>
      </c>
      <c r="AD12" s="777">
        <v>0</v>
      </c>
      <c r="AE12" s="777">
        <v>0</v>
      </c>
      <c r="AF12" s="777">
        <v>0</v>
      </c>
      <c r="AG12" s="777">
        <v>0</v>
      </c>
    </row>
    <row r="13" spans="1:46">
      <c r="A13" s="530" t="str">
        <f>Consolidation!A13</f>
        <v>Guidance</v>
      </c>
      <c r="B13" s="530">
        <f>Consolidation!B13</f>
        <v>0</v>
      </c>
      <c r="C13" s="530">
        <f>Consolidation!C13</f>
        <v>0</v>
      </c>
      <c r="D13" s="530">
        <f>Consolidation!D13</f>
        <v>0</v>
      </c>
      <c r="E13" s="530">
        <f>Consolidation!E13</f>
        <v>0</v>
      </c>
      <c r="F13" s="530">
        <f>Consolidation!F13</f>
        <v>0</v>
      </c>
      <c r="G13" s="531">
        <f>Consolidation!G13</f>
        <v>0</v>
      </c>
      <c r="H13" s="531">
        <f>Consolidation!H13</f>
        <v>0</v>
      </c>
      <c r="I13" s="531">
        <f>Consolidation!I13</f>
        <v>0</v>
      </c>
      <c r="J13" s="531">
        <f>Consolidation!J13</f>
        <v>0</v>
      </c>
      <c r="K13" s="531" t="str">
        <f>Consolidation!K13</f>
        <v>1700-1730</v>
      </c>
      <c r="L13" s="531">
        <f>Consolidation!L13</f>
        <v>0</v>
      </c>
      <c r="M13" s="154">
        <f>Consolidation!M13</f>
        <v>0</v>
      </c>
      <c r="N13" s="154">
        <f>Consolidation!N13</f>
        <v>0</v>
      </c>
      <c r="O13" s="154">
        <f>Consolidation!O13</f>
        <v>0</v>
      </c>
      <c r="P13" s="154">
        <f>Consolidation!P13</f>
        <v>1700</v>
      </c>
      <c r="Q13" s="154"/>
      <c r="R13" s="767" t="s">
        <v>648</v>
      </c>
      <c r="S13" s="767">
        <v>0</v>
      </c>
      <c r="T13" s="767">
        <v>0</v>
      </c>
      <c r="U13" s="767">
        <v>0</v>
      </c>
      <c r="V13" s="767">
        <v>0</v>
      </c>
      <c r="W13" s="767">
        <v>0</v>
      </c>
      <c r="X13" s="778">
        <v>0</v>
      </c>
      <c r="Y13" s="778">
        <v>0</v>
      </c>
      <c r="Z13" s="778">
        <v>0</v>
      </c>
      <c r="AA13" s="778" t="s">
        <v>1045</v>
      </c>
      <c r="AB13" s="778">
        <v>0</v>
      </c>
      <c r="AC13" s="778">
        <v>0</v>
      </c>
      <c r="AD13" s="767">
        <v>0</v>
      </c>
      <c r="AE13" s="767">
        <v>0</v>
      </c>
      <c r="AF13" s="767">
        <v>0</v>
      </c>
      <c r="AG13" s="767">
        <v>0</v>
      </c>
    </row>
    <row r="14" spans="1:46">
      <c r="A14" s="530" t="str">
        <f>Consolidation!A14</f>
        <v>Consensus</v>
      </c>
      <c r="B14" s="530">
        <f>Consolidation!B14</f>
        <v>0</v>
      </c>
      <c r="C14" s="530">
        <f>Consolidation!C14</f>
        <v>0</v>
      </c>
      <c r="D14" s="530">
        <f>Consolidation!D14</f>
        <v>0</v>
      </c>
      <c r="E14" s="530">
        <f>Consolidation!E14</f>
        <v>0</v>
      </c>
      <c r="F14" s="530">
        <f>Consolidation!F14</f>
        <v>0</v>
      </c>
      <c r="G14" s="531">
        <f>Consolidation!G14</f>
        <v>0</v>
      </c>
      <c r="H14" s="531">
        <f>Consolidation!H14</f>
        <v>0</v>
      </c>
      <c r="I14" s="531">
        <f>Consolidation!I14</f>
        <v>0</v>
      </c>
      <c r="J14" s="531">
        <f>Consolidation!J14</f>
        <v>0</v>
      </c>
      <c r="K14" s="531">
        <f>Consolidation!K14</f>
        <v>1722.2748865193</v>
      </c>
      <c r="L14" s="531">
        <f>Consolidation!L14</f>
        <v>1835.9446861127899</v>
      </c>
      <c r="M14" s="154">
        <f>Consolidation!M14</f>
        <v>1977.4838089203199</v>
      </c>
      <c r="N14" s="154">
        <f>Consolidation!N14</f>
        <v>0</v>
      </c>
      <c r="O14" s="154">
        <f>Consolidation!O14</f>
        <v>0</v>
      </c>
      <c r="P14" s="154">
        <f>Consolidation!R15</f>
        <v>0</v>
      </c>
      <c r="Q14" s="154"/>
      <c r="R14" s="767" t="s">
        <v>637</v>
      </c>
      <c r="S14" s="767">
        <v>0</v>
      </c>
      <c r="T14" s="767">
        <v>0</v>
      </c>
      <c r="U14" s="767">
        <v>0</v>
      </c>
      <c r="V14" s="767">
        <v>0</v>
      </c>
      <c r="W14" s="767">
        <v>0</v>
      </c>
      <c r="X14" s="778">
        <v>0</v>
      </c>
      <c r="Y14" s="778">
        <v>0</v>
      </c>
      <c r="Z14" s="778">
        <v>0</v>
      </c>
      <c r="AA14" s="778">
        <v>1691.4</v>
      </c>
      <c r="AB14" s="778">
        <v>1734.6</v>
      </c>
      <c r="AC14" s="778">
        <v>1880.9</v>
      </c>
      <c r="AD14" s="767">
        <v>0</v>
      </c>
      <c r="AE14" s="767">
        <v>0</v>
      </c>
      <c r="AF14" s="767">
        <v>0</v>
      </c>
      <c r="AG14" s="767">
        <v>0</v>
      </c>
    </row>
    <row r="15" spans="1:46">
      <c r="A15" s="530" t="str">
        <f>Consolidation!A15</f>
        <v>Diff.</v>
      </c>
      <c r="B15" s="530">
        <f>Consolidation!B15</f>
        <v>0</v>
      </c>
      <c r="C15" s="530">
        <f>Consolidation!C15</f>
        <v>0</v>
      </c>
      <c r="D15" s="530">
        <f>Consolidation!D15</f>
        <v>0</v>
      </c>
      <c r="E15" s="530">
        <f>Consolidation!E15</f>
        <v>0</v>
      </c>
      <c r="F15" s="530">
        <f>Consolidation!F15</f>
        <v>0</v>
      </c>
      <c r="G15" s="530">
        <f>Consolidation!G15</f>
        <v>0</v>
      </c>
      <c r="H15" s="532">
        <f>Consolidation!H15</f>
        <v>0</v>
      </c>
      <c r="I15" s="532">
        <f>Consolidation!I15</f>
        <v>0</v>
      </c>
      <c r="J15" s="532">
        <f>Consolidation!J15</f>
        <v>0</v>
      </c>
      <c r="K15" s="532">
        <f>Consolidation!K15</f>
        <v>1.7435393293045998E-3</v>
      </c>
      <c r="L15" s="532">
        <f>Consolidation!L15</f>
        <v>-2.1751652419627843E-2</v>
      </c>
      <c r="M15" s="154">
        <f>Consolidation!M15</f>
        <v>-2.9742010131484586E-2</v>
      </c>
      <c r="N15" s="154">
        <f>Consolidation!N15</f>
        <v>0</v>
      </c>
      <c r="O15" s="154">
        <f>Consolidation!O15</f>
        <v>0</v>
      </c>
      <c r="P15" s="154">
        <f>Consolidation!P15</f>
        <v>0</v>
      </c>
      <c r="Q15" s="154"/>
      <c r="R15" s="767" t="s">
        <v>638</v>
      </c>
      <c r="S15" s="767">
        <v>0</v>
      </c>
      <c r="T15" s="767">
        <v>0</v>
      </c>
      <c r="U15" s="767">
        <v>0</v>
      </c>
      <c r="V15" s="767">
        <v>0</v>
      </c>
      <c r="W15" s="767">
        <v>0</v>
      </c>
      <c r="X15" s="767">
        <v>0</v>
      </c>
      <c r="Y15" s="779">
        <v>0</v>
      </c>
      <c r="Z15" s="779">
        <v>0</v>
      </c>
      <c r="AA15" s="779">
        <v>-3.3072664734157264E-4</v>
      </c>
      <c r="AB15" s="779">
        <v>2.9054996537678068E-2</v>
      </c>
      <c r="AC15" s="779">
        <v>5.2228698387251971E-2</v>
      </c>
      <c r="AD15" s="767">
        <v>0</v>
      </c>
      <c r="AE15" s="767">
        <v>0</v>
      </c>
      <c r="AF15" s="767">
        <v>0</v>
      </c>
      <c r="AG15" s="767">
        <v>0</v>
      </c>
    </row>
    <row r="16" spans="1:46">
      <c r="A16" s="154">
        <f>Consolidation!A16</f>
        <v>0</v>
      </c>
      <c r="B16" s="154">
        <f>Consolidation!B16</f>
        <v>0</v>
      </c>
      <c r="C16" s="154">
        <f>Consolidation!C16</f>
        <v>0</v>
      </c>
      <c r="D16" s="154">
        <f>Consolidation!D16</f>
        <v>0</v>
      </c>
      <c r="E16" s="154">
        <f>Consolidation!E16</f>
        <v>0</v>
      </c>
      <c r="F16" s="154">
        <f>Consolidation!F16</f>
        <v>0</v>
      </c>
      <c r="G16" s="154">
        <f>Consolidation!G16</f>
        <v>0</v>
      </c>
      <c r="H16" s="157">
        <f>Consolidation!H16</f>
        <v>0</v>
      </c>
      <c r="I16" s="157">
        <f>Consolidation!I16</f>
        <v>0</v>
      </c>
      <c r="J16" s="157">
        <f>Consolidation!J16</f>
        <v>0</v>
      </c>
      <c r="K16" s="157">
        <f>Consolidation!K16</f>
        <v>0</v>
      </c>
      <c r="L16" s="157">
        <f>Consolidation!L16</f>
        <v>0</v>
      </c>
      <c r="M16" s="157">
        <f>Consolidation!M16</f>
        <v>0</v>
      </c>
      <c r="N16" s="157">
        <f>Consolidation!N16</f>
        <v>0</v>
      </c>
      <c r="O16" s="157">
        <f>Consolidation!O16</f>
        <v>0</v>
      </c>
      <c r="P16" s="157">
        <f>Consolidation!P16</f>
        <v>0</v>
      </c>
      <c r="Q16" s="154"/>
      <c r="R16" s="767">
        <v>0</v>
      </c>
      <c r="S16" s="767">
        <v>0</v>
      </c>
      <c r="T16" s="767">
        <v>0</v>
      </c>
      <c r="U16" s="767">
        <v>0</v>
      </c>
      <c r="V16" s="767">
        <v>0</v>
      </c>
      <c r="W16" s="767">
        <v>0</v>
      </c>
      <c r="X16" s="767">
        <v>0</v>
      </c>
      <c r="Y16" s="776">
        <v>0</v>
      </c>
      <c r="Z16" s="776">
        <v>0</v>
      </c>
      <c r="AA16" s="776">
        <v>0</v>
      </c>
      <c r="AB16" s="776">
        <v>0</v>
      </c>
      <c r="AC16" s="776">
        <v>0</v>
      </c>
      <c r="AD16" s="776">
        <v>0</v>
      </c>
      <c r="AE16" s="776">
        <v>0</v>
      </c>
      <c r="AF16" s="776">
        <v>0</v>
      </c>
      <c r="AG16" s="776">
        <v>0</v>
      </c>
    </row>
    <row r="17" spans="1:42">
      <c r="A17" s="154" t="str">
        <f>Consolidation!A17</f>
        <v>Inorganic increase</v>
      </c>
      <c r="B17" s="154">
        <f>Consolidation!B17</f>
        <v>0</v>
      </c>
      <c r="C17" s="154">
        <f>Consolidation!C17</f>
        <v>0</v>
      </c>
      <c r="D17" s="154">
        <f>Consolidation!D17</f>
        <v>0</v>
      </c>
      <c r="E17" s="154">
        <f>Consolidation!E17</f>
        <v>0</v>
      </c>
      <c r="F17" s="154">
        <f>Consolidation!F17</f>
        <v>0</v>
      </c>
      <c r="G17" s="154">
        <f>Consolidation!G17</f>
        <v>0</v>
      </c>
      <c r="H17" s="154">
        <f>Consolidation!H17</f>
        <v>151.4</v>
      </c>
      <c r="I17" s="154">
        <f>Consolidation!I17</f>
        <v>56.800000000000004</v>
      </c>
      <c r="J17" s="154">
        <f>Consolidation!J17</f>
        <v>0</v>
      </c>
      <c r="K17" s="154">
        <f>Consolidation!K17</f>
        <v>0</v>
      </c>
      <c r="L17" s="154">
        <f>Consolidation!L17</f>
        <v>0</v>
      </c>
      <c r="M17" s="154">
        <f>Consolidation!M17</f>
        <v>0</v>
      </c>
      <c r="N17" s="154">
        <f>Consolidation!N17</f>
        <v>0</v>
      </c>
      <c r="O17" s="154">
        <f>Consolidation!O17</f>
        <v>0</v>
      </c>
      <c r="P17" s="154">
        <f>Consolidation!P17</f>
        <v>0</v>
      </c>
      <c r="Q17" s="154"/>
      <c r="R17" s="767" t="s">
        <v>956</v>
      </c>
      <c r="S17" s="767">
        <v>0</v>
      </c>
      <c r="T17" s="767">
        <v>0</v>
      </c>
      <c r="U17" s="767">
        <v>0</v>
      </c>
      <c r="V17" s="767">
        <v>0</v>
      </c>
      <c r="W17" s="767">
        <v>0</v>
      </c>
      <c r="X17" s="767">
        <v>0</v>
      </c>
      <c r="Y17" s="767">
        <v>151.4</v>
      </c>
      <c r="Z17" s="767">
        <v>56.800000000000004</v>
      </c>
      <c r="AA17" s="767">
        <v>0</v>
      </c>
      <c r="AB17" s="767">
        <v>0</v>
      </c>
      <c r="AC17" s="767">
        <v>0</v>
      </c>
      <c r="AD17" s="767">
        <v>0</v>
      </c>
      <c r="AE17" s="767">
        <v>0</v>
      </c>
      <c r="AF17" s="767">
        <v>0</v>
      </c>
      <c r="AG17" s="767">
        <v>0</v>
      </c>
    </row>
    <row r="18" spans="1:42">
      <c r="A18" s="154" t="str">
        <f>Consolidation!A18</f>
        <v>FX impact</v>
      </c>
      <c r="B18" s="154">
        <f>Consolidation!B18</f>
        <v>0</v>
      </c>
      <c r="C18" s="154">
        <f>Consolidation!C18</f>
        <v>0</v>
      </c>
      <c r="D18" s="154">
        <f>Consolidation!D18</f>
        <v>0</v>
      </c>
      <c r="E18" s="154">
        <f>Consolidation!E18</f>
        <v>0</v>
      </c>
      <c r="F18" s="154">
        <f>Consolidation!F18</f>
        <v>0</v>
      </c>
      <c r="G18" s="154">
        <f>Consolidation!G18</f>
        <v>0</v>
      </c>
      <c r="H18" s="154">
        <f>Consolidation!H18</f>
        <v>-77.3</v>
      </c>
      <c r="I18" s="154">
        <f>Consolidation!I18</f>
        <v>-615.70000000000005</v>
      </c>
      <c r="J18" s="154">
        <f>Consolidation!J18</f>
        <v>-1435.7000000000003</v>
      </c>
      <c r="K18" s="154">
        <f>Consolidation!K18</f>
        <v>0</v>
      </c>
      <c r="L18" s="154">
        <f>Consolidation!L18</f>
        <v>0</v>
      </c>
      <c r="M18" s="154">
        <f>Consolidation!M18</f>
        <v>0</v>
      </c>
      <c r="N18" s="154">
        <f>Consolidation!N18</f>
        <v>0</v>
      </c>
      <c r="O18" s="154">
        <f>Consolidation!O18</f>
        <v>0</v>
      </c>
      <c r="P18" s="154">
        <f>Consolidation!P18</f>
        <v>0</v>
      </c>
      <c r="Q18" s="154"/>
      <c r="R18" s="767" t="s">
        <v>957</v>
      </c>
      <c r="S18" s="767">
        <v>0</v>
      </c>
      <c r="T18" s="767">
        <v>0</v>
      </c>
      <c r="U18" s="767">
        <v>0</v>
      </c>
      <c r="V18" s="767">
        <v>0</v>
      </c>
      <c r="W18" s="767">
        <v>0</v>
      </c>
      <c r="X18" s="767">
        <v>0</v>
      </c>
      <c r="Y18" s="767">
        <v>-77.3</v>
      </c>
      <c r="Z18" s="767">
        <v>-615.70000000000005</v>
      </c>
      <c r="AA18" s="767">
        <v>0</v>
      </c>
      <c r="AB18" s="767">
        <v>0</v>
      </c>
      <c r="AC18" s="767">
        <v>0</v>
      </c>
      <c r="AD18" s="767">
        <v>0</v>
      </c>
      <c r="AE18" s="767">
        <v>0</v>
      </c>
      <c r="AF18" s="767">
        <v>0</v>
      </c>
      <c r="AG18" s="767">
        <v>0</v>
      </c>
    </row>
    <row r="19" spans="1:42">
      <c r="A19" s="154" t="str">
        <f>Consolidation!A19</f>
        <v>Organic revenue</v>
      </c>
      <c r="B19" s="154">
        <f>Consolidation!B19</f>
        <v>0</v>
      </c>
      <c r="C19" s="154">
        <f>Consolidation!C19</f>
        <v>0</v>
      </c>
      <c r="D19" s="154">
        <f>Consolidation!D19</f>
        <v>0</v>
      </c>
      <c r="E19" s="154">
        <f>Consolidation!E19</f>
        <v>0</v>
      </c>
      <c r="F19" s="154">
        <f>Consolidation!F19</f>
        <v>0</v>
      </c>
      <c r="G19" s="524">
        <f>Consolidation!G19</f>
        <v>0</v>
      </c>
      <c r="H19" s="524">
        <f>Consolidation!H19</f>
        <v>1887.1990000000001</v>
      </c>
      <c r="I19" s="524">
        <f>Consolidation!I19</f>
        <v>2684.4389999999994</v>
      </c>
      <c r="J19" s="524">
        <f>Consolidation!J19</f>
        <v>3146.9250000000002</v>
      </c>
      <c r="K19" s="154">
        <f>Consolidation!K19</f>
        <v>0</v>
      </c>
      <c r="L19" s="154">
        <f>Consolidation!L19</f>
        <v>0</v>
      </c>
      <c r="M19" s="154">
        <f>Consolidation!M19</f>
        <v>0</v>
      </c>
      <c r="N19" s="154">
        <f>Consolidation!N19</f>
        <v>0</v>
      </c>
      <c r="O19" s="154">
        <f>Consolidation!O19</f>
        <v>0</v>
      </c>
      <c r="P19" s="154">
        <f>Consolidation!P19</f>
        <v>0</v>
      </c>
      <c r="Q19" s="154"/>
      <c r="R19" s="767" t="s">
        <v>958</v>
      </c>
      <c r="S19" s="767">
        <v>0</v>
      </c>
      <c r="T19" s="767">
        <v>0</v>
      </c>
      <c r="U19" s="767">
        <v>0</v>
      </c>
      <c r="V19" s="767">
        <v>0</v>
      </c>
      <c r="W19" s="767">
        <v>0</v>
      </c>
      <c r="X19" s="780">
        <v>0</v>
      </c>
      <c r="Y19" s="780">
        <v>1887.1990000000001</v>
      </c>
      <c r="Z19" s="780">
        <v>2684.4389999999994</v>
      </c>
      <c r="AA19" s="780">
        <v>0</v>
      </c>
      <c r="AB19" s="767">
        <v>0</v>
      </c>
      <c r="AC19" s="767">
        <v>0</v>
      </c>
      <c r="AD19" s="767">
        <v>0</v>
      </c>
      <c r="AE19" s="767">
        <v>0</v>
      </c>
      <c r="AF19" s="767">
        <v>0</v>
      </c>
      <c r="AG19" s="767">
        <v>0</v>
      </c>
    </row>
    <row r="20" spans="1:42">
      <c r="A20" s="154" t="str">
        <f>Consolidation!A20</f>
        <v>YoY</v>
      </c>
      <c r="B20" s="154">
        <f>Consolidation!B20</f>
        <v>0</v>
      </c>
      <c r="C20" s="154">
        <f>Consolidation!C20</f>
        <v>0</v>
      </c>
      <c r="D20" s="154">
        <f>Consolidation!D20</f>
        <v>0</v>
      </c>
      <c r="E20" s="154">
        <f>Consolidation!E20</f>
        <v>0</v>
      </c>
      <c r="F20" s="154">
        <f>Consolidation!F20</f>
        <v>0</v>
      </c>
      <c r="G20" s="165">
        <f>Consolidation!G20</f>
        <v>0</v>
      </c>
      <c r="H20" s="157">
        <f>Consolidation!H20</f>
        <v>0.19463389313363688</v>
      </c>
      <c r="I20" s="157">
        <f>Consolidation!I20</f>
        <v>0.36870461872463056</v>
      </c>
      <c r="J20" s="165">
        <f>Consolidation!J20</f>
        <v>0.48053035018411827</v>
      </c>
      <c r="K20" s="154">
        <f>Consolidation!K20</f>
        <v>0</v>
      </c>
      <c r="L20" s="154">
        <f>Consolidation!L20</f>
        <v>0</v>
      </c>
      <c r="M20" s="154">
        <f>Consolidation!M20</f>
        <v>0</v>
      </c>
      <c r="N20" s="154">
        <f>Consolidation!N20</f>
        <v>0</v>
      </c>
      <c r="O20" s="154">
        <f>Consolidation!O20</f>
        <v>0</v>
      </c>
      <c r="P20" s="154">
        <f>Consolidation!P20</f>
        <v>0</v>
      </c>
      <c r="Q20" s="154"/>
      <c r="R20" s="767" t="s">
        <v>633</v>
      </c>
      <c r="S20" s="767">
        <v>0</v>
      </c>
      <c r="T20" s="767">
        <v>0</v>
      </c>
      <c r="U20" s="767">
        <v>0</v>
      </c>
      <c r="V20" s="767">
        <v>0</v>
      </c>
      <c r="W20" s="767">
        <v>0</v>
      </c>
      <c r="X20" s="779">
        <v>0</v>
      </c>
      <c r="Y20" s="776">
        <v>0.19463389313363688</v>
      </c>
      <c r="Z20" s="776">
        <v>0.36870461872463056</v>
      </c>
      <c r="AA20" s="779">
        <v>0</v>
      </c>
      <c r="AB20" s="767">
        <v>0</v>
      </c>
      <c r="AC20" s="767">
        <v>0</v>
      </c>
      <c r="AD20" s="767">
        <v>0</v>
      </c>
      <c r="AE20" s="767">
        <v>0</v>
      </c>
      <c r="AF20" s="767">
        <v>0</v>
      </c>
      <c r="AG20" s="767">
        <v>0</v>
      </c>
    </row>
    <row r="21" spans="1:42">
      <c r="A21" s="154">
        <f>Consolidation!A21</f>
        <v>0</v>
      </c>
      <c r="B21" s="154">
        <f>Consolidation!B21</f>
        <v>0</v>
      </c>
      <c r="C21" s="154">
        <f>Consolidation!C21</f>
        <v>0</v>
      </c>
      <c r="D21" s="154">
        <f>Consolidation!D21</f>
        <v>0</v>
      </c>
      <c r="E21" s="154">
        <f>Consolidation!E21</f>
        <v>0</v>
      </c>
      <c r="F21" s="154">
        <f>Consolidation!F21</f>
        <v>0</v>
      </c>
      <c r="G21" s="154">
        <f>Consolidation!G21</f>
        <v>0</v>
      </c>
      <c r="H21" s="154">
        <f>Consolidation!H21</f>
        <v>0</v>
      </c>
      <c r="I21" s="154">
        <f>Consolidation!I21</f>
        <v>0</v>
      </c>
      <c r="J21" s="154">
        <f>Consolidation!J21</f>
        <v>0</v>
      </c>
      <c r="K21" s="154">
        <f>Consolidation!K21</f>
        <v>0</v>
      </c>
      <c r="L21" s="154">
        <f>Consolidation!L21</f>
        <v>0</v>
      </c>
      <c r="M21" s="154">
        <f>Consolidation!M21</f>
        <v>0</v>
      </c>
      <c r="N21" s="154">
        <f>Consolidation!N21</f>
        <v>0</v>
      </c>
      <c r="O21" s="154">
        <f>Consolidation!O21</f>
        <v>0</v>
      </c>
      <c r="P21" s="154">
        <f>Consolidation!P21</f>
        <v>0</v>
      </c>
      <c r="Q21" s="154"/>
      <c r="R21" s="767">
        <v>0</v>
      </c>
      <c r="S21" s="767">
        <v>0</v>
      </c>
      <c r="T21" s="767">
        <v>0</v>
      </c>
      <c r="U21" s="767">
        <v>0</v>
      </c>
      <c r="V21" s="767">
        <v>0</v>
      </c>
      <c r="W21" s="767">
        <v>0</v>
      </c>
      <c r="X21" s="767">
        <v>0</v>
      </c>
      <c r="Y21" s="767">
        <v>0</v>
      </c>
      <c r="Z21" s="767">
        <v>0</v>
      </c>
      <c r="AA21" s="767">
        <v>0</v>
      </c>
      <c r="AB21" s="767">
        <v>0</v>
      </c>
      <c r="AC21" s="767">
        <v>0</v>
      </c>
      <c r="AD21" s="767">
        <v>0</v>
      </c>
      <c r="AE21" s="767">
        <v>0</v>
      </c>
      <c r="AF21" s="767">
        <v>0</v>
      </c>
      <c r="AG21" s="767">
        <v>0</v>
      </c>
    </row>
    <row r="22" spans="1:42">
      <c r="A22" s="154">
        <f>Consolidation!A24</f>
        <v>0</v>
      </c>
      <c r="B22" s="154">
        <f>Consolidation!B24</f>
        <v>0</v>
      </c>
      <c r="C22" s="154">
        <f>Consolidation!C24</f>
        <v>0</v>
      </c>
      <c r="D22" s="154">
        <f>Consolidation!D24</f>
        <v>0</v>
      </c>
      <c r="E22" s="154">
        <f>Consolidation!E24</f>
        <v>0</v>
      </c>
      <c r="F22" s="154">
        <f>Consolidation!F24</f>
        <v>0</v>
      </c>
      <c r="G22" s="154">
        <f>Consolidation!G24</f>
        <v>0</v>
      </c>
      <c r="H22" s="154">
        <f>Consolidation!H24</f>
        <v>0</v>
      </c>
      <c r="I22" s="154">
        <f>Consolidation!I24</f>
        <v>0</v>
      </c>
      <c r="J22" s="154">
        <f>Consolidation!J24</f>
        <v>0</v>
      </c>
      <c r="K22">
        <f>Consolidation!K24</f>
        <v>0</v>
      </c>
      <c r="L22" s="154">
        <f>Consolidation!L24</f>
        <v>0</v>
      </c>
      <c r="M22" s="154">
        <f>Consolidation!M24</f>
        <v>0</v>
      </c>
      <c r="N22" s="154">
        <f>Consolidation!N24</f>
        <v>0</v>
      </c>
      <c r="O22" s="154">
        <f>Consolidation!O24</f>
        <v>0</v>
      </c>
      <c r="P22" s="154">
        <f>Consolidation!P24</f>
        <v>0</v>
      </c>
      <c r="Q22" s="154"/>
      <c r="R22" s="767">
        <v>0</v>
      </c>
      <c r="S22" s="767">
        <v>0</v>
      </c>
      <c r="T22" s="767">
        <v>0</v>
      </c>
      <c r="U22" s="767">
        <v>0</v>
      </c>
      <c r="V22" s="767">
        <v>0</v>
      </c>
      <c r="W22" s="767">
        <v>0</v>
      </c>
      <c r="X22" s="767">
        <v>0</v>
      </c>
      <c r="Y22" s="767">
        <v>0</v>
      </c>
      <c r="Z22" s="767">
        <v>0</v>
      </c>
      <c r="AA22" s="767">
        <v>0</v>
      </c>
      <c r="AB22" s="781">
        <v>0</v>
      </c>
      <c r="AC22" s="767">
        <v>0</v>
      </c>
      <c r="AD22" s="767">
        <v>0</v>
      </c>
      <c r="AE22" s="767">
        <v>0</v>
      </c>
      <c r="AF22" s="767">
        <v>0</v>
      </c>
      <c r="AG22" s="767">
        <v>0</v>
      </c>
    </row>
    <row r="23" spans="1:42">
      <c r="A23" s="154">
        <f>Consolidation!A25</f>
        <v>0</v>
      </c>
      <c r="B23" s="154">
        <f>Consolidation!B25</f>
        <v>0</v>
      </c>
      <c r="C23" s="154">
        <f>Consolidation!C25</f>
        <v>0</v>
      </c>
      <c r="D23" s="154">
        <f>Consolidation!D25</f>
        <v>0</v>
      </c>
      <c r="E23" s="154">
        <f>Consolidation!E25</f>
        <v>0</v>
      </c>
      <c r="F23" s="154">
        <f>Consolidation!F25</f>
        <v>0</v>
      </c>
      <c r="G23" s="154">
        <f>Consolidation!G25</f>
        <v>0</v>
      </c>
      <c r="H23" s="154">
        <f>Consolidation!H25</f>
        <v>0</v>
      </c>
      <c r="I23" s="165">
        <f>Consolidation!I25</f>
        <v>0</v>
      </c>
      <c r="J23" s="165">
        <f>Consolidation!J25</f>
        <v>0</v>
      </c>
      <c r="K23">
        <f>Consolidation!K25</f>
        <v>0</v>
      </c>
      <c r="L23" s="154">
        <f>Consolidation!L25</f>
        <v>0</v>
      </c>
      <c r="M23" s="154">
        <f>Consolidation!M25</f>
        <v>0</v>
      </c>
      <c r="N23" s="154">
        <f>Consolidation!N25</f>
        <v>0</v>
      </c>
      <c r="O23" s="154">
        <f>Consolidation!O25</f>
        <v>0</v>
      </c>
      <c r="P23" s="154">
        <f>Consolidation!P25</f>
        <v>0</v>
      </c>
      <c r="Q23" s="154"/>
      <c r="R23" s="767">
        <v>0</v>
      </c>
      <c r="S23" s="767">
        <v>0</v>
      </c>
      <c r="T23" s="767">
        <v>0</v>
      </c>
      <c r="U23" s="767">
        <v>0</v>
      </c>
      <c r="V23" s="767">
        <v>0</v>
      </c>
      <c r="W23" s="767">
        <v>0</v>
      </c>
      <c r="X23" s="767">
        <v>0</v>
      </c>
      <c r="Y23" s="767">
        <v>0</v>
      </c>
      <c r="Z23" s="779">
        <v>0</v>
      </c>
      <c r="AA23" s="779">
        <v>0</v>
      </c>
      <c r="AB23" s="781">
        <v>0</v>
      </c>
      <c r="AC23" s="767">
        <v>0</v>
      </c>
      <c r="AD23" s="767">
        <v>0</v>
      </c>
      <c r="AE23" s="767">
        <v>0</v>
      </c>
      <c r="AF23" s="767">
        <v>0</v>
      </c>
      <c r="AG23" s="767">
        <v>0</v>
      </c>
    </row>
    <row r="24" spans="1:42">
      <c r="A24" s="519" t="str">
        <f>Consolidation!A26</f>
        <v>Adj. EBITDA</v>
      </c>
      <c r="B24" s="520">
        <f>Consolidation!B26</f>
        <v>2016</v>
      </c>
      <c r="C24" s="520">
        <f>Consolidation!C26</f>
        <v>2017</v>
      </c>
      <c r="D24" s="520">
        <f>Consolidation!D26</f>
        <v>2018</v>
      </c>
      <c r="E24" s="520">
        <f>Consolidation!E26</f>
        <v>2019</v>
      </c>
      <c r="F24" s="520">
        <f>Consolidation!F26</f>
        <v>2020</v>
      </c>
      <c r="G24" s="520">
        <f>Consolidation!G26</f>
        <v>2021</v>
      </c>
      <c r="H24" s="520">
        <f>Consolidation!H26</f>
        <v>2022</v>
      </c>
      <c r="I24" s="520">
        <f>Consolidation!I26</f>
        <v>2023</v>
      </c>
      <c r="J24" s="520">
        <f>Consolidation!J26</f>
        <v>2024</v>
      </c>
      <c r="K24" s="520" t="str">
        <f>Consolidation!K26</f>
        <v>2025E</v>
      </c>
      <c r="L24" s="520" t="str">
        <f>Consolidation!L26</f>
        <v>2026E</v>
      </c>
      <c r="M24" s="520" t="str">
        <f>Consolidation!M26</f>
        <v>2027E</v>
      </c>
      <c r="N24" s="520" t="str">
        <f>Consolidation!N26</f>
        <v>2028E</v>
      </c>
      <c r="O24" s="520" t="str">
        <f>Consolidation!O26</f>
        <v>2029E</v>
      </c>
      <c r="P24" s="520" t="str">
        <f>Consolidation!P26</f>
        <v>2030E</v>
      </c>
      <c r="Q24" s="154"/>
      <c r="R24" s="771" t="s">
        <v>636</v>
      </c>
      <c r="S24" s="772">
        <v>2016</v>
      </c>
      <c r="T24" s="772">
        <v>2017</v>
      </c>
      <c r="U24" s="772">
        <v>2018</v>
      </c>
      <c r="V24" s="772">
        <v>2019</v>
      </c>
      <c r="W24" s="772">
        <v>2020</v>
      </c>
      <c r="X24" s="772">
        <v>2021</v>
      </c>
      <c r="Y24" s="772">
        <v>2022</v>
      </c>
      <c r="Z24" s="772">
        <v>2023</v>
      </c>
      <c r="AA24" s="772" t="s">
        <v>265</v>
      </c>
      <c r="AB24" s="772" t="s">
        <v>266</v>
      </c>
      <c r="AC24" s="772" t="s">
        <v>267</v>
      </c>
      <c r="AD24" s="772" t="s">
        <v>268</v>
      </c>
      <c r="AE24" s="772" t="s">
        <v>269</v>
      </c>
      <c r="AF24" s="772" t="s">
        <v>270</v>
      </c>
      <c r="AG24" s="772" t="s">
        <v>271</v>
      </c>
    </row>
    <row r="25" spans="1:42">
      <c r="A25" s="154" t="str">
        <f>Consolidation!A27</f>
        <v>Nigeria</v>
      </c>
      <c r="B25" s="522">
        <f>Consolidation!B27</f>
        <v>285</v>
      </c>
      <c r="C25" s="522">
        <f>Consolidation!C27</f>
        <v>423</v>
      </c>
      <c r="D25" s="522">
        <f>Consolidation!D27</f>
        <v>489</v>
      </c>
      <c r="E25" s="522">
        <f>Consolidation!E27</f>
        <v>559.04899999999998</v>
      </c>
      <c r="F25" s="522">
        <f>Consolidation!F27</f>
        <v>701.27300000000002</v>
      </c>
      <c r="G25" s="522">
        <f>Consolidation!G27</f>
        <v>783.54399999999998</v>
      </c>
      <c r="H25" s="522">
        <f>Consolidation!H27</f>
        <v>802.822</v>
      </c>
      <c r="I25" s="522">
        <f>Consolidation!I27</f>
        <v>855.31700000000001</v>
      </c>
      <c r="J25" s="523">
        <f>Consolidation!J27</f>
        <v>588.03099999999995</v>
      </c>
      <c r="K25" s="523">
        <f>Consolidation!K27</f>
        <v>695.49961174308112</v>
      </c>
      <c r="L25" s="523">
        <f>Consolidation!L27</f>
        <v>754.41472097521614</v>
      </c>
      <c r="M25" s="523">
        <f>Consolidation!M27</f>
        <v>823.1792256565235</v>
      </c>
      <c r="N25" s="523">
        <f>Consolidation!N27</f>
        <v>880.42369290826207</v>
      </c>
      <c r="O25" s="523">
        <f>Consolidation!O27</f>
        <v>941.96439341985445</v>
      </c>
      <c r="P25" s="523">
        <f>Consolidation!P27</f>
        <v>1005.1754533784143</v>
      </c>
      <c r="Q25" s="154"/>
      <c r="R25" s="767" t="s">
        <v>203</v>
      </c>
      <c r="S25" s="773">
        <v>285</v>
      </c>
      <c r="T25" s="773">
        <v>423</v>
      </c>
      <c r="U25" s="773">
        <v>489</v>
      </c>
      <c r="V25" s="773">
        <v>559.04899999999998</v>
      </c>
      <c r="W25" s="773">
        <v>701.27300000000002</v>
      </c>
      <c r="X25" s="773">
        <v>783.54399999999998</v>
      </c>
      <c r="Y25" s="773">
        <v>802.822</v>
      </c>
      <c r="Z25" s="773">
        <v>855.31700000000001</v>
      </c>
      <c r="AA25" s="773">
        <v>571.47988426300935</v>
      </c>
      <c r="AB25" s="773">
        <v>599.99198926631004</v>
      </c>
      <c r="AC25" s="773">
        <v>688.76285662367752</v>
      </c>
      <c r="AD25" s="773">
        <v>764.87306775972297</v>
      </c>
      <c r="AE25" s="773">
        <v>826.19226617741549</v>
      </c>
      <c r="AF25" s="773">
        <v>881.81783578040438</v>
      </c>
      <c r="AG25" s="773">
        <v>931.02511303805886</v>
      </c>
      <c r="AI25" t="str">
        <f t="shared" ref="AI25:AI30" si="2">A25</f>
        <v>Nigeria</v>
      </c>
      <c r="AJ25" s="108">
        <f t="shared" ref="AJ25:AP30" si="3">J25/AA25-1</f>
        <v>2.8961851838993802E-2</v>
      </c>
      <c r="AK25" s="108">
        <f t="shared" si="3"/>
        <v>0.15918149606224063</v>
      </c>
      <c r="AL25" s="108">
        <f t="shared" si="3"/>
        <v>9.531853194489126E-2</v>
      </c>
      <c r="AM25" s="108">
        <f t="shared" si="3"/>
        <v>7.6229848264335542E-2</v>
      </c>
      <c r="AN25" s="108">
        <f t="shared" si="3"/>
        <v>6.564020138043869E-2</v>
      </c>
      <c r="AO25" s="108">
        <f t="shared" si="3"/>
        <v>6.8207463263907142E-2</v>
      </c>
      <c r="AP25" s="108">
        <f t="shared" si="3"/>
        <v>7.964375966013737E-2</v>
      </c>
    </row>
    <row r="26" spans="1:42">
      <c r="A26" s="154" t="str">
        <f>Consolidation!A28</f>
        <v>Sub-Sahara Africa</v>
      </c>
      <c r="B26" s="522">
        <f>Consolidation!B28</f>
        <v>126</v>
      </c>
      <c r="C26" s="522">
        <f>Consolidation!C28</f>
        <v>145</v>
      </c>
      <c r="D26" s="522">
        <f>Consolidation!D28</f>
        <v>151</v>
      </c>
      <c r="E26" s="522">
        <f>Consolidation!E28</f>
        <v>165.626</v>
      </c>
      <c r="F26" s="522">
        <f>Consolidation!F28</f>
        <v>170.78399999999999</v>
      </c>
      <c r="G26" s="522">
        <f>Consolidation!G28</f>
        <v>190.654</v>
      </c>
      <c r="H26" s="522">
        <f>Consolidation!H28</f>
        <v>230.52099999999999</v>
      </c>
      <c r="I26" s="522">
        <f>Consolidation!I28</f>
        <v>257.072</v>
      </c>
      <c r="J26" s="523">
        <f>Consolidation!J28</f>
        <v>307.95400000000001</v>
      </c>
      <c r="K26" s="523">
        <f>Consolidation!K28</f>
        <v>287</v>
      </c>
      <c r="L26" s="523">
        <f>Consolidation!L28</f>
        <v>283.61324734007371</v>
      </c>
      <c r="M26" s="523">
        <f>Consolidation!M28</f>
        <v>302.84845092014854</v>
      </c>
      <c r="N26" s="523">
        <f>Consolidation!N28</f>
        <v>326.31283013754535</v>
      </c>
      <c r="O26" s="523">
        <f>Consolidation!O28</f>
        <v>351.03718832926666</v>
      </c>
      <c r="P26" s="523">
        <f>Consolidation!P28</f>
        <v>377.59688916249604</v>
      </c>
      <c r="Q26" s="154"/>
      <c r="R26" s="767" t="s">
        <v>272</v>
      </c>
      <c r="S26" s="773">
        <v>126</v>
      </c>
      <c r="T26" s="773">
        <v>145</v>
      </c>
      <c r="U26" s="773">
        <v>151</v>
      </c>
      <c r="V26" s="773">
        <v>165.626</v>
      </c>
      <c r="W26" s="773">
        <v>170.78399999999999</v>
      </c>
      <c r="X26" s="773">
        <v>190.654</v>
      </c>
      <c r="Y26" s="773">
        <v>230.52099999999999</v>
      </c>
      <c r="Z26" s="773">
        <v>257.072</v>
      </c>
      <c r="AA26" s="773">
        <v>295.90082050094986</v>
      </c>
      <c r="AB26" s="773">
        <v>301.35499022048913</v>
      </c>
      <c r="AC26" s="773">
        <v>318.90969839984967</v>
      </c>
      <c r="AD26" s="773">
        <v>338.75438546782533</v>
      </c>
      <c r="AE26" s="773">
        <v>359.61634213787863</v>
      </c>
      <c r="AF26" s="773">
        <v>381.52960722143393</v>
      </c>
      <c r="AG26" s="773">
        <v>404.52430805199072</v>
      </c>
      <c r="AI26" t="str">
        <f t="shared" si="2"/>
        <v>Sub-Sahara Africa</v>
      </c>
      <c r="AJ26" s="108">
        <f t="shared" si="3"/>
        <v>4.0733849533247435E-2</v>
      </c>
      <c r="AK26" s="108">
        <f t="shared" si="3"/>
        <v>-4.7634818358196607E-2</v>
      </c>
      <c r="AL26" s="108">
        <f t="shared" si="3"/>
        <v>-0.11067851255975658</v>
      </c>
      <c r="AM26" s="108">
        <f t="shared" si="3"/>
        <v>-0.10599400653688984</v>
      </c>
      <c r="AN26" s="108">
        <f t="shared" si="3"/>
        <v>-9.2608449889534095E-2</v>
      </c>
      <c r="AO26" s="108">
        <f t="shared" si="3"/>
        <v>-7.9921501018582641E-2</v>
      </c>
      <c r="AP26" s="108">
        <f t="shared" si="3"/>
        <v>-6.6565638587122611E-2</v>
      </c>
    </row>
    <row r="27" spans="1:42">
      <c r="A27" s="154" t="str">
        <f>Consolidation!A29</f>
        <v>Latam</v>
      </c>
      <c r="B27" s="523">
        <f>Consolidation!B29</f>
        <v>0</v>
      </c>
      <c r="C27" s="523">
        <f>Consolidation!C29</f>
        <v>0</v>
      </c>
      <c r="D27" s="523">
        <f>Consolidation!D29</f>
        <v>0</v>
      </c>
      <c r="E27" s="523">
        <f>Consolidation!E29</f>
        <v>0</v>
      </c>
      <c r="F27" s="522">
        <f>Consolidation!F29</f>
        <v>22.696000000000002</v>
      </c>
      <c r="G27" s="522">
        <f>Consolidation!G29</f>
        <v>42.688000000000002</v>
      </c>
      <c r="H27" s="522">
        <f>Consolidation!H29</f>
        <v>114.434</v>
      </c>
      <c r="I27" s="522">
        <f>Consolidation!I29</f>
        <v>145.75399999999999</v>
      </c>
      <c r="J27" s="523">
        <f>Consolidation!J29</f>
        <v>138.035</v>
      </c>
      <c r="K27" s="523">
        <f>Consolidation!K29</f>
        <v>139.15888525</v>
      </c>
      <c r="L27" s="523">
        <f>Consolidation!L29</f>
        <v>142.41837860249998</v>
      </c>
      <c r="M27" s="523">
        <f>Consolidation!M29</f>
        <v>146.46706160624996</v>
      </c>
      <c r="N27" s="523">
        <f>Consolidation!N29</f>
        <v>151.36394369928556</v>
      </c>
      <c r="O27" s="523">
        <f>Consolidation!O29</f>
        <v>156.42281836245769</v>
      </c>
      <c r="P27" s="523">
        <f>Consolidation!P29</f>
        <v>161.6489979560908</v>
      </c>
      <c r="Q27" s="154"/>
      <c r="R27" s="767" t="s">
        <v>160</v>
      </c>
      <c r="S27" s="773">
        <v>0</v>
      </c>
      <c r="T27" s="773">
        <v>0</v>
      </c>
      <c r="U27" s="773">
        <v>0</v>
      </c>
      <c r="V27" s="773">
        <v>0</v>
      </c>
      <c r="W27" s="773">
        <v>22.696000000000002</v>
      </c>
      <c r="X27" s="773">
        <v>42.688000000000002</v>
      </c>
      <c r="Y27" s="773">
        <v>114.434</v>
      </c>
      <c r="Z27" s="773">
        <v>145.75399999999999</v>
      </c>
      <c r="AA27" s="773">
        <v>147.0320208</v>
      </c>
      <c r="AB27" s="773">
        <v>169.32166673099999</v>
      </c>
      <c r="AC27" s="773">
        <v>189.90329068704</v>
      </c>
      <c r="AD27" s="773">
        <v>209.182946098896</v>
      </c>
      <c r="AE27" s="773">
        <v>226.23005423741185</v>
      </c>
      <c r="AF27" s="773">
        <v>242.40050355617714</v>
      </c>
      <c r="AG27" s="773">
        <v>257.29894002302302</v>
      </c>
      <c r="AI27" t="str">
        <f t="shared" si="2"/>
        <v>Latam</v>
      </c>
      <c r="AJ27" s="108">
        <f t="shared" si="3"/>
        <v>-6.1190894004226282E-2</v>
      </c>
      <c r="AK27" s="108">
        <f t="shared" si="3"/>
        <v>-0.17813893557355165</v>
      </c>
      <c r="AL27" s="108">
        <f t="shared" si="3"/>
        <v>-0.25004786337691742</v>
      </c>
      <c r="AM27" s="108">
        <f t="shared" si="3"/>
        <v>-0.29981356349668997</v>
      </c>
      <c r="AN27" s="108">
        <f t="shared" si="3"/>
        <v>-0.33092911015067783</v>
      </c>
      <c r="AO27" s="108">
        <f t="shared" si="3"/>
        <v>-0.35469268393575692</v>
      </c>
      <c r="AP27" s="108">
        <f t="shared" si="3"/>
        <v>-0.37174635098913933</v>
      </c>
    </row>
    <row r="28" spans="1:42">
      <c r="A28" s="154" t="str">
        <f>Consolidation!A30</f>
        <v>MENA</v>
      </c>
      <c r="B28" s="523">
        <f>Consolidation!B30</f>
        <v>0</v>
      </c>
      <c r="C28" s="523">
        <f>Consolidation!C30</f>
        <v>0</v>
      </c>
      <c r="D28" s="523">
        <f>Consolidation!D30</f>
        <v>0</v>
      </c>
      <c r="E28" s="523">
        <f>Consolidation!E30</f>
        <v>0</v>
      </c>
      <c r="F28" s="522">
        <f>Consolidation!F30</f>
        <v>9.9369999999999994</v>
      </c>
      <c r="G28" s="522">
        <f>Consolidation!G30</f>
        <v>13.085000000000001</v>
      </c>
      <c r="H28" s="522">
        <f>Consolidation!H30</f>
        <v>16.021000000000001</v>
      </c>
      <c r="I28" s="522">
        <f>Consolidation!I30</f>
        <v>22.120999999999999</v>
      </c>
      <c r="J28" s="523">
        <f>Consolidation!J30</f>
        <v>27.561</v>
      </c>
      <c r="K28" s="523">
        <f>Consolidation!K30</f>
        <v>0</v>
      </c>
      <c r="L28" s="523">
        <f>Consolidation!L30</f>
        <v>0</v>
      </c>
      <c r="M28" s="523">
        <f>Consolidation!M30</f>
        <v>0</v>
      </c>
      <c r="N28" s="523">
        <f>Consolidation!N30</f>
        <v>0</v>
      </c>
      <c r="O28" s="523">
        <f>Consolidation!O30</f>
        <v>0</v>
      </c>
      <c r="P28" s="523">
        <f>Consolidation!P30</f>
        <v>0</v>
      </c>
      <c r="Q28" s="154"/>
      <c r="R28" s="767" t="s">
        <v>273</v>
      </c>
      <c r="S28" s="773">
        <v>0</v>
      </c>
      <c r="T28" s="773">
        <v>0</v>
      </c>
      <c r="U28" s="773">
        <v>0</v>
      </c>
      <c r="V28" s="773">
        <v>0</v>
      </c>
      <c r="W28" s="773">
        <v>9.9369999999999994</v>
      </c>
      <c r="X28" s="773">
        <v>13.085000000000001</v>
      </c>
      <c r="Y28" s="773">
        <v>16.021000000000001</v>
      </c>
      <c r="Z28" s="773">
        <v>22.120999999999999</v>
      </c>
      <c r="AA28" s="773">
        <v>24.568132905509493</v>
      </c>
      <c r="AB28" s="773">
        <v>26.125334408578126</v>
      </c>
      <c r="AC28" s="773">
        <v>27.809633658217361</v>
      </c>
      <c r="AD28" s="773">
        <v>29.398260317370124</v>
      </c>
      <c r="AE28" s="773">
        <v>31.012234657213195</v>
      </c>
      <c r="AF28" s="773">
        <v>32.645900566572003</v>
      </c>
      <c r="AG28" s="773">
        <v>34.293157513829975</v>
      </c>
      <c r="AI28" t="str">
        <f t="shared" si="2"/>
        <v>MENA</v>
      </c>
      <c r="AJ28" s="108">
        <f t="shared" si="3"/>
        <v>0.12181906968678713</v>
      </c>
      <c r="AK28" s="108">
        <f t="shared" si="3"/>
        <v>-1</v>
      </c>
      <c r="AL28" s="108">
        <f t="shared" si="3"/>
        <v>-1</v>
      </c>
      <c r="AM28" s="108">
        <f t="shared" si="3"/>
        <v>-1</v>
      </c>
      <c r="AN28" s="108">
        <f t="shared" si="3"/>
        <v>-1</v>
      </c>
      <c r="AO28" s="108">
        <f t="shared" si="3"/>
        <v>-1</v>
      </c>
      <c r="AP28" s="108">
        <f t="shared" si="3"/>
        <v>-1</v>
      </c>
    </row>
    <row r="29" spans="1:42">
      <c r="A29" s="154" t="str">
        <f>Consolidation!A31</f>
        <v>Other / Holding</v>
      </c>
      <c r="B29" s="522">
        <f>Consolidation!B31</f>
        <v>-28</v>
      </c>
      <c r="C29" s="522">
        <f>Consolidation!C31</f>
        <v>-41</v>
      </c>
      <c r="D29" s="522">
        <f>Consolidation!D31</f>
        <v>-89</v>
      </c>
      <c r="E29" s="522">
        <f>Consolidation!E31</f>
        <v>-56.061</v>
      </c>
      <c r="F29" s="533">
        <f>Consolidation!F31</f>
        <v>-85.676000000000002</v>
      </c>
      <c r="G29" s="533">
        <f>Consolidation!G31</f>
        <v>-103.575</v>
      </c>
      <c r="H29" s="533">
        <f>Consolidation!H31</f>
        <v>-132.41200000000001</v>
      </c>
      <c r="I29" s="533">
        <f>Consolidation!I31</f>
        <v>-147.72900000000001</v>
      </c>
      <c r="J29" s="534">
        <f>Consolidation!J31</f>
        <v>-133.227</v>
      </c>
      <c r="K29" s="534">
        <f>Consolidation!K31</f>
        <v>-123</v>
      </c>
      <c r="L29" s="534">
        <f>Consolidation!L31</f>
        <v>-129.15</v>
      </c>
      <c r="M29" s="534">
        <f>Consolidation!M31</f>
        <v>-135.60750000000002</v>
      </c>
      <c r="N29" s="534">
        <f>Consolidation!N31</f>
        <v>-142.38787500000004</v>
      </c>
      <c r="O29" s="534">
        <f>Consolidation!O31</f>
        <v>-149.50726875000004</v>
      </c>
      <c r="P29" s="534">
        <f>Consolidation!P31</f>
        <v>-156.98263218750006</v>
      </c>
      <c r="Q29" s="154"/>
      <c r="R29" s="767" t="s">
        <v>715</v>
      </c>
      <c r="S29" s="773">
        <v>-28</v>
      </c>
      <c r="T29" s="773">
        <v>-41</v>
      </c>
      <c r="U29" s="773">
        <v>-89</v>
      </c>
      <c r="V29" s="773">
        <v>-56.061</v>
      </c>
      <c r="W29" s="782">
        <v>-85.676000000000002</v>
      </c>
      <c r="X29" s="782">
        <v>-103.575</v>
      </c>
      <c r="Y29" s="782">
        <v>-132.41200000000001</v>
      </c>
      <c r="Z29" s="782">
        <v>-147.72900000000001</v>
      </c>
      <c r="AA29" s="782">
        <v>-119.88746324260944</v>
      </c>
      <c r="AB29" s="782">
        <v>-126.55848947088577</v>
      </c>
      <c r="AC29" s="782">
        <v>-141.39659592214664</v>
      </c>
      <c r="AD29" s="782">
        <v>-154.87676219945345</v>
      </c>
      <c r="AE29" s="782">
        <v>-166.51289577300005</v>
      </c>
      <c r="AF29" s="782">
        <v>-177.51446939214736</v>
      </c>
      <c r="AG29" s="782">
        <v>-187.7550172505309</v>
      </c>
      <c r="AI29" t="str">
        <f t="shared" si="2"/>
        <v>Other / Holding</v>
      </c>
      <c r="AJ29" s="108">
        <f t="shared" si="3"/>
        <v>0.11126715335027226</v>
      </c>
      <c r="AK29" s="108">
        <f t="shared" si="3"/>
        <v>-2.8117351003184909E-2</v>
      </c>
      <c r="AL29" s="108">
        <f t="shared" si="3"/>
        <v>-8.6611674363714197E-2</v>
      </c>
      <c r="AM29" s="108">
        <f t="shared" si="3"/>
        <v>-0.12441674222655874</v>
      </c>
      <c r="AN29" s="108">
        <f t="shared" si="3"/>
        <v>-0.14488379810467433</v>
      </c>
      <c r="AO29" s="108">
        <f t="shared" si="3"/>
        <v>-0.15777418448226099</v>
      </c>
      <c r="AP29" s="108">
        <f t="shared" si="3"/>
        <v>-0.16389647272099106</v>
      </c>
    </row>
    <row r="30" spans="1:42">
      <c r="A30" s="525" t="str">
        <f>Consolidation!A32</f>
        <v>Total Adj. EBITDA</v>
      </c>
      <c r="B30" s="526">
        <f>Consolidation!B32</f>
        <v>383</v>
      </c>
      <c r="C30" s="526">
        <f>Consolidation!C32</f>
        <v>527</v>
      </c>
      <c r="D30" s="526">
        <f>Consolidation!D32</f>
        <v>551</v>
      </c>
      <c r="E30" s="526">
        <f>Consolidation!E32</f>
        <v>668.61399999999992</v>
      </c>
      <c r="F30" s="535">
        <f>Consolidation!F32</f>
        <v>819.01400000000001</v>
      </c>
      <c r="G30" s="535">
        <f>Consolidation!G32</f>
        <v>926.39599999999996</v>
      </c>
      <c r="H30" s="535">
        <f>Consolidation!H32</f>
        <v>1031.386</v>
      </c>
      <c r="I30" s="535">
        <f>Consolidation!I32</f>
        <v>1132.5350000000001</v>
      </c>
      <c r="J30" s="535">
        <f>Consolidation!J32</f>
        <v>928.35399999999993</v>
      </c>
      <c r="K30" s="535">
        <f>Consolidation!K32</f>
        <v>998.65849699308114</v>
      </c>
      <c r="L30" s="535">
        <f>Consolidation!L32</f>
        <v>1051.2963469177898</v>
      </c>
      <c r="M30" s="535">
        <f>Consolidation!M32</f>
        <v>1136.8872381829219</v>
      </c>
      <c r="N30" s="535">
        <f>Consolidation!N32</f>
        <v>1215.7125917450928</v>
      </c>
      <c r="O30" s="535">
        <f>Consolidation!O32</f>
        <v>1299.9171313615789</v>
      </c>
      <c r="P30" s="535">
        <f>Consolidation!P32</f>
        <v>1387.4387083095012</v>
      </c>
      <c r="Q30" s="154"/>
      <c r="R30" s="774" t="s">
        <v>642</v>
      </c>
      <c r="S30" s="775">
        <v>383</v>
      </c>
      <c r="T30" s="775">
        <v>527</v>
      </c>
      <c r="U30" s="775">
        <v>551</v>
      </c>
      <c r="V30" s="775">
        <v>668.61399999999992</v>
      </c>
      <c r="W30" s="783">
        <v>819.01400000000001</v>
      </c>
      <c r="X30" s="783">
        <v>926.39599999999996</v>
      </c>
      <c r="Y30" s="783">
        <v>1031.386</v>
      </c>
      <c r="Z30" s="783">
        <v>1132.5350000000001</v>
      </c>
      <c r="AA30" s="783">
        <v>919.09339522685912</v>
      </c>
      <c r="AB30" s="783">
        <v>970.23549115549156</v>
      </c>
      <c r="AC30" s="783">
        <v>1083.9888834466378</v>
      </c>
      <c r="AD30" s="783">
        <v>1187.3318974443612</v>
      </c>
      <c r="AE30" s="783">
        <v>1276.5380014369191</v>
      </c>
      <c r="AF30" s="783">
        <v>1360.8793777324399</v>
      </c>
      <c r="AG30" s="783">
        <v>1439.3865013763718</v>
      </c>
      <c r="AI30" s="114" t="str">
        <f t="shared" si="2"/>
        <v>Total Adj. EBITDA</v>
      </c>
      <c r="AJ30" s="417">
        <f t="shared" si="3"/>
        <v>1.0075803853268894E-2</v>
      </c>
      <c r="AK30" s="417">
        <f t="shared" si="3"/>
        <v>2.9294955808861989E-2</v>
      </c>
      <c r="AL30" s="417">
        <f t="shared" si="3"/>
        <v>-3.0159475828662741E-2</v>
      </c>
      <c r="AM30" s="417">
        <f t="shared" si="3"/>
        <v>-4.2485727343818058E-2</v>
      </c>
      <c r="AN30" s="417">
        <f t="shared" si="3"/>
        <v>-4.7648726182345502E-2</v>
      </c>
      <c r="AO30" s="417">
        <f t="shared" si="3"/>
        <v>-4.479621586480298E-2</v>
      </c>
      <c r="AP30" s="417">
        <f t="shared" si="3"/>
        <v>-3.6090232204621264E-2</v>
      </c>
    </row>
    <row r="31" spans="1:42">
      <c r="A31" s="154" t="str">
        <f>Consolidation!A33</f>
        <v>EBITDA margin</v>
      </c>
      <c r="B31" s="467">
        <f>Consolidation!B33</f>
        <v>0.4227373068432671</v>
      </c>
      <c r="C31" s="467">
        <f>Consolidation!C33</f>
        <v>0.47606142728093948</v>
      </c>
      <c r="D31" s="467">
        <f>Consolidation!D33</f>
        <v>0.47186777425708654</v>
      </c>
      <c r="E31" s="467">
        <f>Consolidation!E33</f>
        <v>0.54312232749769296</v>
      </c>
      <c r="F31" s="467">
        <f>Consolidation!F33</f>
        <v>0.58369335456163884</v>
      </c>
      <c r="G31" s="467">
        <f>Consolidation!G33</f>
        <v>0.58642679445221657</v>
      </c>
      <c r="H31" s="467">
        <f>Consolidation!H33</f>
        <v>0.52586882469220642</v>
      </c>
      <c r="I31" s="467">
        <f>Consolidation!I33</f>
        <v>0.5328224981992804</v>
      </c>
      <c r="J31" s="467">
        <f>Consolidation!J33</f>
        <v>0.54250843693845052</v>
      </c>
      <c r="K31" s="467">
        <f>Consolidation!K33</f>
        <v>0.57883926369570449</v>
      </c>
      <c r="L31" s="467">
        <f>Consolidation!L33</f>
        <v>0.58535110135068658</v>
      </c>
      <c r="M31" s="467">
        <f>Consolidation!M33</f>
        <v>0.59253939183415827</v>
      </c>
      <c r="N31" s="467">
        <f>Consolidation!N33</f>
        <v>0.59744674336604575</v>
      </c>
      <c r="O31" s="467">
        <f>Consolidation!O33</f>
        <v>0.60236579082360009</v>
      </c>
      <c r="P31" s="467">
        <f>Consolidation!P33</f>
        <v>0.60716757894871554</v>
      </c>
      <c r="Q31" s="154"/>
      <c r="R31" s="767" t="s">
        <v>15</v>
      </c>
      <c r="S31" s="777">
        <v>0.4227373068432671</v>
      </c>
      <c r="T31" s="777">
        <v>0.47606142728093948</v>
      </c>
      <c r="U31" s="777">
        <v>0.47186777425708654</v>
      </c>
      <c r="V31" s="777">
        <v>0.54312232749769296</v>
      </c>
      <c r="W31" s="777">
        <v>0.58369335456163884</v>
      </c>
      <c r="X31" s="777">
        <v>0.58642679445221657</v>
      </c>
      <c r="Y31" s="777">
        <v>0.52586882469220642</v>
      </c>
      <c r="Z31" s="777">
        <v>0.5328224981992804</v>
      </c>
      <c r="AA31" s="777">
        <v>0.54357187209876834</v>
      </c>
      <c r="AB31" s="777">
        <v>0.54354966109179603</v>
      </c>
      <c r="AC31" s="777">
        <v>0.54770786762820045</v>
      </c>
      <c r="AD31" s="777">
        <v>0.55044274316569297</v>
      </c>
      <c r="AE31" s="777">
        <v>0.55260322951827967</v>
      </c>
      <c r="AF31" s="777">
        <v>0.55472613632381229</v>
      </c>
      <c r="AG31" s="777">
        <v>0.55680482738499315</v>
      </c>
    </row>
    <row r="32" spans="1:42">
      <c r="A32" s="154" t="str">
        <f>Consolidation!A34</f>
        <v>YoY</v>
      </c>
      <c r="B32" s="154">
        <f>Consolidation!B34</f>
        <v>0</v>
      </c>
      <c r="C32" s="157">
        <f>Consolidation!C34</f>
        <v>0.37597911227154057</v>
      </c>
      <c r="D32" s="157">
        <f>Consolidation!D34</f>
        <v>4.5540796963946972E-2</v>
      </c>
      <c r="E32" s="157">
        <f>Consolidation!E34</f>
        <v>0.21345553539019946</v>
      </c>
      <c r="F32" s="157">
        <f>Consolidation!F34</f>
        <v>0.22494294166738982</v>
      </c>
      <c r="G32" s="157">
        <f>Consolidation!G34</f>
        <v>0.13111131189454639</v>
      </c>
      <c r="H32" s="157">
        <f>Consolidation!H34</f>
        <v>0.11333166378093162</v>
      </c>
      <c r="I32" s="157">
        <f>Consolidation!I34</f>
        <v>9.8070945310485325E-2</v>
      </c>
      <c r="J32" s="157">
        <f>Consolidation!J34</f>
        <v>-0.18028670195623109</v>
      </c>
      <c r="K32" s="157">
        <f>Consolidation!K34</f>
        <v>7.5730267756783709E-2</v>
      </c>
      <c r="L32" s="157">
        <f>Consolidation!L34</f>
        <v>5.270855861458057E-2</v>
      </c>
      <c r="M32" s="157">
        <f>Consolidation!M34</f>
        <v>8.1414618738159916E-2</v>
      </c>
      <c r="N32" s="157">
        <f>Consolidation!N34</f>
        <v>6.9334363967491486E-2</v>
      </c>
      <c r="O32" s="157">
        <f>Consolidation!O34</f>
        <v>6.9263525103095969E-2</v>
      </c>
      <c r="P32" s="157">
        <f>Consolidation!P34</f>
        <v>6.7328581827557743E-2</v>
      </c>
      <c r="Q32" s="154"/>
      <c r="R32" s="767" t="s">
        <v>633</v>
      </c>
      <c r="S32" s="767">
        <v>0</v>
      </c>
      <c r="T32" s="776">
        <v>0.37597911227154057</v>
      </c>
      <c r="U32" s="776">
        <v>4.5540796963946972E-2</v>
      </c>
      <c r="V32" s="776">
        <v>0.21345553539019946</v>
      </c>
      <c r="W32" s="776">
        <v>0.22494294166738982</v>
      </c>
      <c r="X32" s="776">
        <v>0.13111131189454639</v>
      </c>
      <c r="Y32" s="776">
        <v>0.11333166378093162</v>
      </c>
      <c r="Z32" s="776">
        <v>9.8070945310485325E-2</v>
      </c>
      <c r="AA32" s="776">
        <v>-0.18846358370658822</v>
      </c>
      <c r="AB32" s="776">
        <v>5.5644068594366436E-2</v>
      </c>
      <c r="AC32" s="776">
        <v>0.11724307482884688</v>
      </c>
      <c r="AD32" s="776">
        <v>9.5335861442725545E-2</v>
      </c>
      <c r="AE32" s="776">
        <v>7.5131565305848413E-2</v>
      </c>
      <c r="AF32" s="776">
        <v>6.6070399941547286E-2</v>
      </c>
      <c r="AG32" s="776">
        <v>5.7688524735193036E-2</v>
      </c>
    </row>
    <row r="33" spans="1:33">
      <c r="A33" s="530" t="str">
        <f>Consolidation!A35</f>
        <v>Guidance</v>
      </c>
      <c r="B33" s="530">
        <f>Consolidation!B35</f>
        <v>0</v>
      </c>
      <c r="C33" s="530">
        <f>Consolidation!C35</f>
        <v>0</v>
      </c>
      <c r="D33" s="530">
        <f>Consolidation!D35</f>
        <v>0</v>
      </c>
      <c r="E33" s="530">
        <f>Consolidation!E35</f>
        <v>0</v>
      </c>
      <c r="F33" s="530">
        <f>Consolidation!F35</f>
        <v>0</v>
      </c>
      <c r="G33" s="531">
        <f>Consolidation!G35</f>
        <v>0</v>
      </c>
      <c r="H33" s="531">
        <f>Consolidation!H35</f>
        <v>0</v>
      </c>
      <c r="I33" s="531">
        <f>Consolidation!I35</f>
        <v>0</v>
      </c>
      <c r="J33" s="531">
        <f>Consolidation!J35</f>
        <v>0</v>
      </c>
      <c r="K33" s="531" t="str">
        <f>Consolidation!K35</f>
        <v>985-1005</v>
      </c>
      <c r="L33" s="531">
        <f>Consolidation!L35</f>
        <v>0</v>
      </c>
      <c r="M33" s="154">
        <f>Consolidation!M35</f>
        <v>0</v>
      </c>
      <c r="N33" s="154">
        <f>Consolidation!N35</f>
        <v>0</v>
      </c>
      <c r="O33" s="154">
        <f>Consolidation!O35</f>
        <v>0</v>
      </c>
      <c r="P33" s="154">
        <f>Consolidation!P36</f>
        <v>985</v>
      </c>
      <c r="Q33" s="154"/>
      <c r="R33" s="767" t="s">
        <v>648</v>
      </c>
      <c r="S33" s="767">
        <v>0</v>
      </c>
      <c r="T33" s="767">
        <v>0</v>
      </c>
      <c r="U33" s="767">
        <v>0</v>
      </c>
      <c r="V33" s="767">
        <v>0</v>
      </c>
      <c r="W33" s="767">
        <v>0</v>
      </c>
      <c r="X33" s="778">
        <v>0</v>
      </c>
      <c r="Y33" s="778">
        <v>0</v>
      </c>
      <c r="Z33" s="778">
        <v>0</v>
      </c>
      <c r="AA33" s="778" t="s">
        <v>1046</v>
      </c>
      <c r="AB33" s="778">
        <v>0</v>
      </c>
      <c r="AC33" s="778">
        <v>0</v>
      </c>
      <c r="AD33" s="767">
        <v>0</v>
      </c>
      <c r="AE33" s="767">
        <v>0</v>
      </c>
      <c r="AF33" s="767">
        <v>0</v>
      </c>
      <c r="AG33" s="767">
        <v>0</v>
      </c>
    </row>
    <row r="34" spans="1:33">
      <c r="A34" s="530" t="str">
        <f>Consolidation!A36</f>
        <v>Consensus</v>
      </c>
      <c r="B34" s="530">
        <f>Consolidation!B36</f>
        <v>0</v>
      </c>
      <c r="C34" s="530">
        <f>Consolidation!C36</f>
        <v>0</v>
      </c>
      <c r="D34" s="530">
        <f>Consolidation!D36</f>
        <v>0</v>
      </c>
      <c r="E34" s="530">
        <f>Consolidation!E36</f>
        <v>0</v>
      </c>
      <c r="F34" s="530">
        <f>Consolidation!F36</f>
        <v>0</v>
      </c>
      <c r="G34" s="531">
        <f>Consolidation!G36</f>
        <v>0</v>
      </c>
      <c r="H34" s="531">
        <f>Consolidation!H36</f>
        <v>0</v>
      </c>
      <c r="I34" s="531">
        <f>Consolidation!I36</f>
        <v>0</v>
      </c>
      <c r="J34" s="531">
        <f>Consolidation!J36</f>
        <v>0</v>
      </c>
      <c r="K34" s="531">
        <f>Consolidation!K36</f>
        <v>995.59516268575396</v>
      </c>
      <c r="L34" s="531">
        <f>Consolidation!L36</f>
        <v>1043.2099968616801</v>
      </c>
      <c r="M34" s="154">
        <f>Consolidation!M36</f>
        <v>1128.01600044461</v>
      </c>
      <c r="N34" s="154">
        <f>Consolidation!N36</f>
        <v>0</v>
      </c>
      <c r="O34" s="154">
        <f>Consolidation!O36</f>
        <v>0</v>
      </c>
      <c r="P34" s="154" t="e">
        <f>Consolidation!#REF!</f>
        <v>#REF!</v>
      </c>
      <c r="Q34" s="154"/>
      <c r="R34" s="767" t="s">
        <v>637</v>
      </c>
      <c r="S34" s="767">
        <v>0</v>
      </c>
      <c r="T34" s="767">
        <v>0</v>
      </c>
      <c r="U34" s="767">
        <v>0</v>
      </c>
      <c r="V34" s="767">
        <v>0</v>
      </c>
      <c r="W34" s="767">
        <v>0</v>
      </c>
      <c r="X34" s="778">
        <v>0</v>
      </c>
      <c r="Y34" s="778">
        <v>0</v>
      </c>
      <c r="Z34" s="778">
        <v>0</v>
      </c>
      <c r="AA34" s="778">
        <v>912.2</v>
      </c>
      <c r="AB34" s="778">
        <v>959</v>
      </c>
      <c r="AC34" s="778">
        <v>1070</v>
      </c>
      <c r="AD34" s="767">
        <v>0</v>
      </c>
      <c r="AE34" s="767">
        <v>0</v>
      </c>
      <c r="AF34" s="767">
        <v>0</v>
      </c>
      <c r="AG34" s="767">
        <v>0</v>
      </c>
    </row>
    <row r="35" spans="1:33">
      <c r="A35" s="530" t="str">
        <f>Consolidation!A37</f>
        <v>Diff.</v>
      </c>
      <c r="B35" s="530">
        <f>Consolidation!B37</f>
        <v>0</v>
      </c>
      <c r="C35" s="530">
        <f>Consolidation!C37</f>
        <v>0</v>
      </c>
      <c r="D35" s="530">
        <f>Consolidation!D37</f>
        <v>0</v>
      </c>
      <c r="E35" s="530">
        <f>Consolidation!E37</f>
        <v>0</v>
      </c>
      <c r="F35" s="530">
        <f>Consolidation!F37</f>
        <v>0</v>
      </c>
      <c r="G35" s="531">
        <f>Consolidation!G37</f>
        <v>0</v>
      </c>
      <c r="H35" s="536">
        <f>Consolidation!H37</f>
        <v>0</v>
      </c>
      <c r="I35" s="536">
        <f>Consolidation!I37</f>
        <v>0</v>
      </c>
      <c r="J35" s="536">
        <f>Consolidation!J37</f>
        <v>0</v>
      </c>
      <c r="K35" s="536">
        <f>Consolidation!K37</f>
        <v>3.076887496182179E-3</v>
      </c>
      <c r="L35" s="536">
        <f>Consolidation!L37</f>
        <v>7.7514115858130506E-3</v>
      </c>
      <c r="M35" s="154">
        <f>Consolidation!M37</f>
        <v>7.8644609073057481E-3</v>
      </c>
      <c r="N35" s="154">
        <f>Consolidation!N37</f>
        <v>0</v>
      </c>
      <c r="O35" s="154">
        <f>Consolidation!O37</f>
        <v>0</v>
      </c>
      <c r="P35" s="154">
        <f>Consolidation!P37</f>
        <v>2.6041666666666741E-2</v>
      </c>
      <c r="Q35" s="154"/>
      <c r="R35" s="767" t="s">
        <v>638</v>
      </c>
      <c r="S35" s="767">
        <v>0</v>
      </c>
      <c r="T35" s="767">
        <v>0</v>
      </c>
      <c r="U35" s="767">
        <v>0</v>
      </c>
      <c r="V35" s="767">
        <v>0</v>
      </c>
      <c r="W35" s="767">
        <v>0</v>
      </c>
      <c r="X35" s="778">
        <v>0</v>
      </c>
      <c r="Y35" s="784">
        <v>0</v>
      </c>
      <c r="Z35" s="784">
        <v>0</v>
      </c>
      <c r="AA35" s="784">
        <v>7.5568901851119641E-3</v>
      </c>
      <c r="AB35" s="784">
        <v>1.1715840620950546E-2</v>
      </c>
      <c r="AC35" s="784">
        <v>1.3073722847324998E-2</v>
      </c>
      <c r="AD35" s="767">
        <v>0</v>
      </c>
      <c r="AE35" s="767">
        <v>0</v>
      </c>
      <c r="AF35" s="767">
        <v>0</v>
      </c>
      <c r="AG35" s="767">
        <v>0</v>
      </c>
    </row>
    <row r="36" spans="1:33">
      <c r="A36" s="154">
        <f>Consolidation!A38</f>
        <v>0</v>
      </c>
      <c r="B36" s="154">
        <f>Consolidation!B38</f>
        <v>0</v>
      </c>
      <c r="C36" s="154">
        <f>Consolidation!C38</f>
        <v>0</v>
      </c>
      <c r="D36" s="154">
        <f>Consolidation!D38</f>
        <v>0</v>
      </c>
      <c r="E36" s="154">
        <f>Consolidation!E38</f>
        <v>0</v>
      </c>
      <c r="F36" s="154">
        <f>Consolidation!F38</f>
        <v>0</v>
      </c>
      <c r="G36" s="154">
        <f>Consolidation!G38</f>
        <v>0</v>
      </c>
      <c r="H36" s="154">
        <f>Consolidation!H38</f>
        <v>0</v>
      </c>
      <c r="I36" s="537">
        <f>Consolidation!I38</f>
        <v>0</v>
      </c>
      <c r="J36" s="537">
        <f>Consolidation!J38</f>
        <v>0</v>
      </c>
      <c r="K36" s="537">
        <f>Consolidation!K38</f>
        <v>0</v>
      </c>
      <c r="L36" s="537">
        <f>Consolidation!L38</f>
        <v>0</v>
      </c>
      <c r="M36" s="537">
        <f>Consolidation!M38</f>
        <v>0</v>
      </c>
      <c r="N36" s="537">
        <f>Consolidation!N38</f>
        <v>0</v>
      </c>
      <c r="O36" s="537">
        <f>Consolidation!O38</f>
        <v>0</v>
      </c>
      <c r="P36" s="537">
        <f>Consolidation!P38</f>
        <v>0</v>
      </c>
      <c r="Q36" s="154"/>
      <c r="R36" s="767">
        <v>0</v>
      </c>
      <c r="S36" s="767">
        <v>0</v>
      </c>
      <c r="T36" s="767">
        <v>0</v>
      </c>
      <c r="U36" s="767">
        <v>0</v>
      </c>
      <c r="V36" s="767">
        <v>0</v>
      </c>
      <c r="W36" s="767">
        <v>0</v>
      </c>
      <c r="X36" s="767">
        <v>0</v>
      </c>
      <c r="Y36" s="767">
        <v>0</v>
      </c>
      <c r="Z36" s="785">
        <v>0</v>
      </c>
      <c r="AA36" s="785">
        <v>0</v>
      </c>
      <c r="AB36" s="785">
        <v>0</v>
      </c>
      <c r="AC36" s="785">
        <v>0</v>
      </c>
      <c r="AD36" s="785">
        <v>0</v>
      </c>
      <c r="AE36" s="785">
        <v>0</v>
      </c>
      <c r="AF36" s="785">
        <v>0</v>
      </c>
      <c r="AG36" s="785">
        <v>0</v>
      </c>
    </row>
    <row r="37" spans="1:33">
      <c r="A37" s="154" t="e">
        <f>Consolidation!#REF!</f>
        <v>#REF!</v>
      </c>
      <c r="B37" s="154" t="e">
        <f>Consolidation!#REF!</f>
        <v>#REF!</v>
      </c>
      <c r="C37" s="154" t="e">
        <f>Consolidation!#REF!</f>
        <v>#REF!</v>
      </c>
      <c r="D37" s="154" t="e">
        <f>Consolidation!#REF!</f>
        <v>#REF!</v>
      </c>
      <c r="E37" s="154" t="e">
        <f>Consolidation!#REF!</f>
        <v>#REF!</v>
      </c>
      <c r="F37" s="154" t="e">
        <f>Consolidation!#REF!</f>
        <v>#REF!</v>
      </c>
      <c r="G37" s="154" t="e">
        <f>Consolidation!#REF!</f>
        <v>#REF!</v>
      </c>
      <c r="H37" s="154" t="e">
        <f>Consolidation!#REF!</f>
        <v>#REF!</v>
      </c>
      <c r="I37" s="537" t="e">
        <f>Consolidation!#REF!</f>
        <v>#REF!</v>
      </c>
      <c r="J37" s="537" t="e">
        <f>Consolidation!#REF!</f>
        <v>#REF!</v>
      </c>
      <c r="K37" s="537" t="e">
        <f>Consolidation!#REF!</f>
        <v>#REF!</v>
      </c>
      <c r="L37" s="537" t="e">
        <f>Consolidation!#REF!</f>
        <v>#REF!</v>
      </c>
      <c r="M37" s="537" t="e">
        <f>Consolidation!#REF!</f>
        <v>#REF!</v>
      </c>
      <c r="N37" s="537" t="e">
        <f>Consolidation!#REF!</f>
        <v>#REF!</v>
      </c>
      <c r="O37" s="537" t="e">
        <f>Consolidation!#REF!</f>
        <v>#REF!</v>
      </c>
      <c r="P37" s="537" t="e">
        <f>Consolidation!#REF!</f>
        <v>#REF!</v>
      </c>
      <c r="Q37" s="154"/>
      <c r="R37" s="767">
        <v>0</v>
      </c>
      <c r="S37" s="767">
        <v>0</v>
      </c>
      <c r="T37" s="767">
        <v>0</v>
      </c>
      <c r="U37" s="767">
        <v>0</v>
      </c>
      <c r="V37" s="767">
        <v>0</v>
      </c>
      <c r="W37" s="767">
        <v>0</v>
      </c>
      <c r="X37" s="767">
        <v>0</v>
      </c>
      <c r="Y37" s="767">
        <v>0</v>
      </c>
      <c r="Z37" s="785">
        <v>0</v>
      </c>
      <c r="AA37" s="785">
        <v>0</v>
      </c>
      <c r="AB37" s="785">
        <v>0</v>
      </c>
      <c r="AC37" s="785">
        <v>0</v>
      </c>
      <c r="AD37" s="785">
        <v>0</v>
      </c>
      <c r="AE37" s="785">
        <v>0</v>
      </c>
      <c r="AF37" s="785">
        <v>0</v>
      </c>
      <c r="AG37" s="785">
        <v>0</v>
      </c>
    </row>
    <row r="38" spans="1:33">
      <c r="A38" s="154" t="str">
        <f>Consolidation!A52</f>
        <v>Segment Adjusted EBITDA</v>
      </c>
      <c r="B38" s="154">
        <f>Consolidation!B52</f>
        <v>0</v>
      </c>
      <c r="C38" s="154">
        <f>Consolidation!C52</f>
        <v>0</v>
      </c>
      <c r="D38" s="154">
        <f>Consolidation!D52</f>
        <v>0</v>
      </c>
      <c r="E38" s="523">
        <f>Consolidation!E52</f>
        <v>668.61399999999992</v>
      </c>
      <c r="F38" s="523">
        <f>Consolidation!F52</f>
        <v>819.01400000000001</v>
      </c>
      <c r="G38" s="523">
        <f>Consolidation!G52</f>
        <v>926.39599999999996</v>
      </c>
      <c r="H38" s="523">
        <f>Consolidation!H52</f>
        <v>1031.386</v>
      </c>
      <c r="I38" s="523">
        <f>Consolidation!I52</f>
        <v>1132.5350000000001</v>
      </c>
      <c r="J38" s="523">
        <f>Consolidation!J52</f>
        <v>928.35399999999993</v>
      </c>
      <c r="K38" s="523">
        <f>Consolidation!K52</f>
        <v>998.65849699308114</v>
      </c>
      <c r="L38" s="523">
        <f>Consolidation!L52</f>
        <v>1051.2963469177898</v>
      </c>
      <c r="M38" s="523">
        <f>Consolidation!M52</f>
        <v>1136.8872381829219</v>
      </c>
      <c r="N38" s="523">
        <f>Consolidation!N52</f>
        <v>1215.7125917450928</v>
      </c>
      <c r="O38" s="523">
        <f>Consolidation!O52</f>
        <v>1299.9171313615789</v>
      </c>
      <c r="P38" s="523">
        <f>Consolidation!P52</f>
        <v>1387.4387083095012</v>
      </c>
      <c r="Q38" s="154"/>
      <c r="R38" s="767" t="s">
        <v>288</v>
      </c>
      <c r="S38" s="767">
        <v>0</v>
      </c>
      <c r="T38" s="767">
        <v>0</v>
      </c>
      <c r="U38" s="767">
        <v>0</v>
      </c>
      <c r="V38" s="773">
        <v>668.61399999999992</v>
      </c>
      <c r="W38" s="773">
        <v>819.01400000000001</v>
      </c>
      <c r="X38" s="773">
        <v>926.39599999999996</v>
      </c>
      <c r="Y38" s="773">
        <v>1031.386</v>
      </c>
      <c r="Z38" s="773">
        <v>1132.5350000000001</v>
      </c>
      <c r="AA38" s="773">
        <v>919.09339522685912</v>
      </c>
      <c r="AB38" s="773">
        <v>970.23549115549156</v>
      </c>
      <c r="AC38" s="773">
        <v>1083.9888834466378</v>
      </c>
      <c r="AD38" s="773">
        <v>1187.3318974443612</v>
      </c>
      <c r="AE38" s="773">
        <v>1276.5380014369191</v>
      </c>
      <c r="AF38" s="773">
        <v>1360.8793777324399</v>
      </c>
      <c r="AG38" s="773">
        <v>1439.3865013763718</v>
      </c>
    </row>
    <row r="39" spans="1:33">
      <c r="A39" s="154" t="str">
        <f>Consolidation!A53</f>
        <v>Net gain/loss on disposal of PPE</v>
      </c>
      <c r="B39" s="154">
        <f>Consolidation!B53</f>
        <v>0</v>
      </c>
      <c r="C39" s="154">
        <f>Consolidation!C53</f>
        <v>0</v>
      </c>
      <c r="D39" s="154">
        <f>Consolidation!D53</f>
        <v>0</v>
      </c>
      <c r="E39" s="522">
        <f>Consolidation!E53</f>
        <v>-5.819</v>
      </c>
      <c r="F39" s="522">
        <f>Consolidation!F53</f>
        <v>0.76400000000000001</v>
      </c>
      <c r="G39" s="522">
        <f>Consolidation!G53</f>
        <v>2.4990000000000001</v>
      </c>
      <c r="H39" s="522">
        <f>Consolidation!H53</f>
        <v>-3.3820000000000001</v>
      </c>
      <c r="I39" s="522">
        <f>Consolidation!I53</f>
        <v>3.806</v>
      </c>
      <c r="J39" s="523">
        <f>Consolidation!J53</f>
        <v>-20.163</v>
      </c>
      <c r="K39" s="523">
        <f>Consolidation!K53</f>
        <v>0</v>
      </c>
      <c r="L39" s="523">
        <f>Consolidation!L53</f>
        <v>0</v>
      </c>
      <c r="M39" s="523">
        <f>Consolidation!M53</f>
        <v>0</v>
      </c>
      <c r="N39" s="523">
        <f>Consolidation!N53</f>
        <v>0</v>
      </c>
      <c r="O39" s="523">
        <f>Consolidation!O53</f>
        <v>0</v>
      </c>
      <c r="P39" s="523">
        <f>Consolidation!P53</f>
        <v>0</v>
      </c>
      <c r="Q39" s="154"/>
      <c r="R39" s="767" t="s">
        <v>289</v>
      </c>
      <c r="S39" s="767">
        <v>0</v>
      </c>
      <c r="T39" s="767">
        <v>0</v>
      </c>
      <c r="U39" s="767">
        <v>0</v>
      </c>
      <c r="V39" s="773">
        <v>-5.819</v>
      </c>
      <c r="W39" s="773">
        <v>0.76400000000000001</v>
      </c>
      <c r="X39" s="773">
        <v>2.4990000000000001</v>
      </c>
      <c r="Y39" s="773">
        <v>-3.3820000000000001</v>
      </c>
      <c r="Z39" s="773">
        <v>3.806</v>
      </c>
      <c r="AA39" s="773">
        <v>0</v>
      </c>
      <c r="AB39" s="773">
        <v>0</v>
      </c>
      <c r="AC39" s="773">
        <v>0</v>
      </c>
      <c r="AD39" s="773">
        <v>0</v>
      </c>
      <c r="AE39" s="773">
        <v>0</v>
      </c>
      <c r="AF39" s="773">
        <v>0</v>
      </c>
      <c r="AG39" s="773">
        <v>0</v>
      </c>
    </row>
    <row r="40" spans="1:33">
      <c r="A40" s="154" t="str">
        <f>Consolidation!A54</f>
        <v>Insurance claims</v>
      </c>
      <c r="B40" s="154">
        <f>Consolidation!B54</f>
        <v>0</v>
      </c>
      <c r="C40" s="154">
        <f>Consolidation!C54</f>
        <v>0</v>
      </c>
      <c r="D40" s="154">
        <f>Consolidation!D54</f>
        <v>0</v>
      </c>
      <c r="E40" s="522">
        <f>Consolidation!E54</f>
        <v>3.6070000000000002</v>
      </c>
      <c r="F40" s="522">
        <f>Consolidation!F54</f>
        <v>14.987</v>
      </c>
      <c r="G40" s="522">
        <f>Consolidation!G54</f>
        <v>6.8609999999999998</v>
      </c>
      <c r="H40" s="522">
        <f>Consolidation!H54</f>
        <v>2.0920000000000001</v>
      </c>
      <c r="I40" s="522">
        <f>Consolidation!I54</f>
        <v>8.3000000000000004E-2</v>
      </c>
      <c r="J40" s="523">
        <f>Consolidation!J54</f>
        <v>7.2999999999999995E-2</v>
      </c>
      <c r="K40" s="523">
        <f>Consolidation!K54</f>
        <v>0</v>
      </c>
      <c r="L40" s="523">
        <f>Consolidation!L54</f>
        <v>0</v>
      </c>
      <c r="M40" s="523">
        <f>Consolidation!M54</f>
        <v>0</v>
      </c>
      <c r="N40" s="523">
        <f>Consolidation!N54</f>
        <v>0</v>
      </c>
      <c r="O40" s="523">
        <f>Consolidation!O54</f>
        <v>0</v>
      </c>
      <c r="P40" s="523">
        <f>Consolidation!P54</f>
        <v>0</v>
      </c>
      <c r="Q40" s="154"/>
      <c r="R40" s="767" t="s">
        <v>290</v>
      </c>
      <c r="S40" s="767">
        <v>0</v>
      </c>
      <c r="T40" s="767">
        <v>0</v>
      </c>
      <c r="U40" s="767">
        <v>0</v>
      </c>
      <c r="V40" s="773">
        <v>3.6070000000000002</v>
      </c>
      <c r="W40" s="773">
        <v>14.987</v>
      </c>
      <c r="X40" s="773">
        <v>6.8609999999999998</v>
      </c>
      <c r="Y40" s="773">
        <v>2.0920000000000001</v>
      </c>
      <c r="Z40" s="773">
        <v>8.3000000000000004E-2</v>
      </c>
      <c r="AA40" s="773">
        <v>0</v>
      </c>
      <c r="AB40" s="773">
        <v>0</v>
      </c>
      <c r="AC40" s="773">
        <v>0</v>
      </c>
      <c r="AD40" s="773">
        <v>0</v>
      </c>
      <c r="AE40" s="773">
        <v>0</v>
      </c>
      <c r="AF40" s="773">
        <v>0</v>
      </c>
      <c r="AG40" s="773">
        <v>0</v>
      </c>
    </row>
    <row r="41" spans="1:33">
      <c r="A41" s="154" t="str">
        <f>Consolidation!A55</f>
        <v>Impairment of WHT receivables</v>
      </c>
      <c r="B41" s="154">
        <f>Consolidation!B55</f>
        <v>0</v>
      </c>
      <c r="C41" s="154">
        <f>Consolidation!C55</f>
        <v>0</v>
      </c>
      <c r="D41" s="154">
        <f>Consolidation!D55</f>
        <v>0</v>
      </c>
      <c r="E41" s="522">
        <f>Consolidation!E55</f>
        <v>-44.585999999999999</v>
      </c>
      <c r="F41" s="522">
        <f>Consolidation!F55</f>
        <v>-31.533000000000001</v>
      </c>
      <c r="G41" s="522">
        <f>Consolidation!G55</f>
        <v>-61.81</v>
      </c>
      <c r="H41" s="522">
        <f>Consolidation!H55</f>
        <v>-52.334000000000003</v>
      </c>
      <c r="I41" s="522">
        <f>Consolidation!I55</f>
        <v>-47.991999999999997</v>
      </c>
      <c r="J41" s="523">
        <f>Consolidation!J55</f>
        <v>-1.081</v>
      </c>
      <c r="K41" s="523">
        <f>Consolidation!K55</f>
        <v>0</v>
      </c>
      <c r="L41" s="523">
        <f>Consolidation!L55</f>
        <v>0</v>
      </c>
      <c r="M41" s="523">
        <f>Consolidation!M55</f>
        <v>0</v>
      </c>
      <c r="N41" s="523">
        <f>Consolidation!N55</f>
        <v>0</v>
      </c>
      <c r="O41" s="523">
        <f>Consolidation!O55</f>
        <v>0</v>
      </c>
      <c r="P41" s="523">
        <f>Consolidation!P55</f>
        <v>0</v>
      </c>
      <c r="Q41" s="154"/>
      <c r="R41" s="767" t="s">
        <v>291</v>
      </c>
      <c r="S41" s="767">
        <v>0</v>
      </c>
      <c r="T41" s="767">
        <v>0</v>
      </c>
      <c r="U41" s="767">
        <v>0</v>
      </c>
      <c r="V41" s="773">
        <v>-44.585999999999999</v>
      </c>
      <c r="W41" s="773">
        <v>-31.533000000000001</v>
      </c>
      <c r="X41" s="773">
        <v>-61.81</v>
      </c>
      <c r="Y41" s="773">
        <v>-52.334000000000003</v>
      </c>
      <c r="Z41" s="773">
        <v>-47.991999999999997</v>
      </c>
      <c r="AA41" s="773">
        <v>0</v>
      </c>
      <c r="AB41" s="773">
        <v>0</v>
      </c>
      <c r="AC41" s="773">
        <v>0</v>
      </c>
      <c r="AD41" s="773">
        <v>0</v>
      </c>
      <c r="AE41" s="773">
        <v>0</v>
      </c>
      <c r="AF41" s="773">
        <v>0</v>
      </c>
      <c r="AG41" s="773">
        <v>0</v>
      </c>
    </row>
    <row r="42" spans="1:33">
      <c r="A42" s="154" t="str">
        <f>Consolidation!A56</f>
        <v>Impairment of Goodwill</v>
      </c>
      <c r="B42" s="154">
        <f>Consolidation!B56</f>
        <v>0</v>
      </c>
      <c r="C42" s="154">
        <f>Consolidation!C56</f>
        <v>0</v>
      </c>
      <c r="D42" s="154">
        <f>Consolidation!D56</f>
        <v>0</v>
      </c>
      <c r="E42" s="522">
        <f>Consolidation!E56</f>
        <v>0</v>
      </c>
      <c r="F42" s="522">
        <f>Consolidation!F56</f>
        <v>0</v>
      </c>
      <c r="G42" s="522">
        <f>Consolidation!G56</f>
        <v>0</v>
      </c>
      <c r="H42" s="522">
        <f>Consolidation!H56</f>
        <v>-121.596</v>
      </c>
      <c r="I42" s="522">
        <f>Consolidation!I56</f>
        <v>0</v>
      </c>
      <c r="J42" s="523">
        <f>Consolidation!J56</f>
        <v>-87.894000000000005</v>
      </c>
      <c r="K42" s="523">
        <f>Consolidation!K56</f>
        <v>0</v>
      </c>
      <c r="L42" s="523">
        <f>Consolidation!L56</f>
        <v>0</v>
      </c>
      <c r="M42" s="523">
        <f>Consolidation!M56</f>
        <v>0</v>
      </c>
      <c r="N42" s="523">
        <f>Consolidation!N56</f>
        <v>0</v>
      </c>
      <c r="O42" s="523">
        <f>Consolidation!O56</f>
        <v>0</v>
      </c>
      <c r="P42" s="523">
        <f>Consolidation!P56</f>
        <v>0</v>
      </c>
      <c r="Q42" s="154"/>
      <c r="R42" s="767" t="s">
        <v>875</v>
      </c>
      <c r="S42" s="767">
        <v>0</v>
      </c>
      <c r="T42" s="767">
        <v>0</v>
      </c>
      <c r="U42" s="767">
        <v>0</v>
      </c>
      <c r="V42" s="773">
        <v>0</v>
      </c>
      <c r="W42" s="773">
        <v>0</v>
      </c>
      <c r="X42" s="773">
        <v>0</v>
      </c>
      <c r="Y42" s="773">
        <v>-121.596</v>
      </c>
      <c r="Z42" s="773">
        <v>0</v>
      </c>
      <c r="AA42" s="773">
        <v>0</v>
      </c>
      <c r="AB42" s="773">
        <v>0</v>
      </c>
      <c r="AC42" s="773">
        <v>0</v>
      </c>
      <c r="AD42" s="773">
        <v>0</v>
      </c>
      <c r="AE42" s="773">
        <v>0</v>
      </c>
      <c r="AF42" s="773">
        <v>0</v>
      </c>
      <c r="AG42" s="773">
        <v>0</v>
      </c>
    </row>
    <row r="43" spans="1:33">
      <c r="A43" s="154" t="str">
        <f>Consolidation!A57</f>
        <v>Business combination costs</v>
      </c>
      <c r="B43" s="154">
        <f>Consolidation!B57</f>
        <v>0</v>
      </c>
      <c r="C43" s="154">
        <f>Consolidation!C57</f>
        <v>0</v>
      </c>
      <c r="D43" s="154">
        <f>Consolidation!D57</f>
        <v>0</v>
      </c>
      <c r="E43" s="522">
        <f>Consolidation!E57</f>
        <v>-3.7450000000000001</v>
      </c>
      <c r="F43" s="522">
        <f>Consolidation!F57</f>
        <v>-13.727</v>
      </c>
      <c r="G43" s="522">
        <f>Consolidation!G57</f>
        <v>-15.779</v>
      </c>
      <c r="H43" s="522">
        <f>Consolidation!H57</f>
        <v>-20.850999999999999</v>
      </c>
      <c r="I43" s="522">
        <f>Consolidation!I57</f>
        <v>-2.4319999999999999</v>
      </c>
      <c r="J43" s="523">
        <f>Consolidation!J57</f>
        <v>-1.28</v>
      </c>
      <c r="K43" s="523">
        <f>Consolidation!K57</f>
        <v>0</v>
      </c>
      <c r="L43" s="523">
        <f>Consolidation!L57</f>
        <v>0</v>
      </c>
      <c r="M43" s="523">
        <f>Consolidation!M57</f>
        <v>0</v>
      </c>
      <c r="N43" s="523">
        <f>Consolidation!N57</f>
        <v>0</v>
      </c>
      <c r="O43" s="523">
        <f>Consolidation!O57</f>
        <v>0</v>
      </c>
      <c r="P43" s="523">
        <f>Consolidation!P57</f>
        <v>0</v>
      </c>
      <c r="Q43" s="154"/>
      <c r="R43" s="767" t="s">
        <v>292</v>
      </c>
      <c r="S43" s="767">
        <v>0</v>
      </c>
      <c r="T43" s="767">
        <v>0</v>
      </c>
      <c r="U43" s="767">
        <v>0</v>
      </c>
      <c r="V43" s="773">
        <v>-3.7450000000000001</v>
      </c>
      <c r="W43" s="773">
        <v>-13.727</v>
      </c>
      <c r="X43" s="773">
        <v>-15.779</v>
      </c>
      <c r="Y43" s="773">
        <v>-20.850999999999999</v>
      </c>
      <c r="Z43" s="773">
        <v>-2.4319999999999999</v>
      </c>
      <c r="AA43" s="773">
        <v>0</v>
      </c>
      <c r="AB43" s="773">
        <v>0</v>
      </c>
      <c r="AC43" s="773">
        <v>0</v>
      </c>
      <c r="AD43" s="773">
        <v>0</v>
      </c>
      <c r="AE43" s="773">
        <v>0</v>
      </c>
      <c r="AF43" s="773">
        <v>0</v>
      </c>
      <c r="AG43" s="773">
        <v>0</v>
      </c>
    </row>
    <row r="44" spans="1:33">
      <c r="A44" s="154" t="str">
        <f>Consolidation!A58</f>
        <v>Impairment of PP&amp;E</v>
      </c>
      <c r="B44" s="154">
        <f>Consolidation!B58</f>
        <v>0</v>
      </c>
      <c r="C44" s="154">
        <f>Consolidation!C58</f>
        <v>0</v>
      </c>
      <c r="D44" s="154">
        <f>Consolidation!D58</f>
        <v>0</v>
      </c>
      <c r="E44" s="522">
        <f>Consolidation!E58</f>
        <v>-21.603999999999999</v>
      </c>
      <c r="F44" s="522">
        <f>Consolidation!F58</f>
        <v>-27.594000000000001</v>
      </c>
      <c r="G44" s="522">
        <f>Consolidation!G58</f>
        <v>-51.113</v>
      </c>
      <c r="H44" s="522">
        <f>Consolidation!H58</f>
        <v>-38.156999999999996</v>
      </c>
      <c r="I44" s="522">
        <f>Consolidation!I58</f>
        <v>-87.695999999999998</v>
      </c>
      <c r="J44" s="538">
        <f>Consolidation!J58</f>
        <v>-17.654</v>
      </c>
      <c r="K44" s="538">
        <f>Consolidation!K58</f>
        <v>0</v>
      </c>
      <c r="L44" s="538">
        <f>Consolidation!L58</f>
        <v>0</v>
      </c>
      <c r="M44" s="538">
        <f>Consolidation!M58</f>
        <v>0</v>
      </c>
      <c r="N44" s="538">
        <f>Consolidation!N58</f>
        <v>0</v>
      </c>
      <c r="O44" s="538">
        <f>Consolidation!O58</f>
        <v>0</v>
      </c>
      <c r="P44" s="538">
        <f>Consolidation!P58</f>
        <v>0</v>
      </c>
      <c r="Q44" s="154"/>
      <c r="R44" s="767" t="s">
        <v>293</v>
      </c>
      <c r="S44" s="767">
        <v>0</v>
      </c>
      <c r="T44" s="767">
        <v>0</v>
      </c>
      <c r="U44" s="767">
        <v>0</v>
      </c>
      <c r="V44" s="773">
        <v>-21.603999999999999</v>
      </c>
      <c r="W44" s="773">
        <v>-27.594000000000001</v>
      </c>
      <c r="X44" s="773">
        <v>-51.113</v>
      </c>
      <c r="Y44" s="773">
        <v>-38.156999999999996</v>
      </c>
      <c r="Z44" s="773">
        <v>-87.695999999999998</v>
      </c>
      <c r="AA44" s="773">
        <v>0</v>
      </c>
      <c r="AB44" s="773">
        <v>0</v>
      </c>
      <c r="AC44" s="773">
        <v>0</v>
      </c>
      <c r="AD44" s="773">
        <v>0</v>
      </c>
      <c r="AE44" s="773">
        <v>0</v>
      </c>
      <c r="AF44" s="773">
        <v>0</v>
      </c>
      <c r="AG44" s="773">
        <v>0</v>
      </c>
    </row>
    <row r="45" spans="1:33">
      <c r="A45" s="154" t="str">
        <f>Consolidation!A59</f>
        <v>Reversal of provision for decommissiong costs</v>
      </c>
      <c r="B45" s="154">
        <f>Consolidation!B59</f>
        <v>0</v>
      </c>
      <c r="C45" s="154">
        <f>Consolidation!C59</f>
        <v>0</v>
      </c>
      <c r="D45" s="154">
        <f>Consolidation!D59</f>
        <v>0</v>
      </c>
      <c r="E45" s="522">
        <f>Consolidation!E59</f>
        <v>0</v>
      </c>
      <c r="F45" s="522">
        <f>Consolidation!F59</f>
        <v>0</v>
      </c>
      <c r="G45" s="522">
        <f>Consolidation!G59</f>
        <v>2.6709999999999998</v>
      </c>
      <c r="H45" s="522">
        <f>Consolidation!H59</f>
        <v>0</v>
      </c>
      <c r="I45" s="522">
        <f>Consolidation!I59</f>
        <v>0</v>
      </c>
      <c r="J45" s="538">
        <f>Consolidation!J59</f>
        <v>0</v>
      </c>
      <c r="K45" s="538">
        <f>Consolidation!K59</f>
        <v>0</v>
      </c>
      <c r="L45" s="538">
        <f>Consolidation!L59</f>
        <v>0</v>
      </c>
      <c r="M45" s="538">
        <f>Consolidation!M59</f>
        <v>0</v>
      </c>
      <c r="N45" s="538">
        <f>Consolidation!N59</f>
        <v>0</v>
      </c>
      <c r="O45" s="538">
        <f>Consolidation!O59</f>
        <v>0</v>
      </c>
      <c r="P45" s="538">
        <f>Consolidation!P59</f>
        <v>0</v>
      </c>
      <c r="Q45" s="154"/>
      <c r="R45" s="767" t="s">
        <v>639</v>
      </c>
      <c r="S45" s="767">
        <v>0</v>
      </c>
      <c r="T45" s="767">
        <v>0</v>
      </c>
      <c r="U45" s="767">
        <v>0</v>
      </c>
      <c r="V45" s="773">
        <v>0</v>
      </c>
      <c r="W45" s="773">
        <v>0</v>
      </c>
      <c r="X45" s="773">
        <v>2.6709999999999998</v>
      </c>
      <c r="Y45" s="773">
        <v>0</v>
      </c>
      <c r="Z45" s="773">
        <v>0</v>
      </c>
      <c r="AA45" s="773">
        <v>0</v>
      </c>
      <c r="AB45" s="773">
        <v>0</v>
      </c>
      <c r="AC45" s="773">
        <v>0</v>
      </c>
      <c r="AD45" s="773">
        <v>0</v>
      </c>
      <c r="AE45" s="773">
        <v>0</v>
      </c>
      <c r="AF45" s="773">
        <v>0</v>
      </c>
      <c r="AG45" s="773">
        <v>0</v>
      </c>
    </row>
    <row r="46" spans="1:33">
      <c r="A46" s="154" t="str">
        <f>Consolidation!A60</f>
        <v>Listing costs</v>
      </c>
      <c r="B46" s="154">
        <f>Consolidation!B60</f>
        <v>0</v>
      </c>
      <c r="C46" s="154">
        <f>Consolidation!C60</f>
        <v>0</v>
      </c>
      <c r="D46" s="154">
        <f>Consolidation!D60</f>
        <v>0</v>
      </c>
      <c r="E46" s="522">
        <f>Consolidation!E60</f>
        <v>-1.0780000000000001</v>
      </c>
      <c r="F46" s="522">
        <f>Consolidation!F60</f>
        <v>-12.651999999999999</v>
      </c>
      <c r="G46" s="522">
        <f>Consolidation!G60</f>
        <v>-22.152999999999999</v>
      </c>
      <c r="H46" s="522">
        <f>Consolidation!H60</f>
        <v>0</v>
      </c>
      <c r="I46" s="522">
        <f>Consolidation!I60</f>
        <v>0</v>
      </c>
      <c r="J46" s="523">
        <f>Consolidation!J60</f>
        <v>0</v>
      </c>
      <c r="K46" s="523">
        <f>Consolidation!K60</f>
        <v>0</v>
      </c>
      <c r="L46" s="523">
        <f>Consolidation!L60</f>
        <v>0</v>
      </c>
      <c r="M46" s="523">
        <f>Consolidation!M60</f>
        <v>0</v>
      </c>
      <c r="N46" s="523">
        <f>Consolidation!N60</f>
        <v>0</v>
      </c>
      <c r="O46" s="523">
        <f>Consolidation!O60</f>
        <v>0</v>
      </c>
      <c r="P46" s="523">
        <f>Consolidation!P60</f>
        <v>0</v>
      </c>
      <c r="Q46" s="154"/>
      <c r="R46" s="767" t="s">
        <v>294</v>
      </c>
      <c r="S46" s="767">
        <v>0</v>
      </c>
      <c r="T46" s="767">
        <v>0</v>
      </c>
      <c r="U46" s="767">
        <v>0</v>
      </c>
      <c r="V46" s="773">
        <v>-1.0780000000000001</v>
      </c>
      <c r="W46" s="773">
        <v>-12.651999999999999</v>
      </c>
      <c r="X46" s="773">
        <v>-22.152999999999999</v>
      </c>
      <c r="Y46" s="773">
        <v>0</v>
      </c>
      <c r="Z46" s="773">
        <v>0</v>
      </c>
      <c r="AA46" s="773">
        <v>0</v>
      </c>
      <c r="AB46" s="773">
        <v>0</v>
      </c>
      <c r="AC46" s="773">
        <v>0</v>
      </c>
      <c r="AD46" s="773">
        <v>0</v>
      </c>
      <c r="AE46" s="773">
        <v>0</v>
      </c>
      <c r="AF46" s="773">
        <v>0</v>
      </c>
      <c r="AG46" s="773">
        <v>0</v>
      </c>
    </row>
    <row r="47" spans="1:33">
      <c r="A47" s="154" t="str">
        <f>Consolidation!A61</f>
        <v>Other costs</v>
      </c>
      <c r="B47" s="154">
        <f>Consolidation!B61</f>
        <v>0</v>
      </c>
      <c r="C47" s="154">
        <f>Consolidation!C61</f>
        <v>0</v>
      </c>
      <c r="D47" s="154">
        <f>Consolidation!D61</f>
        <v>0</v>
      </c>
      <c r="E47" s="522">
        <f>Consolidation!E61</f>
        <v>-16.931999999999999</v>
      </c>
      <c r="F47" s="522">
        <f>Consolidation!F61</f>
        <v>-0.31</v>
      </c>
      <c r="G47" s="522">
        <f>Consolidation!G61</f>
        <v>-15.752000000000001</v>
      </c>
      <c r="H47" s="522">
        <f>Consolidation!H61</f>
        <v>-4.8730000000000002</v>
      </c>
      <c r="I47" s="522">
        <f>Consolidation!I61</f>
        <v>-19.016999999999999</v>
      </c>
      <c r="J47" s="523">
        <f>Consolidation!J61</f>
        <v>-14.374000000000001</v>
      </c>
      <c r="K47" s="523">
        <f>Consolidation!K61</f>
        <v>0</v>
      </c>
      <c r="L47" s="523">
        <f>Consolidation!L61</f>
        <v>0</v>
      </c>
      <c r="M47" s="523">
        <f>Consolidation!M61</f>
        <v>0</v>
      </c>
      <c r="N47" s="523">
        <f>Consolidation!N61</f>
        <v>0</v>
      </c>
      <c r="O47" s="523">
        <f>Consolidation!O61</f>
        <v>0</v>
      </c>
      <c r="P47" s="523">
        <f>Consolidation!P61</f>
        <v>0</v>
      </c>
      <c r="Q47" s="154"/>
      <c r="R47" s="767" t="s">
        <v>8</v>
      </c>
      <c r="S47" s="767">
        <v>0</v>
      </c>
      <c r="T47" s="767">
        <v>0</v>
      </c>
      <c r="U47" s="767">
        <v>0</v>
      </c>
      <c r="V47" s="773">
        <v>-16.931999999999999</v>
      </c>
      <c r="W47" s="773">
        <v>-0.31</v>
      </c>
      <c r="X47" s="773">
        <v>-15.752000000000001</v>
      </c>
      <c r="Y47" s="773">
        <v>-4.8730000000000002</v>
      </c>
      <c r="Z47" s="773">
        <v>-19.016999999999999</v>
      </c>
      <c r="AA47" s="773">
        <v>0</v>
      </c>
      <c r="AB47" s="773">
        <v>0</v>
      </c>
      <c r="AC47" s="773">
        <v>0</v>
      </c>
      <c r="AD47" s="773">
        <v>0</v>
      </c>
      <c r="AE47" s="773">
        <v>0</v>
      </c>
      <c r="AF47" s="773">
        <v>0</v>
      </c>
      <c r="AG47" s="773">
        <v>0</v>
      </c>
    </row>
    <row r="48" spans="1:33">
      <c r="A48" s="154" t="str">
        <f>Consolidation!A62</f>
        <v>Share based comp</v>
      </c>
      <c r="B48" s="154">
        <f>Consolidation!B62</f>
        <v>0</v>
      </c>
      <c r="C48" s="154">
        <f>Consolidation!C62</f>
        <v>0</v>
      </c>
      <c r="D48" s="154">
        <f>Consolidation!D62</f>
        <v>0</v>
      </c>
      <c r="E48" s="522">
        <f>Consolidation!E62</f>
        <v>-351.05399999999997</v>
      </c>
      <c r="F48" s="522">
        <f>Consolidation!F62</f>
        <v>-8.3420000000000005</v>
      </c>
      <c r="G48" s="522">
        <f>Consolidation!G62</f>
        <v>-11.78</v>
      </c>
      <c r="H48" s="522">
        <f>Consolidation!H62</f>
        <v>-13.265000000000001</v>
      </c>
      <c r="I48" s="522">
        <f>Consolidation!I62</f>
        <v>-13.37</v>
      </c>
      <c r="J48" s="523">
        <f>Consolidation!J62</f>
        <v>-27.94</v>
      </c>
      <c r="K48" s="523">
        <f>Consolidation!K62</f>
        <v>0</v>
      </c>
      <c r="L48" s="523">
        <f>Consolidation!L62</f>
        <v>0</v>
      </c>
      <c r="M48" s="523">
        <f>Consolidation!M62</f>
        <v>0</v>
      </c>
      <c r="N48" s="523">
        <f>Consolidation!N62</f>
        <v>0</v>
      </c>
      <c r="O48" s="523">
        <f>Consolidation!O62</f>
        <v>0</v>
      </c>
      <c r="P48" s="523">
        <f>Consolidation!P62</f>
        <v>0</v>
      </c>
      <c r="Q48" s="154"/>
      <c r="R48" s="767" t="s">
        <v>295</v>
      </c>
      <c r="S48" s="767">
        <v>0</v>
      </c>
      <c r="T48" s="767">
        <v>0</v>
      </c>
      <c r="U48" s="767">
        <v>0</v>
      </c>
      <c r="V48" s="773">
        <v>-351.05399999999997</v>
      </c>
      <c r="W48" s="773">
        <v>-8.3420000000000005</v>
      </c>
      <c r="X48" s="773">
        <v>-11.78</v>
      </c>
      <c r="Y48" s="773">
        <v>-13.265000000000001</v>
      </c>
      <c r="Z48" s="773">
        <v>-13.37</v>
      </c>
      <c r="AA48" s="773">
        <v>0</v>
      </c>
      <c r="AB48" s="773">
        <v>0</v>
      </c>
      <c r="AC48" s="773">
        <v>0</v>
      </c>
      <c r="AD48" s="773">
        <v>0</v>
      </c>
      <c r="AE48" s="773">
        <v>0</v>
      </c>
      <c r="AF48" s="773">
        <v>0</v>
      </c>
      <c r="AG48" s="773">
        <v>0</v>
      </c>
    </row>
    <row r="49" spans="1:42">
      <c r="A49" s="154" t="str">
        <f>Consolidation!A63</f>
        <v>Other income</v>
      </c>
      <c r="B49" s="154">
        <f>Consolidation!B63</f>
        <v>0</v>
      </c>
      <c r="C49" s="154">
        <f>Consolidation!C63</f>
        <v>0</v>
      </c>
      <c r="D49" s="154">
        <f>Consolidation!D63</f>
        <v>0</v>
      </c>
      <c r="E49" s="522">
        <f>Consolidation!E63</f>
        <v>0</v>
      </c>
      <c r="F49" s="522">
        <f>Consolidation!F63</f>
        <v>0</v>
      </c>
      <c r="G49" s="522">
        <f>Consolidation!G63</f>
        <v>11.212999999999999</v>
      </c>
      <c r="H49" s="522">
        <f>Consolidation!H63</f>
        <v>2.5840000000000001</v>
      </c>
      <c r="I49" s="522">
        <f>Consolidation!I63</f>
        <v>1.4870000000000001</v>
      </c>
      <c r="J49" s="523">
        <f>Consolidation!J63</f>
        <v>83.837999999999994</v>
      </c>
      <c r="K49" s="523">
        <f>Consolidation!K63</f>
        <v>0</v>
      </c>
      <c r="L49" s="523">
        <f>Consolidation!L63</f>
        <v>0</v>
      </c>
      <c r="M49" s="523">
        <f>Consolidation!M63</f>
        <v>0</v>
      </c>
      <c r="N49" s="523">
        <f>Consolidation!N63</f>
        <v>0</v>
      </c>
      <c r="O49" s="523">
        <f>Consolidation!O63</f>
        <v>0</v>
      </c>
      <c r="P49" s="523">
        <f>Consolidation!P63</f>
        <v>0</v>
      </c>
      <c r="Q49" s="154"/>
      <c r="R49" s="767" t="s">
        <v>666</v>
      </c>
      <c r="S49" s="767">
        <v>0</v>
      </c>
      <c r="T49" s="767">
        <v>0</v>
      </c>
      <c r="U49" s="767">
        <v>0</v>
      </c>
      <c r="V49" s="773">
        <v>0</v>
      </c>
      <c r="W49" s="773">
        <v>0</v>
      </c>
      <c r="X49" s="773">
        <v>11.212999999999999</v>
      </c>
      <c r="Y49" s="773">
        <v>2.5840000000000001</v>
      </c>
      <c r="Z49" s="773">
        <v>1.4870000000000001</v>
      </c>
      <c r="AA49" s="773">
        <v>0</v>
      </c>
      <c r="AB49" s="773">
        <v>0</v>
      </c>
      <c r="AC49" s="773">
        <v>0</v>
      </c>
      <c r="AD49" s="773">
        <v>0</v>
      </c>
      <c r="AE49" s="773">
        <v>0</v>
      </c>
      <c r="AF49" s="773">
        <v>0</v>
      </c>
      <c r="AG49" s="773">
        <v>0</v>
      </c>
    </row>
    <row r="50" spans="1:42">
      <c r="A50" s="525" t="str">
        <f>Consolidation!A64</f>
        <v>EBITDA</v>
      </c>
      <c r="B50" s="525">
        <f>Consolidation!B64</f>
        <v>0</v>
      </c>
      <c r="C50" s="525">
        <f>Consolidation!C64</f>
        <v>0</v>
      </c>
      <c r="D50" s="525">
        <f>Consolidation!D64</f>
        <v>0</v>
      </c>
      <c r="E50" s="526">
        <f>Consolidation!E64</f>
        <v>227.40299999999991</v>
      </c>
      <c r="F50" s="526">
        <f>Consolidation!F64</f>
        <v>740.60699999999997</v>
      </c>
      <c r="G50" s="526">
        <f>Consolidation!G64</f>
        <v>771.25299999999993</v>
      </c>
      <c r="H50" s="526">
        <f>Consolidation!H64</f>
        <v>781.60399999999981</v>
      </c>
      <c r="I50" s="526">
        <f>Consolidation!I64</f>
        <v>967.40400000000011</v>
      </c>
      <c r="J50" s="526">
        <f>Consolidation!J64</f>
        <v>841.87899999999979</v>
      </c>
      <c r="K50" s="526">
        <f>Consolidation!K64</f>
        <v>911.47335616621649</v>
      </c>
      <c r="L50" s="526">
        <f>Consolidation!L64</f>
        <v>960.53683122051427</v>
      </c>
      <c r="M50" s="526">
        <f>Consolidation!M64</f>
        <v>1039.9292449184634</v>
      </c>
      <c r="N50" s="526">
        <f>Consolidation!N64</f>
        <v>1112.8836962364248</v>
      </c>
      <c r="O50" s="526">
        <f>Consolidation!O64</f>
        <v>1190.8638289018763</v>
      </c>
      <c r="P50" s="526">
        <f>Consolidation!P64</f>
        <v>1271.9635177354742</v>
      </c>
      <c r="Q50" s="154"/>
      <c r="R50" s="774" t="s">
        <v>9</v>
      </c>
      <c r="S50" s="774">
        <v>0</v>
      </c>
      <c r="T50" s="774">
        <v>0</v>
      </c>
      <c r="U50" s="774">
        <v>0</v>
      </c>
      <c r="V50" s="775">
        <v>227.40299999999991</v>
      </c>
      <c r="W50" s="775">
        <v>740.60699999999997</v>
      </c>
      <c r="X50" s="775">
        <v>771.25299999999993</v>
      </c>
      <c r="Y50" s="775">
        <v>781.60399999999981</v>
      </c>
      <c r="Z50" s="775">
        <v>967.40400000000011</v>
      </c>
      <c r="AA50" s="775">
        <v>919.09339522685912</v>
      </c>
      <c r="AB50" s="775">
        <v>970.23549115549156</v>
      </c>
      <c r="AC50" s="775">
        <v>1083.9888834466378</v>
      </c>
      <c r="AD50" s="775">
        <v>1187.3318974443612</v>
      </c>
      <c r="AE50" s="775">
        <v>1276.5380014369191</v>
      </c>
      <c r="AF50" s="775">
        <v>1360.8793777324399</v>
      </c>
      <c r="AG50" s="775">
        <v>1439.3865013763718</v>
      </c>
      <c r="AI50" t="str">
        <f>A50</f>
        <v>EBITDA</v>
      </c>
      <c r="AJ50" s="108">
        <f t="shared" ref="AJ50:AP50" si="4">J50/AA50-1</f>
        <v>-8.4011478733127642E-2</v>
      </c>
      <c r="AK50" s="108">
        <f t="shared" si="4"/>
        <v>-6.0564817021167672E-2</v>
      </c>
      <c r="AL50" s="108">
        <f t="shared" si="4"/>
        <v>-0.1138868249585705</v>
      </c>
      <c r="AM50" s="108">
        <f t="shared" si="4"/>
        <v>-0.12414612362657018</v>
      </c>
      <c r="AN50" s="108">
        <f t="shared" si="4"/>
        <v>-0.12820167125168136</v>
      </c>
      <c r="AO50" s="108">
        <f t="shared" si="4"/>
        <v>-0.12493065264450653</v>
      </c>
      <c r="AP50" s="108">
        <f t="shared" si="4"/>
        <v>-0.1163155160068573</v>
      </c>
    </row>
    <row r="51" spans="1:42">
      <c r="A51" s="154" t="str">
        <f>Consolidation!A65</f>
        <v>Margins</v>
      </c>
      <c r="B51" s="154">
        <f>Consolidation!B65</f>
        <v>0</v>
      </c>
      <c r="C51" s="154">
        <f>Consolidation!C65</f>
        <v>0</v>
      </c>
      <c r="D51" s="154">
        <f>Consolidation!D65</f>
        <v>0</v>
      </c>
      <c r="E51" s="537">
        <f>Consolidation!E65</f>
        <v>0.18472189729792951</v>
      </c>
      <c r="F51" s="154">
        <f>Consolidation!F65</f>
        <v>0.52781440151429848</v>
      </c>
      <c r="G51" s="154">
        <f>Consolidation!G65</f>
        <v>0.48821823982579304</v>
      </c>
      <c r="H51" s="154">
        <f>Consolidation!H65</f>
        <v>0.39851343420865443</v>
      </c>
      <c r="I51" s="154">
        <f>Consolidation!I65</f>
        <v>0.45513349790335544</v>
      </c>
      <c r="J51" s="154">
        <f>Consolidation!J65</f>
        <v>0.49197446273868128</v>
      </c>
      <c r="K51" s="154">
        <f>Consolidation!K65</f>
        <v>0.52830528949593525</v>
      </c>
      <c r="L51" s="154">
        <f>Consolidation!L65</f>
        <v>0.53481712715091734</v>
      </c>
      <c r="M51" s="154">
        <f>Consolidation!M65</f>
        <v>0.54200541763438903</v>
      </c>
      <c r="N51" s="154">
        <f>Consolidation!N65</f>
        <v>0.54691276916627651</v>
      </c>
      <c r="O51" s="154">
        <f>Consolidation!O65</f>
        <v>0.55183181662383085</v>
      </c>
      <c r="P51" s="154">
        <f>Consolidation!P65</f>
        <v>0.5566336047489463</v>
      </c>
      <c r="Q51" s="154"/>
      <c r="R51" s="767">
        <v>0</v>
      </c>
      <c r="S51" s="767">
        <v>0</v>
      </c>
      <c r="T51" s="767">
        <v>0</v>
      </c>
      <c r="U51" s="767">
        <v>0</v>
      </c>
      <c r="V51" s="785">
        <v>0</v>
      </c>
      <c r="W51" s="767">
        <v>0</v>
      </c>
      <c r="X51" s="767">
        <v>0</v>
      </c>
      <c r="Y51" s="767">
        <v>0</v>
      </c>
      <c r="Z51" s="767">
        <v>0</v>
      </c>
      <c r="AA51" s="767">
        <v>0</v>
      </c>
      <c r="AB51" s="767">
        <v>0</v>
      </c>
      <c r="AC51" s="767">
        <v>0</v>
      </c>
      <c r="AD51" s="767">
        <v>0</v>
      </c>
      <c r="AE51" s="767">
        <v>0</v>
      </c>
      <c r="AF51" s="767">
        <v>0</v>
      </c>
      <c r="AG51" s="767">
        <v>0</v>
      </c>
    </row>
    <row r="52" spans="1:42">
      <c r="A52" s="154">
        <f>Consolidation!A67</f>
        <v>0</v>
      </c>
      <c r="B52" s="154">
        <f>Consolidation!B67</f>
        <v>0</v>
      </c>
      <c r="C52" s="154">
        <f>Consolidation!C67</f>
        <v>0</v>
      </c>
      <c r="D52" s="154">
        <f>Consolidation!D67</f>
        <v>0</v>
      </c>
      <c r="E52" s="537">
        <f>Consolidation!E67</f>
        <v>0</v>
      </c>
      <c r="F52" s="154">
        <f>Consolidation!F67</f>
        <v>0</v>
      </c>
      <c r="G52" s="154">
        <f>Consolidation!G67</f>
        <v>0</v>
      </c>
      <c r="H52" s="154">
        <f>Consolidation!H67</f>
        <v>0</v>
      </c>
      <c r="I52" s="154">
        <f>Consolidation!I67</f>
        <v>0</v>
      </c>
      <c r="J52" s="154">
        <f>Consolidation!J67</f>
        <v>0</v>
      </c>
      <c r="K52" s="154">
        <f>Consolidation!K67</f>
        <v>0</v>
      </c>
      <c r="L52" s="154">
        <f>Consolidation!L67</f>
        <v>0</v>
      </c>
      <c r="M52" s="154">
        <f>Consolidation!M67</f>
        <v>0</v>
      </c>
      <c r="N52" s="154">
        <f>Consolidation!N67</f>
        <v>0</v>
      </c>
      <c r="O52" s="154">
        <f>Consolidation!O67</f>
        <v>0</v>
      </c>
      <c r="P52" s="154">
        <f>Consolidation!P67</f>
        <v>0</v>
      </c>
      <c r="Q52" s="154"/>
      <c r="R52" s="767">
        <v>0</v>
      </c>
      <c r="S52" s="767">
        <v>0</v>
      </c>
      <c r="T52" s="767">
        <v>0</v>
      </c>
      <c r="U52" s="767">
        <v>0</v>
      </c>
      <c r="V52" s="785">
        <v>0</v>
      </c>
      <c r="W52" s="767">
        <v>0</v>
      </c>
      <c r="X52" s="767">
        <v>0</v>
      </c>
      <c r="Y52" s="767">
        <v>0</v>
      </c>
      <c r="Z52" s="767">
        <v>0</v>
      </c>
      <c r="AA52" s="767">
        <v>0</v>
      </c>
      <c r="AB52" s="767">
        <v>0</v>
      </c>
      <c r="AC52" s="767">
        <v>0</v>
      </c>
      <c r="AD52" s="767">
        <v>0</v>
      </c>
      <c r="AE52" s="767">
        <v>0</v>
      </c>
      <c r="AF52" s="767">
        <v>0</v>
      </c>
      <c r="AG52" s="767">
        <v>0</v>
      </c>
    </row>
    <row r="53" spans="1:42">
      <c r="A53" s="154" t="str">
        <f>Consolidation!A39</f>
        <v>Interest costs associated with leases</v>
      </c>
      <c r="B53" s="154">
        <f>Consolidation!B39</f>
        <v>0</v>
      </c>
      <c r="C53" s="154">
        <f>Consolidation!C39</f>
        <v>0</v>
      </c>
      <c r="D53" s="154">
        <f>Consolidation!D39</f>
        <v>0</v>
      </c>
      <c r="E53" s="522">
        <f>Consolidation!E39</f>
        <v>16.024000000000001</v>
      </c>
      <c r="F53" s="522">
        <f>Consolidation!F39</f>
        <v>27.384</v>
      </c>
      <c r="G53" s="522">
        <f>Consolidation!G39</f>
        <v>32.826000000000001</v>
      </c>
      <c r="H53" s="522">
        <f>Consolidation!H39</f>
        <v>52.234000000000002</v>
      </c>
      <c r="I53" s="522">
        <f>Consolidation!I39</f>
        <v>61.616999999999997</v>
      </c>
      <c r="J53" s="540">
        <f>Consolidation!J39</f>
        <v>68.031000000000006</v>
      </c>
      <c r="K53" s="540">
        <f>Consolidation!K39</f>
        <v>63.818832</v>
      </c>
      <c r="L53" s="540">
        <f>Consolidation!L39</f>
        <v>67.009773600000003</v>
      </c>
      <c r="M53" s="540">
        <f>Consolidation!M39</f>
        <v>70.360262280000001</v>
      </c>
      <c r="N53" s="540">
        <f>Consolidation!N39</f>
        <v>73.878275393999999</v>
      </c>
      <c r="O53" s="540">
        <f>Consolidation!O39</f>
        <v>77.572189163700003</v>
      </c>
      <c r="P53" s="540">
        <f>Consolidation!P39</f>
        <v>81.450798621884999</v>
      </c>
      <c r="Q53" s="154"/>
      <c r="R53" s="767" t="s">
        <v>296</v>
      </c>
      <c r="S53" s="767">
        <v>0</v>
      </c>
      <c r="T53" s="767">
        <v>0</v>
      </c>
      <c r="U53" s="767">
        <v>0</v>
      </c>
      <c r="V53" s="773">
        <v>16.024000000000001</v>
      </c>
      <c r="W53" s="773">
        <v>27.384</v>
      </c>
      <c r="X53" s="773">
        <v>32.826000000000001</v>
      </c>
      <c r="Y53" s="773">
        <v>52.234000000000002</v>
      </c>
      <c r="Z53" s="773">
        <v>61.616999999999997</v>
      </c>
      <c r="AA53" s="778">
        <v>69.530307000000008</v>
      </c>
      <c r="AB53" s="778">
        <v>73.006822350000007</v>
      </c>
      <c r="AC53" s="778">
        <v>76.657163467499998</v>
      </c>
      <c r="AD53" s="778">
        <v>80.490021640875</v>
      </c>
      <c r="AE53" s="778">
        <v>84.514522722918755</v>
      </c>
      <c r="AF53" s="778">
        <v>88.740248859064707</v>
      </c>
      <c r="AG53" s="778">
        <v>93.177261302017939</v>
      </c>
      <c r="AI53" t="str">
        <f>A53</f>
        <v>Interest costs associated with leases</v>
      </c>
      <c r="AJ53" s="108">
        <f t="shared" ref="AJ53:AP55" si="5">J53/AA53-1</f>
        <v>-2.156335941390275E-2</v>
      </c>
      <c r="AK53" s="108">
        <f t="shared" si="5"/>
        <v>-0.1258511198577047</v>
      </c>
      <c r="AL53" s="108">
        <f t="shared" si="5"/>
        <v>-0.12585111985770459</v>
      </c>
      <c r="AM53" s="108">
        <f t="shared" si="5"/>
        <v>-0.12585111985770459</v>
      </c>
      <c r="AN53" s="108">
        <f t="shared" si="5"/>
        <v>-0.1258511198577047</v>
      </c>
      <c r="AO53" s="108">
        <f t="shared" si="5"/>
        <v>-0.12585111985770481</v>
      </c>
      <c r="AP53" s="108">
        <f t="shared" si="5"/>
        <v>-0.12585111985770481</v>
      </c>
    </row>
    <row r="54" spans="1:42">
      <c r="A54" s="154" t="str">
        <f>Consolidation!A40</f>
        <v>Depreciation of right of use assets</v>
      </c>
      <c r="B54" s="154">
        <f>Consolidation!B40</f>
        <v>0</v>
      </c>
      <c r="C54" s="154">
        <f>Consolidation!C40</f>
        <v>0</v>
      </c>
      <c r="D54" s="154">
        <f>Consolidation!D40</f>
        <v>0</v>
      </c>
      <c r="E54" s="522">
        <f>Consolidation!E40</f>
        <v>38.130000000000003</v>
      </c>
      <c r="F54" s="533">
        <f>Consolidation!F40</f>
        <v>54.088999999999999</v>
      </c>
      <c r="G54" s="533">
        <f>Consolidation!G40</f>
        <v>60.685000000000002</v>
      </c>
      <c r="H54" s="533">
        <f>Consolidation!H40</f>
        <v>88.614999999999995</v>
      </c>
      <c r="I54" s="533">
        <f>Consolidation!I40</f>
        <v>95.894999999999996</v>
      </c>
      <c r="J54" s="541">
        <f>Consolidation!J40</f>
        <v>95.382999999999996</v>
      </c>
      <c r="K54" s="541">
        <f>Consolidation!K40</f>
        <v>98.244489999999999</v>
      </c>
      <c r="L54" s="541">
        <f>Consolidation!L40</f>
        <v>104.13915940000001</v>
      </c>
      <c r="M54" s="541">
        <f>Consolidation!M40</f>
        <v>109.34611737000002</v>
      </c>
      <c r="N54" s="541">
        <f>Consolidation!N40</f>
        <v>114.81342323850002</v>
      </c>
      <c r="O54" s="541">
        <f>Consolidation!O40</f>
        <v>120.55409440042503</v>
      </c>
      <c r="P54" s="541">
        <f>Consolidation!P40</f>
        <v>126.58179912044629</v>
      </c>
      <c r="Q54" s="154"/>
      <c r="R54" s="767" t="s">
        <v>297</v>
      </c>
      <c r="S54" s="767">
        <v>0</v>
      </c>
      <c r="T54" s="767">
        <v>0</v>
      </c>
      <c r="U54" s="767">
        <v>0</v>
      </c>
      <c r="V54" s="773">
        <v>38.130000000000003</v>
      </c>
      <c r="W54" s="782">
        <v>54.088999999999999</v>
      </c>
      <c r="X54" s="782">
        <v>60.685000000000002</v>
      </c>
      <c r="Y54" s="782">
        <v>88.614999999999995</v>
      </c>
      <c r="Z54" s="782">
        <v>95.894999999999996</v>
      </c>
      <c r="AA54" s="782">
        <v>98.771850000000001</v>
      </c>
      <c r="AB54" s="782">
        <v>105.68587950000001</v>
      </c>
      <c r="AC54" s="782">
        <v>112.02703227000002</v>
      </c>
      <c r="AD54" s="782">
        <v>117.62838388350002</v>
      </c>
      <c r="AE54" s="782">
        <v>123.50980307767503</v>
      </c>
      <c r="AF54" s="782">
        <v>129.68529323155877</v>
      </c>
      <c r="AG54" s="782">
        <v>136.16955789313673</v>
      </c>
      <c r="AI54" t="str">
        <f>A54</f>
        <v>Depreciation of right of use assets</v>
      </c>
      <c r="AJ54" s="108">
        <f t="shared" si="5"/>
        <v>-3.4309876751321355E-2</v>
      </c>
      <c r="AK54" s="108">
        <f t="shared" si="5"/>
        <v>-7.041044210641223E-2</v>
      </c>
      <c r="AL54" s="108">
        <f t="shared" si="5"/>
        <v>-7.041044210641223E-2</v>
      </c>
      <c r="AM54" s="108">
        <f t="shared" si="5"/>
        <v>-7.041044210641223E-2</v>
      </c>
      <c r="AN54" s="108">
        <f t="shared" si="5"/>
        <v>-7.041044210641223E-2</v>
      </c>
      <c r="AO54" s="108">
        <f t="shared" si="5"/>
        <v>-7.0410442106412119E-2</v>
      </c>
      <c r="AP54" s="108">
        <f t="shared" si="5"/>
        <v>-7.0410442106412119E-2</v>
      </c>
    </row>
    <row r="55" spans="1:42" ht="15.75" thickBot="1">
      <c r="A55" s="542" t="str">
        <f>Consolidation!A41</f>
        <v>Adj. EBITDAaL</v>
      </c>
      <c r="B55" s="542">
        <f>Consolidation!B41</f>
        <v>0</v>
      </c>
      <c r="C55" s="542">
        <f>Consolidation!C41</f>
        <v>0</v>
      </c>
      <c r="D55" s="542">
        <f>Consolidation!D41</f>
        <v>0</v>
      </c>
      <c r="E55" s="543">
        <f>Consolidation!E41</f>
        <v>614.45999999999992</v>
      </c>
      <c r="F55" s="543">
        <f>Consolidation!F41</f>
        <v>737.54099999999994</v>
      </c>
      <c r="G55" s="543">
        <f>Consolidation!G41</f>
        <v>832.88499999999999</v>
      </c>
      <c r="H55" s="543">
        <f>Consolidation!H41</f>
        <v>890.53699999999992</v>
      </c>
      <c r="I55" s="543">
        <f>Consolidation!I41</f>
        <v>975.02300000000014</v>
      </c>
      <c r="J55" s="543">
        <f>Consolidation!J41</f>
        <v>764.93999999999983</v>
      </c>
      <c r="K55" s="543">
        <f>Consolidation!K41</f>
        <v>836.59517499308106</v>
      </c>
      <c r="L55" s="543">
        <f>Consolidation!L41</f>
        <v>880.14741391778978</v>
      </c>
      <c r="M55" s="543">
        <f>Consolidation!M41</f>
        <v>957.180858532922</v>
      </c>
      <c r="N55" s="543">
        <f>Consolidation!N41</f>
        <v>1027.0208931125928</v>
      </c>
      <c r="O55" s="543">
        <f>Consolidation!O41</f>
        <v>1101.7908477974538</v>
      </c>
      <c r="P55" s="543">
        <f>Consolidation!P41</f>
        <v>1179.4061105671699</v>
      </c>
      <c r="Q55" s="154"/>
      <c r="R55" s="786" t="s">
        <v>640</v>
      </c>
      <c r="S55" s="786">
        <v>0</v>
      </c>
      <c r="T55" s="786">
        <v>0</v>
      </c>
      <c r="U55" s="786">
        <v>0</v>
      </c>
      <c r="V55" s="787">
        <v>614.45999999999992</v>
      </c>
      <c r="W55" s="787">
        <v>737.54099999999994</v>
      </c>
      <c r="X55" s="787">
        <v>832.88499999999999</v>
      </c>
      <c r="Y55" s="787">
        <v>890.53699999999992</v>
      </c>
      <c r="Z55" s="787">
        <v>975.02300000000014</v>
      </c>
      <c r="AA55" s="787">
        <v>750.79123822685915</v>
      </c>
      <c r="AB55" s="787">
        <v>791.54278930549151</v>
      </c>
      <c r="AC55" s="787">
        <v>895.30468770913774</v>
      </c>
      <c r="AD55" s="787">
        <v>989.21349191998615</v>
      </c>
      <c r="AE55" s="787">
        <v>1068.5136756363252</v>
      </c>
      <c r="AF55" s="787">
        <v>1142.4538356418166</v>
      </c>
      <c r="AG55" s="787">
        <v>1210.0396821812171</v>
      </c>
      <c r="AI55" t="str">
        <f>A55</f>
        <v>Adj. EBITDAaL</v>
      </c>
      <c r="AJ55" s="108">
        <f t="shared" si="5"/>
        <v>1.8845134376575423E-2</v>
      </c>
      <c r="AK55" s="108">
        <f t="shared" si="5"/>
        <v>5.6917182869063776E-2</v>
      </c>
      <c r="AL55" s="108">
        <f t="shared" si="5"/>
        <v>-1.6929737998056971E-2</v>
      </c>
      <c r="AM55" s="108">
        <f t="shared" si="5"/>
        <v>-3.2381921242189415E-2</v>
      </c>
      <c r="AN55" s="108">
        <f t="shared" si="5"/>
        <v>-3.8832242833974351E-2</v>
      </c>
      <c r="AO55" s="108">
        <f t="shared" si="5"/>
        <v>-3.5592674798556545E-2</v>
      </c>
      <c r="AP55" s="108">
        <f t="shared" si="5"/>
        <v>-2.5316171085254968E-2</v>
      </c>
    </row>
    <row r="56" spans="1:42">
      <c r="A56" s="154" t="str">
        <f>Consolidation!A42</f>
        <v>Margins</v>
      </c>
      <c r="B56" s="154">
        <f>Consolidation!B42</f>
        <v>0</v>
      </c>
      <c r="C56" s="154">
        <f>Consolidation!C42</f>
        <v>0</v>
      </c>
      <c r="D56" s="154">
        <f>Consolidation!D42</f>
        <v>0</v>
      </c>
      <c r="E56" s="467">
        <f>Consolidation!E42</f>
        <v>0.49913245213865159</v>
      </c>
      <c r="F56" s="467">
        <f>Consolidation!F42</f>
        <v>0.52562933041040283</v>
      </c>
      <c r="G56" s="467">
        <f>Consolidation!G42</f>
        <v>0.52723250175662939</v>
      </c>
      <c r="H56" s="467">
        <f>Consolidation!H42</f>
        <v>0.45405468518568554</v>
      </c>
      <c r="I56" s="467">
        <f>Consolidation!I42</f>
        <v>0.4587180004695281</v>
      </c>
      <c r="J56" s="467">
        <f>Consolidation!J42</f>
        <v>0.44701310464725552</v>
      </c>
      <c r="K56" s="467">
        <f>Consolidation!K42</f>
        <v>0.48490463613181378</v>
      </c>
      <c r="L56" s="467">
        <f>Consolidation!L42</f>
        <v>0.49005711814579767</v>
      </c>
      <c r="M56" s="467">
        <f>Consolidation!M42</f>
        <v>0.49887741258921531</v>
      </c>
      <c r="N56" s="467">
        <f>Consolidation!N42</f>
        <v>0.50471656880532023</v>
      </c>
      <c r="O56" s="467">
        <f>Consolidation!O42</f>
        <v>0.5105564803662177</v>
      </c>
      <c r="P56" s="467">
        <f>Consolidation!P42</f>
        <v>0.51612885561114619</v>
      </c>
      <c r="Q56" s="154"/>
      <c r="R56" s="767" t="s">
        <v>357</v>
      </c>
      <c r="S56" s="767">
        <v>0</v>
      </c>
      <c r="T56" s="767">
        <v>0</v>
      </c>
      <c r="U56" s="767">
        <v>0</v>
      </c>
      <c r="V56" s="777">
        <v>0.49913245213865159</v>
      </c>
      <c r="W56" s="777">
        <v>0.52562933041040283</v>
      </c>
      <c r="X56" s="777">
        <v>0.52723250175662939</v>
      </c>
      <c r="Y56" s="777">
        <v>0.45405468518568554</v>
      </c>
      <c r="Z56" s="777">
        <v>0.4587180004695281</v>
      </c>
      <c r="AA56" s="777">
        <v>0.44403430710933678</v>
      </c>
      <c r="AB56" s="777">
        <v>0.44344163740522596</v>
      </c>
      <c r="AC56" s="777">
        <v>0.45237126401475991</v>
      </c>
      <c r="AD56" s="777">
        <v>0.45859577194965995</v>
      </c>
      <c r="AE56" s="777">
        <v>0.46255114009644227</v>
      </c>
      <c r="AF56" s="777">
        <v>0.46569079710053829</v>
      </c>
      <c r="AG56" s="777">
        <v>0.46808549039583519</v>
      </c>
    </row>
    <row r="57" spans="1:42">
      <c r="A57" s="154" t="str">
        <f>Consolidation!A43</f>
        <v>YoY</v>
      </c>
      <c r="B57" s="154">
        <f>Consolidation!B43</f>
        <v>0</v>
      </c>
      <c r="C57" s="154">
        <f>Consolidation!C43</f>
        <v>0</v>
      </c>
      <c r="D57" s="154">
        <f>Consolidation!D43</f>
        <v>0</v>
      </c>
      <c r="E57" s="467">
        <f>Consolidation!E43</f>
        <v>0</v>
      </c>
      <c r="F57" s="467">
        <f>Consolidation!F43</f>
        <v>0.20030758714969243</v>
      </c>
      <c r="G57" s="467">
        <f>Consolidation!G43</f>
        <v>0.12927281330800611</v>
      </c>
      <c r="H57" s="467">
        <f>Consolidation!H43</f>
        <v>6.9219640166409357E-2</v>
      </c>
      <c r="I57" s="467">
        <f>Consolidation!I43</f>
        <v>9.487084758971287E-2</v>
      </c>
      <c r="J57" s="467">
        <f>Consolidation!J43</f>
        <v>-0.21546466083364213</v>
      </c>
      <c r="K57" s="467">
        <f>Consolidation!K43</f>
        <v>9.3674242415197506E-2</v>
      </c>
      <c r="L57" s="467">
        <f>Consolidation!L43</f>
        <v>5.2058917175883623E-2</v>
      </c>
      <c r="M57" s="467">
        <f>Consolidation!M43</f>
        <v>8.7523343700158351E-2</v>
      </c>
      <c r="N57" s="467">
        <f>Consolidation!N43</f>
        <v>7.2964303409404963E-2</v>
      </c>
      <c r="O57" s="467">
        <f>Consolidation!O43</f>
        <v>7.2802759112578164E-2</v>
      </c>
      <c r="P57" s="467">
        <f>Consolidation!P43</f>
        <v>7.0444642851112516E-2</v>
      </c>
      <c r="Q57" s="154"/>
      <c r="R57" s="767">
        <v>0</v>
      </c>
      <c r="S57" s="767">
        <v>0</v>
      </c>
      <c r="T57" s="767">
        <v>0</v>
      </c>
      <c r="U57" s="767">
        <v>0</v>
      </c>
      <c r="V57" s="777">
        <v>0</v>
      </c>
      <c r="W57" s="777">
        <v>0.20030758714969243</v>
      </c>
      <c r="X57" s="777">
        <v>0.12927281330800611</v>
      </c>
      <c r="Y57" s="777">
        <v>6.9219640166409357E-2</v>
      </c>
      <c r="Z57" s="777">
        <v>9.487084758971287E-2</v>
      </c>
      <c r="AA57" s="777">
        <v>-0.22997586905451561</v>
      </c>
      <c r="AB57" s="777">
        <v>5.4278138853718128E-2</v>
      </c>
      <c r="AC57" s="777">
        <v>0.13108817338186873</v>
      </c>
      <c r="AD57" s="777">
        <v>0.10489033007426518</v>
      </c>
      <c r="AE57" s="777">
        <v>8.0164882873184018E-2</v>
      </c>
      <c r="AF57" s="777">
        <v>6.9199076896660383E-2</v>
      </c>
      <c r="AG57" s="777">
        <v>5.915849238794979E-2</v>
      </c>
    </row>
    <row r="58" spans="1:42">
      <c r="A58" s="154">
        <f>Consolidation!A72</f>
        <v>0</v>
      </c>
      <c r="B58" s="154">
        <f>Consolidation!B72</f>
        <v>0</v>
      </c>
      <c r="C58" s="154">
        <f>Consolidation!C72</f>
        <v>0</v>
      </c>
      <c r="D58" s="154">
        <f>Consolidation!D72</f>
        <v>0</v>
      </c>
      <c r="E58" s="154">
        <f>Consolidation!E72</f>
        <v>0</v>
      </c>
      <c r="F58" s="154">
        <f>Consolidation!F72</f>
        <v>0</v>
      </c>
      <c r="G58" s="154">
        <f>Consolidation!G72</f>
        <v>0</v>
      </c>
      <c r="H58" s="154">
        <f>Consolidation!H72</f>
        <v>0</v>
      </c>
      <c r="I58" s="154">
        <f>Consolidation!I72</f>
        <v>0</v>
      </c>
      <c r="J58" s="154">
        <f>Consolidation!J72</f>
        <v>0</v>
      </c>
      <c r="K58" s="154">
        <f>Consolidation!K72</f>
        <v>0</v>
      </c>
      <c r="L58" s="154">
        <f>Consolidation!L72</f>
        <v>0</v>
      </c>
      <c r="M58" s="154">
        <f>Consolidation!M72</f>
        <v>0</v>
      </c>
      <c r="N58" s="154">
        <f>Consolidation!N72</f>
        <v>0</v>
      </c>
      <c r="O58" s="154">
        <f>Consolidation!O72</f>
        <v>0</v>
      </c>
      <c r="P58" s="154">
        <f>Consolidation!P72</f>
        <v>0</v>
      </c>
      <c r="Q58" s="154"/>
      <c r="R58" s="767">
        <v>0</v>
      </c>
      <c r="S58" s="767">
        <v>0</v>
      </c>
      <c r="T58" s="767">
        <v>0</v>
      </c>
      <c r="U58" s="767">
        <v>0</v>
      </c>
      <c r="V58" s="767">
        <v>0</v>
      </c>
      <c r="W58" s="767">
        <v>0</v>
      </c>
      <c r="X58" s="767">
        <v>0</v>
      </c>
      <c r="Y58" s="767">
        <v>0</v>
      </c>
      <c r="Z58" s="767">
        <v>0</v>
      </c>
      <c r="AA58" s="767">
        <v>0</v>
      </c>
      <c r="AB58" s="767">
        <v>0</v>
      </c>
      <c r="AC58" s="767">
        <v>0</v>
      </c>
      <c r="AD58" s="767">
        <v>0</v>
      </c>
      <c r="AE58" s="767">
        <v>0</v>
      </c>
      <c r="AF58" s="767">
        <v>0</v>
      </c>
      <c r="AG58" s="767">
        <v>0</v>
      </c>
    </row>
    <row r="59" spans="1:42">
      <c r="A59" s="154" t="str">
        <f>Consolidation!A45</f>
        <v>Lease liabilities</v>
      </c>
      <c r="B59" s="154">
        <f>Consolidation!B45</f>
        <v>0</v>
      </c>
      <c r="C59" s="154">
        <f>Consolidation!C45</f>
        <v>0</v>
      </c>
      <c r="D59" s="154">
        <f>Consolidation!D45</f>
        <v>0</v>
      </c>
      <c r="E59" s="522">
        <f>Consolidation!E45</f>
        <v>184.494</v>
      </c>
      <c r="F59" s="522">
        <f>Consolidation!F45</f>
        <v>314.74699999999996</v>
      </c>
      <c r="G59" s="522">
        <f>Consolidation!G45</f>
        <v>376.101</v>
      </c>
      <c r="H59" s="522">
        <f>Consolidation!H45</f>
        <v>605.55799999999999</v>
      </c>
      <c r="I59" s="522">
        <f>Consolidation!I45</f>
        <v>601.99400000000003</v>
      </c>
      <c r="J59" s="523">
        <f>Consolidation!J45</f>
        <v>552.54399999999998</v>
      </c>
      <c r="K59" s="523">
        <f>Consolidation!K45</f>
        <v>580.1712</v>
      </c>
      <c r="L59" s="523">
        <f>Consolidation!L45</f>
        <v>609.17975999999999</v>
      </c>
      <c r="M59" s="523">
        <f>Consolidation!M45</f>
        <v>639.63874799999996</v>
      </c>
      <c r="N59" s="523">
        <f>Consolidation!N45</f>
        <v>671.62068539999996</v>
      </c>
      <c r="O59" s="523">
        <f>Consolidation!O45</f>
        <v>705.20171966999999</v>
      </c>
      <c r="P59" s="523">
        <f>Consolidation!P45</f>
        <v>740.46180565350005</v>
      </c>
      <c r="Q59" s="154"/>
      <c r="R59" s="767" t="s">
        <v>260</v>
      </c>
      <c r="S59" s="767">
        <v>0</v>
      </c>
      <c r="T59" s="767">
        <v>0</v>
      </c>
      <c r="U59" s="767">
        <v>0</v>
      </c>
      <c r="V59" s="773">
        <v>184.494</v>
      </c>
      <c r="W59" s="773">
        <v>314.74699999999996</v>
      </c>
      <c r="X59" s="773">
        <v>376.101</v>
      </c>
      <c r="Y59" s="773">
        <v>605.55799999999999</v>
      </c>
      <c r="Z59" s="773">
        <v>601.99400000000003</v>
      </c>
      <c r="AA59" s="773">
        <v>632.09370000000001</v>
      </c>
      <c r="AB59" s="773">
        <v>663.69838500000003</v>
      </c>
      <c r="AC59" s="773">
        <v>696.88330425000004</v>
      </c>
      <c r="AD59" s="773">
        <v>731.72746946250004</v>
      </c>
      <c r="AE59" s="773">
        <v>768.31384293562508</v>
      </c>
      <c r="AF59" s="773">
        <v>806.72953508240641</v>
      </c>
      <c r="AG59" s="773">
        <v>847.06601183652674</v>
      </c>
      <c r="AI59" t="str">
        <f>A59</f>
        <v>Lease liabilities</v>
      </c>
      <c r="AJ59" s="108">
        <f t="shared" ref="AJ59:AP61" si="6">J59/AA59-1</f>
        <v>-0.1258511198577047</v>
      </c>
      <c r="AK59" s="108">
        <f t="shared" si="6"/>
        <v>-0.1258511198577047</v>
      </c>
      <c r="AL59" s="108">
        <f t="shared" si="6"/>
        <v>-0.1258511198577047</v>
      </c>
      <c r="AM59" s="108">
        <f t="shared" si="6"/>
        <v>-0.1258511198577047</v>
      </c>
      <c r="AN59" s="108">
        <f t="shared" si="6"/>
        <v>-0.12585111985770481</v>
      </c>
      <c r="AO59" s="108">
        <f t="shared" si="6"/>
        <v>-0.12585111985770481</v>
      </c>
      <c r="AP59" s="108">
        <f t="shared" si="6"/>
        <v>-0.12585111985770481</v>
      </c>
    </row>
    <row r="60" spans="1:42">
      <c r="A60" s="154" t="str">
        <f>Consolidation!A46</f>
        <v>Growth in lease liabilities</v>
      </c>
      <c r="B60" s="154">
        <f>Consolidation!B46</f>
        <v>0</v>
      </c>
      <c r="C60" s="154">
        <f>Consolidation!C46</f>
        <v>0</v>
      </c>
      <c r="D60" s="154">
        <f>Consolidation!D46</f>
        <v>0</v>
      </c>
      <c r="E60" s="523">
        <f>Consolidation!E46</f>
        <v>0</v>
      </c>
      <c r="F60" s="544">
        <f>Consolidation!F46</f>
        <v>0.70600127917439037</v>
      </c>
      <c r="G60" s="544">
        <f>Consolidation!G46</f>
        <v>0.19493116693725443</v>
      </c>
      <c r="H60" s="544">
        <f>Consolidation!H46</f>
        <v>0.61009409706435247</v>
      </c>
      <c r="I60" s="544">
        <f>Consolidation!I46</f>
        <v>-5.8854808292516658E-3</v>
      </c>
      <c r="J60" s="545">
        <f>Consolidation!J46</f>
        <v>-8.2143675850589903E-2</v>
      </c>
      <c r="K60" s="545">
        <f>Consolidation!K46</f>
        <v>0.05</v>
      </c>
      <c r="L60" s="545">
        <f>Consolidation!L46</f>
        <v>0.05</v>
      </c>
      <c r="M60" s="545">
        <f>Consolidation!M46</f>
        <v>0.05</v>
      </c>
      <c r="N60" s="545">
        <f>Consolidation!N46</f>
        <v>0.05</v>
      </c>
      <c r="O60" s="545">
        <f>Consolidation!O46</f>
        <v>0.05</v>
      </c>
      <c r="P60" s="545">
        <f>Consolidation!P46</f>
        <v>0.05</v>
      </c>
      <c r="Q60" s="154"/>
      <c r="R60" s="767" t="s">
        <v>300</v>
      </c>
      <c r="S60" s="767">
        <v>0</v>
      </c>
      <c r="T60" s="767">
        <v>0</v>
      </c>
      <c r="U60" s="767">
        <v>0</v>
      </c>
      <c r="V60" s="773">
        <v>0</v>
      </c>
      <c r="W60" s="788">
        <v>0.70600127917439037</v>
      </c>
      <c r="X60" s="788">
        <v>0.19493116693725443</v>
      </c>
      <c r="Y60" s="788">
        <v>0.61009409706435247</v>
      </c>
      <c r="Z60" s="788">
        <v>-5.8854808292516658E-3</v>
      </c>
      <c r="AA60" s="779">
        <v>0.05</v>
      </c>
      <c r="AB60" s="779">
        <v>0.05</v>
      </c>
      <c r="AC60" s="779">
        <v>0.05</v>
      </c>
      <c r="AD60" s="779">
        <v>0.05</v>
      </c>
      <c r="AE60" s="779">
        <v>0.05</v>
      </c>
      <c r="AF60" s="779">
        <v>0.05</v>
      </c>
      <c r="AG60" s="779">
        <v>0.05</v>
      </c>
      <c r="AI60" t="str">
        <f>A60</f>
        <v>Growth in lease liabilities</v>
      </c>
      <c r="AJ60" s="108">
        <f t="shared" si="6"/>
        <v>-2.6428735170117981</v>
      </c>
      <c r="AK60" s="108">
        <f t="shared" si="6"/>
        <v>0</v>
      </c>
      <c r="AL60" s="108">
        <f t="shared" si="6"/>
        <v>0</v>
      </c>
      <c r="AM60" s="108">
        <f t="shared" si="6"/>
        <v>0</v>
      </c>
      <c r="AN60" s="108">
        <f t="shared" si="6"/>
        <v>0</v>
      </c>
      <c r="AO60" s="108">
        <f t="shared" si="6"/>
        <v>0</v>
      </c>
      <c r="AP60" s="108">
        <f t="shared" si="6"/>
        <v>0</v>
      </c>
    </row>
    <row r="61" spans="1:42">
      <c r="A61" s="154" t="str">
        <f>Consolidation!A47</f>
        <v>Implied interest rate</v>
      </c>
      <c r="B61" s="154">
        <f>Consolidation!B47</f>
        <v>0</v>
      </c>
      <c r="C61" s="154">
        <f>Consolidation!C47</f>
        <v>0</v>
      </c>
      <c r="D61" s="154">
        <f>Consolidation!D47</f>
        <v>0</v>
      </c>
      <c r="E61" s="159">
        <f>Consolidation!E47</f>
        <v>8.6853773022428915E-2</v>
      </c>
      <c r="F61" s="159">
        <f>Consolidation!F47</f>
        <v>8.7003212103689637E-2</v>
      </c>
      <c r="G61" s="159">
        <f>Consolidation!G47</f>
        <v>8.7279746663795094E-2</v>
      </c>
      <c r="H61" s="159">
        <f>Consolidation!H47</f>
        <v>8.6257633455424587E-2</v>
      </c>
      <c r="I61" s="159">
        <f>Consolidation!I47</f>
        <v>0.10235484074592105</v>
      </c>
      <c r="J61" s="545">
        <f>Consolidation!J47</f>
        <v>0.12312322638559102</v>
      </c>
      <c r="K61" s="545">
        <f>Consolidation!K47</f>
        <v>0.11</v>
      </c>
      <c r="L61" s="545">
        <f>Consolidation!L47</f>
        <v>0.11</v>
      </c>
      <c r="M61" s="545">
        <f>Consolidation!M47</f>
        <v>0.11</v>
      </c>
      <c r="N61" s="545">
        <f>Consolidation!N47</f>
        <v>0.11</v>
      </c>
      <c r="O61" s="545">
        <f>Consolidation!O47</f>
        <v>0.11</v>
      </c>
      <c r="P61" s="545">
        <f>Consolidation!P47</f>
        <v>0.11</v>
      </c>
      <c r="Q61" s="154"/>
      <c r="R61" s="767" t="s">
        <v>299</v>
      </c>
      <c r="S61" s="767">
        <v>0</v>
      </c>
      <c r="T61" s="767">
        <v>0</v>
      </c>
      <c r="U61" s="767">
        <v>0</v>
      </c>
      <c r="V61" s="789">
        <v>8.6853773022428915E-2</v>
      </c>
      <c r="W61" s="789">
        <v>8.7003212103689637E-2</v>
      </c>
      <c r="X61" s="789">
        <v>8.7279746663795094E-2</v>
      </c>
      <c r="Y61" s="789">
        <v>8.6257633455424587E-2</v>
      </c>
      <c r="Z61" s="789">
        <v>0.10235484074592105</v>
      </c>
      <c r="AA61" s="779">
        <v>0.11</v>
      </c>
      <c r="AB61" s="779">
        <v>0.11</v>
      </c>
      <c r="AC61" s="779">
        <v>0.11</v>
      </c>
      <c r="AD61" s="779">
        <v>0.11</v>
      </c>
      <c r="AE61" s="779">
        <v>0.11</v>
      </c>
      <c r="AF61" s="779">
        <v>0.11</v>
      </c>
      <c r="AG61" s="779">
        <v>0.11</v>
      </c>
      <c r="AI61" t="str">
        <f>A61</f>
        <v>Implied interest rate</v>
      </c>
      <c r="AJ61" s="108">
        <f t="shared" si="6"/>
        <v>0.1193020580508275</v>
      </c>
      <c r="AK61" s="108">
        <f t="shared" si="6"/>
        <v>0</v>
      </c>
      <c r="AL61" s="108">
        <f t="shared" si="6"/>
        <v>0</v>
      </c>
      <c r="AM61" s="108">
        <f t="shared" si="6"/>
        <v>0</v>
      </c>
      <c r="AN61" s="108">
        <f t="shared" si="6"/>
        <v>0</v>
      </c>
      <c r="AO61" s="108">
        <f t="shared" si="6"/>
        <v>0</v>
      </c>
      <c r="AP61" s="108">
        <f t="shared" si="6"/>
        <v>0</v>
      </c>
    </row>
    <row r="62" spans="1:42">
      <c r="A62" s="154" t="e">
        <f>Consolidation!#REF!</f>
        <v>#REF!</v>
      </c>
      <c r="B62" s="154" t="e">
        <f>Consolidation!#REF!</f>
        <v>#REF!</v>
      </c>
      <c r="C62" s="154" t="e">
        <f>Consolidation!#REF!</f>
        <v>#REF!</v>
      </c>
      <c r="D62" s="154" t="e">
        <f>Consolidation!#REF!</f>
        <v>#REF!</v>
      </c>
      <c r="E62" s="154" t="e">
        <f>Consolidation!#REF!</f>
        <v>#REF!</v>
      </c>
      <c r="F62" s="154" t="e">
        <f>Consolidation!#REF!</f>
        <v>#REF!</v>
      </c>
      <c r="G62" s="154" t="e">
        <f>Consolidation!#REF!</f>
        <v>#REF!</v>
      </c>
      <c r="H62" s="154" t="e">
        <f>Consolidation!#REF!</f>
        <v>#REF!</v>
      </c>
      <c r="I62" s="154" t="e">
        <f>Consolidation!#REF!</f>
        <v>#REF!</v>
      </c>
      <c r="J62" s="154" t="e">
        <f>Consolidation!#REF!</f>
        <v>#REF!</v>
      </c>
      <c r="K62" s="154" t="e">
        <f>Consolidation!#REF!</f>
        <v>#REF!</v>
      </c>
      <c r="L62" s="154" t="e">
        <f>Consolidation!#REF!</f>
        <v>#REF!</v>
      </c>
      <c r="M62" s="154" t="e">
        <f>Consolidation!#REF!</f>
        <v>#REF!</v>
      </c>
      <c r="N62" s="154" t="e">
        <f>Consolidation!#REF!</f>
        <v>#REF!</v>
      </c>
      <c r="O62" s="154" t="e">
        <f>Consolidation!#REF!</f>
        <v>#REF!</v>
      </c>
      <c r="P62" s="154" t="e">
        <f>Consolidation!#REF!</f>
        <v>#REF!</v>
      </c>
      <c r="Q62" s="154"/>
      <c r="R62" s="767">
        <v>0</v>
      </c>
      <c r="S62" s="767">
        <v>0</v>
      </c>
      <c r="T62" s="767">
        <v>0</v>
      </c>
      <c r="U62" s="767">
        <v>0</v>
      </c>
      <c r="V62" s="767">
        <v>0</v>
      </c>
      <c r="W62" s="767">
        <v>0</v>
      </c>
      <c r="X62" s="767">
        <v>0</v>
      </c>
      <c r="Y62" s="767">
        <v>0</v>
      </c>
      <c r="Z62" s="767">
        <v>0</v>
      </c>
      <c r="AA62" s="767">
        <v>0</v>
      </c>
      <c r="AB62" s="767">
        <v>0</v>
      </c>
      <c r="AC62" s="767">
        <v>0</v>
      </c>
      <c r="AD62" s="767">
        <v>0</v>
      </c>
      <c r="AE62" s="767">
        <v>0</v>
      </c>
      <c r="AF62" s="767">
        <v>0</v>
      </c>
      <c r="AG62" s="767">
        <v>0</v>
      </c>
    </row>
    <row r="63" spans="1:42">
      <c r="A63" s="154" t="str">
        <f>Consolidation!A48</f>
        <v>Growth in depreciation</v>
      </c>
      <c r="B63" s="154">
        <f>Consolidation!B48</f>
        <v>0</v>
      </c>
      <c r="C63" s="154">
        <f>Consolidation!C48</f>
        <v>0</v>
      </c>
      <c r="D63" s="154">
        <f>Consolidation!D48</f>
        <v>0</v>
      </c>
      <c r="E63" s="154">
        <f>Consolidation!E48</f>
        <v>0</v>
      </c>
      <c r="F63" s="544">
        <f>Consolidation!F48</f>
        <v>0.41854183057959604</v>
      </c>
      <c r="G63" s="544">
        <f>Consolidation!G48</f>
        <v>0.12194716116031001</v>
      </c>
      <c r="H63" s="544">
        <f>Consolidation!H48</f>
        <v>0.46024553019691838</v>
      </c>
      <c r="I63" s="544">
        <f>Consolidation!I48</f>
        <v>8.2153134345201106E-2</v>
      </c>
      <c r="J63" s="545">
        <f>Consolidation!J48</f>
        <v>-5.3391730538610016E-3</v>
      </c>
      <c r="K63" s="545">
        <f>Consolidation!K48</f>
        <v>0.03</v>
      </c>
      <c r="L63" s="545">
        <f>Consolidation!L48</f>
        <v>0.06</v>
      </c>
      <c r="M63" s="545">
        <f>Consolidation!M48</f>
        <v>0.05</v>
      </c>
      <c r="N63" s="545">
        <f>Consolidation!N48</f>
        <v>0.05</v>
      </c>
      <c r="O63" s="545">
        <f>Consolidation!O48</f>
        <v>0.05</v>
      </c>
      <c r="P63" s="545">
        <f>Consolidation!P48</f>
        <v>0.05</v>
      </c>
      <c r="Q63" s="154"/>
      <c r="R63" s="767" t="s">
        <v>301</v>
      </c>
      <c r="S63" s="767">
        <v>0</v>
      </c>
      <c r="T63" s="767">
        <v>0</v>
      </c>
      <c r="U63" s="767">
        <v>0</v>
      </c>
      <c r="V63" s="767">
        <v>0</v>
      </c>
      <c r="W63" s="788">
        <v>0.41854183057959604</v>
      </c>
      <c r="X63" s="788">
        <v>0.12194716116031001</v>
      </c>
      <c r="Y63" s="788">
        <v>0.46024553019691838</v>
      </c>
      <c r="Z63" s="788">
        <v>8.2153134345201106E-2</v>
      </c>
      <c r="AA63" s="779">
        <v>0.03</v>
      </c>
      <c r="AB63" s="779">
        <v>7.0000000000000007E-2</v>
      </c>
      <c r="AC63" s="779">
        <v>0.06</v>
      </c>
      <c r="AD63" s="779">
        <v>0.05</v>
      </c>
      <c r="AE63" s="779">
        <v>0.05</v>
      </c>
      <c r="AF63" s="779">
        <v>0.05</v>
      </c>
      <c r="AG63" s="779">
        <v>0.05</v>
      </c>
    </row>
    <row r="64" spans="1:42">
      <c r="A64" s="154">
        <f>Consolidation!A77</f>
        <v>0</v>
      </c>
      <c r="B64" s="154">
        <f>Consolidation!B77</f>
        <v>0</v>
      </c>
      <c r="C64" s="154">
        <f>Consolidation!C77</f>
        <v>0</v>
      </c>
      <c r="D64" s="154">
        <f>Consolidation!D77</f>
        <v>0</v>
      </c>
      <c r="E64" s="154">
        <f>Consolidation!E77</f>
        <v>0</v>
      </c>
      <c r="F64" s="154">
        <f>Consolidation!F77</f>
        <v>0</v>
      </c>
      <c r="G64" s="154">
        <f>Consolidation!G77</f>
        <v>0</v>
      </c>
      <c r="H64" s="154">
        <f>Consolidation!H77</f>
        <v>0</v>
      </c>
      <c r="I64" s="154">
        <f>Consolidation!I77</f>
        <v>0</v>
      </c>
      <c r="J64" s="154">
        <f>Consolidation!J77</f>
        <v>0</v>
      </c>
      <c r="K64" s="154">
        <f>Consolidation!K77</f>
        <v>0</v>
      </c>
      <c r="L64" s="154">
        <f>Consolidation!L77</f>
        <v>0</v>
      </c>
      <c r="M64" s="154">
        <f>Consolidation!M77</f>
        <v>0</v>
      </c>
      <c r="N64" s="154">
        <f>Consolidation!N77</f>
        <v>0</v>
      </c>
      <c r="O64" s="154">
        <f>Consolidation!O77</f>
        <v>0</v>
      </c>
      <c r="P64" s="154">
        <f>Consolidation!P77</f>
        <v>0</v>
      </c>
      <c r="Q64" s="154"/>
      <c r="R64" s="767">
        <v>0</v>
      </c>
      <c r="S64" s="767">
        <v>0</v>
      </c>
      <c r="T64" s="767">
        <v>0</v>
      </c>
      <c r="U64" s="767">
        <v>0</v>
      </c>
      <c r="V64" s="767">
        <v>0</v>
      </c>
      <c r="W64" s="767">
        <v>0</v>
      </c>
      <c r="X64" s="767">
        <v>0</v>
      </c>
      <c r="Y64" s="767">
        <v>0</v>
      </c>
      <c r="Z64" s="767">
        <v>0</v>
      </c>
      <c r="AA64" s="767">
        <v>0</v>
      </c>
      <c r="AB64" s="767">
        <v>0</v>
      </c>
      <c r="AC64" s="767">
        <v>0</v>
      </c>
      <c r="AD64" s="767">
        <v>0</v>
      </c>
      <c r="AE64" s="767">
        <v>0</v>
      </c>
      <c r="AF64" s="767">
        <v>0</v>
      </c>
      <c r="AG64" s="767">
        <v>0</v>
      </c>
    </row>
    <row r="65" spans="1:42">
      <c r="A65" s="154">
        <f>Consolidation!A80</f>
        <v>0</v>
      </c>
      <c r="B65" s="154">
        <f>Consolidation!B80</f>
        <v>0</v>
      </c>
      <c r="C65" s="154">
        <f>Consolidation!C80</f>
        <v>0</v>
      </c>
      <c r="D65" s="154">
        <f>Consolidation!D80</f>
        <v>0</v>
      </c>
      <c r="E65" s="154">
        <f>Consolidation!E80</f>
        <v>0</v>
      </c>
      <c r="F65" s="154">
        <f>Consolidation!F80</f>
        <v>0</v>
      </c>
      <c r="G65" s="154">
        <f>Consolidation!G80</f>
        <v>0</v>
      </c>
      <c r="H65" s="154">
        <f>Consolidation!H80</f>
        <v>0</v>
      </c>
      <c r="I65" s="154">
        <f>Consolidation!I80</f>
        <v>0</v>
      </c>
      <c r="J65" s="154">
        <f>Consolidation!J80</f>
        <v>0</v>
      </c>
      <c r="K65" s="154">
        <f>Consolidation!K80</f>
        <v>0</v>
      </c>
      <c r="L65" s="154">
        <f>Consolidation!L80</f>
        <v>0</v>
      </c>
      <c r="M65" s="154">
        <f>Consolidation!M80</f>
        <v>0</v>
      </c>
      <c r="N65" s="154">
        <f>Consolidation!N80</f>
        <v>0</v>
      </c>
      <c r="O65" s="154">
        <f>Consolidation!O80</f>
        <v>0</v>
      </c>
      <c r="P65" s="154">
        <f>Consolidation!P80</f>
        <v>0</v>
      </c>
      <c r="Q65" s="154"/>
      <c r="R65" s="767">
        <v>0</v>
      </c>
      <c r="S65" s="767">
        <v>0</v>
      </c>
      <c r="T65" s="767">
        <v>0</v>
      </c>
      <c r="U65" s="767">
        <v>0</v>
      </c>
      <c r="V65" s="767">
        <v>0</v>
      </c>
      <c r="W65" s="767">
        <v>0</v>
      </c>
      <c r="X65" s="767">
        <v>0</v>
      </c>
      <c r="Y65" s="767">
        <v>0</v>
      </c>
      <c r="Z65" s="767">
        <v>0</v>
      </c>
      <c r="AA65" s="767">
        <v>0</v>
      </c>
      <c r="AB65" s="767">
        <v>0</v>
      </c>
      <c r="AC65" s="767">
        <v>0</v>
      </c>
      <c r="AD65" s="767">
        <v>0</v>
      </c>
      <c r="AE65" s="767">
        <v>0</v>
      </c>
      <c r="AF65" s="767">
        <v>0</v>
      </c>
      <c r="AG65" s="767">
        <v>0</v>
      </c>
    </row>
    <row r="66" spans="1:42">
      <c r="A66" s="154">
        <f>Consolidation!A81</f>
        <v>0</v>
      </c>
      <c r="B66" s="154">
        <f>Consolidation!B81</f>
        <v>0</v>
      </c>
      <c r="C66" s="154">
        <f>Consolidation!C81</f>
        <v>0</v>
      </c>
      <c r="D66" s="154">
        <f>Consolidation!D81</f>
        <v>0</v>
      </c>
      <c r="E66" s="154">
        <f>Consolidation!E81</f>
        <v>0</v>
      </c>
      <c r="F66" s="154">
        <f>Consolidation!F81</f>
        <v>0</v>
      </c>
      <c r="G66" s="154">
        <f>Consolidation!G81</f>
        <v>0</v>
      </c>
      <c r="H66" s="154">
        <f>Consolidation!H81</f>
        <v>0</v>
      </c>
      <c r="I66" s="154">
        <f>Consolidation!I81</f>
        <v>0</v>
      </c>
      <c r="J66" s="154">
        <f>Consolidation!J81</f>
        <v>0</v>
      </c>
      <c r="K66" s="154">
        <f>Consolidation!K81</f>
        <v>0</v>
      </c>
      <c r="L66" s="154">
        <f>Consolidation!L81</f>
        <v>0</v>
      </c>
      <c r="M66" s="154">
        <f>Consolidation!M81</f>
        <v>0</v>
      </c>
      <c r="N66" s="154">
        <f>Consolidation!N81</f>
        <v>0</v>
      </c>
      <c r="O66" s="154">
        <f>Consolidation!O81</f>
        <v>0</v>
      </c>
      <c r="P66" s="154">
        <f>Consolidation!P81</f>
        <v>0</v>
      </c>
      <c r="Q66" s="154"/>
      <c r="R66" s="767">
        <v>0</v>
      </c>
      <c r="S66" s="767">
        <v>0</v>
      </c>
      <c r="T66" s="767">
        <v>0</v>
      </c>
      <c r="U66" s="767">
        <v>0</v>
      </c>
      <c r="V66" s="767">
        <v>0</v>
      </c>
      <c r="W66" s="767">
        <v>0</v>
      </c>
      <c r="X66" s="767">
        <v>0</v>
      </c>
      <c r="Y66" s="767">
        <v>0</v>
      </c>
      <c r="Z66" s="767">
        <v>0</v>
      </c>
      <c r="AA66" s="767">
        <v>0</v>
      </c>
      <c r="AB66" s="767">
        <v>0</v>
      </c>
      <c r="AC66" s="767">
        <v>0</v>
      </c>
      <c r="AD66" s="767">
        <v>0</v>
      </c>
      <c r="AE66" s="767">
        <v>0</v>
      </c>
      <c r="AF66" s="767">
        <v>0</v>
      </c>
      <c r="AG66" s="767">
        <v>0</v>
      </c>
    </row>
    <row r="67" spans="1:42">
      <c r="A67" s="519" t="str">
        <f>Consolidation!A82</f>
        <v>Capex</v>
      </c>
      <c r="B67" s="520">
        <f>Consolidation!B82</f>
        <v>2016</v>
      </c>
      <c r="C67" s="520">
        <f>Consolidation!C82</f>
        <v>2017</v>
      </c>
      <c r="D67" s="520">
        <f>Consolidation!D82</f>
        <v>2018</v>
      </c>
      <c r="E67" s="520">
        <f>Consolidation!E82</f>
        <v>2019</v>
      </c>
      <c r="F67" s="520">
        <f>Consolidation!F82</f>
        <v>2020</v>
      </c>
      <c r="G67" s="520">
        <f>Consolidation!G82</f>
        <v>2021</v>
      </c>
      <c r="H67" s="520">
        <f>Consolidation!H82</f>
        <v>2022</v>
      </c>
      <c r="I67" s="520">
        <f>Consolidation!I82</f>
        <v>2023</v>
      </c>
      <c r="J67" s="520">
        <f>Consolidation!J82</f>
        <v>2024</v>
      </c>
      <c r="K67" s="520" t="str">
        <f>Consolidation!K82</f>
        <v>2025E</v>
      </c>
      <c r="L67" s="520" t="str">
        <f>Consolidation!L82</f>
        <v>2026E</v>
      </c>
      <c r="M67" s="520" t="str">
        <f>Consolidation!M82</f>
        <v>2027E</v>
      </c>
      <c r="N67" s="520" t="str">
        <f>Consolidation!N82</f>
        <v>2028E</v>
      </c>
      <c r="O67" s="520" t="str">
        <f>Consolidation!O82</f>
        <v>2029E</v>
      </c>
      <c r="P67" s="520" t="str">
        <f>Consolidation!P82</f>
        <v>2030E</v>
      </c>
      <c r="Q67" s="154"/>
      <c r="R67" s="771" t="s">
        <v>316</v>
      </c>
      <c r="S67" s="772">
        <v>2016</v>
      </c>
      <c r="T67" s="772">
        <v>2017</v>
      </c>
      <c r="U67" s="772">
        <v>2018</v>
      </c>
      <c r="V67" s="772">
        <v>2019</v>
      </c>
      <c r="W67" s="772">
        <v>2020</v>
      </c>
      <c r="X67" s="772">
        <v>2021</v>
      </c>
      <c r="Y67" s="772">
        <v>2022</v>
      </c>
      <c r="Z67" s="772">
        <v>2023</v>
      </c>
      <c r="AA67" s="772" t="s">
        <v>265</v>
      </c>
      <c r="AB67" s="772" t="s">
        <v>266</v>
      </c>
      <c r="AC67" s="772" t="s">
        <v>267</v>
      </c>
      <c r="AD67" s="772" t="s">
        <v>268</v>
      </c>
      <c r="AE67" s="772" t="s">
        <v>269</v>
      </c>
      <c r="AF67" s="772" t="s">
        <v>270</v>
      </c>
      <c r="AG67" s="772" t="s">
        <v>271</v>
      </c>
    </row>
    <row r="68" spans="1:42">
      <c r="A68" s="154" t="str">
        <f>Consolidation!A83</f>
        <v>New sites</v>
      </c>
      <c r="B68" s="522">
        <f>Consolidation!B83</f>
        <v>0</v>
      </c>
      <c r="C68" s="522">
        <f>Consolidation!C83</f>
        <v>0</v>
      </c>
      <c r="D68" s="522">
        <f>Consolidation!D83</f>
        <v>0</v>
      </c>
      <c r="E68" s="522">
        <f>Consolidation!E83</f>
        <v>0</v>
      </c>
      <c r="F68" s="522">
        <f>Consolidation!F83</f>
        <v>30</v>
      </c>
      <c r="G68" s="522">
        <f>Consolidation!G83</f>
        <v>91</v>
      </c>
      <c r="H68" s="522">
        <f>Consolidation!H83</f>
        <v>87</v>
      </c>
      <c r="I68" s="522">
        <f>Consolidation!I83</f>
        <v>92</v>
      </c>
      <c r="J68" s="523">
        <f>Consolidation!J83</f>
        <v>54</v>
      </c>
      <c r="K68" s="523">
        <f>Consolidation!K83</f>
        <v>35</v>
      </c>
      <c r="L68" s="523">
        <f>Consolidation!L83</f>
        <v>42.666175044319765</v>
      </c>
      <c r="M68" s="523">
        <f>Consolidation!M83</f>
        <v>40.08420299882102</v>
      </c>
      <c r="N68" s="523">
        <f>Consolidation!N83</f>
        <v>39.186287448327931</v>
      </c>
      <c r="O68" s="523">
        <f>Consolidation!O83</f>
        <v>40.396508470005443</v>
      </c>
      <c r="P68" s="523">
        <f>Consolidation!P83</f>
        <v>41.445210849663141</v>
      </c>
      <c r="Q68" s="154"/>
      <c r="R68" s="767" t="s">
        <v>641</v>
      </c>
      <c r="S68" s="773">
        <v>0</v>
      </c>
      <c r="T68" s="773">
        <v>0</v>
      </c>
      <c r="U68" s="773">
        <v>0</v>
      </c>
      <c r="V68" s="773">
        <v>0</v>
      </c>
      <c r="W68" s="773">
        <v>30</v>
      </c>
      <c r="X68" s="773">
        <v>91</v>
      </c>
      <c r="Y68" s="773">
        <v>87</v>
      </c>
      <c r="Z68" s="773">
        <v>92</v>
      </c>
      <c r="AA68" s="773">
        <v>0</v>
      </c>
      <c r="AB68" s="773">
        <v>0</v>
      </c>
      <c r="AC68" s="773">
        <v>0</v>
      </c>
      <c r="AD68" s="773">
        <v>0</v>
      </c>
      <c r="AE68" s="773">
        <v>0</v>
      </c>
      <c r="AF68" s="773">
        <v>0</v>
      </c>
      <c r="AG68" s="773">
        <v>0</v>
      </c>
    </row>
    <row r="69" spans="1:42">
      <c r="A69" s="154" t="str">
        <f>Consolidation!A84</f>
        <v>Discretionary</v>
      </c>
      <c r="B69" s="523">
        <f>Consolidation!B84</f>
        <v>0</v>
      </c>
      <c r="C69" s="522">
        <f>Consolidation!C84</f>
        <v>200</v>
      </c>
      <c r="D69" s="522">
        <f>Consolidation!D84</f>
        <v>269</v>
      </c>
      <c r="E69" s="522">
        <f>Consolidation!E84</f>
        <v>86</v>
      </c>
      <c r="F69" s="522">
        <f>Consolidation!F84</f>
        <v>83</v>
      </c>
      <c r="G69" s="522">
        <f>Consolidation!G84</f>
        <v>185</v>
      </c>
      <c r="H69" s="522">
        <f>Consolidation!H84</f>
        <v>377</v>
      </c>
      <c r="I69" s="522">
        <f>Consolidation!I84</f>
        <v>352</v>
      </c>
      <c r="J69" s="523">
        <f>Consolidation!J84</f>
        <v>130</v>
      </c>
      <c r="K69" s="523">
        <f>Consolidation!K84</f>
        <v>142.79166107797295</v>
      </c>
      <c r="L69" s="523">
        <f>Consolidation!L84</f>
        <v>135.73530327150044</v>
      </c>
      <c r="M69" s="523">
        <f>Consolidation!M84</f>
        <v>147.12286949006091</v>
      </c>
      <c r="N69" s="523">
        <f>Consolidation!N84</f>
        <v>164.86649802653679</v>
      </c>
      <c r="O69" s="523">
        <f>Consolidation!O84</f>
        <v>170.72622353606141</v>
      </c>
      <c r="P69" s="523">
        <f>Consolidation!P84</f>
        <v>187.46880613334315</v>
      </c>
      <c r="Q69" s="154"/>
      <c r="R69" s="767" t="s">
        <v>643</v>
      </c>
      <c r="S69" s="773">
        <v>0</v>
      </c>
      <c r="T69" s="773">
        <v>200</v>
      </c>
      <c r="U69" s="773">
        <v>269</v>
      </c>
      <c r="V69" s="773">
        <v>86</v>
      </c>
      <c r="W69" s="773">
        <v>83</v>
      </c>
      <c r="X69" s="773">
        <v>185</v>
      </c>
      <c r="Y69" s="773">
        <v>377</v>
      </c>
      <c r="Z69" s="773">
        <v>352</v>
      </c>
      <c r="AA69" s="773">
        <v>0</v>
      </c>
      <c r="AB69" s="773">
        <v>0</v>
      </c>
      <c r="AC69" s="773">
        <v>0</v>
      </c>
      <c r="AD69" s="773">
        <v>0</v>
      </c>
      <c r="AE69" s="773">
        <v>0</v>
      </c>
      <c r="AF69" s="773">
        <v>0</v>
      </c>
      <c r="AG69" s="773">
        <v>0</v>
      </c>
    </row>
    <row r="70" spans="1:42">
      <c r="A70" s="154" t="str">
        <f>Consolidation!A85</f>
        <v>Non-discretionary</v>
      </c>
      <c r="B70" s="523">
        <f>Consolidation!B85</f>
        <v>0</v>
      </c>
      <c r="C70" s="522">
        <f>Consolidation!C85</f>
        <v>51</v>
      </c>
      <c r="D70" s="522">
        <f>Consolidation!D85</f>
        <v>109</v>
      </c>
      <c r="E70" s="522">
        <f>Consolidation!E85</f>
        <v>173</v>
      </c>
      <c r="F70" s="522">
        <f>Consolidation!F85</f>
        <v>116</v>
      </c>
      <c r="G70" s="522">
        <f>Consolidation!G85</f>
        <v>126</v>
      </c>
      <c r="H70" s="522">
        <f>Consolidation!H85</f>
        <v>170</v>
      </c>
      <c r="I70" s="522">
        <f>Consolidation!I85</f>
        <v>142</v>
      </c>
      <c r="J70" s="523">
        <f>Consolidation!J85</f>
        <v>73</v>
      </c>
      <c r="K70" s="523">
        <f>Consolidation!K85</f>
        <v>81</v>
      </c>
      <c r="L70" s="523">
        <f>Consolidation!L85</f>
        <v>91</v>
      </c>
      <c r="M70" s="523">
        <f>Consolidation!M85</f>
        <v>91</v>
      </c>
      <c r="N70" s="523">
        <f>Consolidation!N85</f>
        <v>91</v>
      </c>
      <c r="O70" s="523">
        <f>Consolidation!O85</f>
        <v>91</v>
      </c>
      <c r="P70" s="523">
        <f>Consolidation!P85</f>
        <v>91</v>
      </c>
      <c r="Q70" s="154"/>
      <c r="R70" s="767" t="s">
        <v>644</v>
      </c>
      <c r="S70" s="773">
        <v>0</v>
      </c>
      <c r="T70" s="773">
        <v>51</v>
      </c>
      <c r="U70" s="773">
        <v>109</v>
      </c>
      <c r="V70" s="773">
        <v>173</v>
      </c>
      <c r="W70" s="773">
        <v>116</v>
      </c>
      <c r="X70" s="773">
        <v>126</v>
      </c>
      <c r="Y70" s="773">
        <v>170</v>
      </c>
      <c r="Z70" s="773">
        <v>142</v>
      </c>
      <c r="AA70" s="773">
        <v>0</v>
      </c>
      <c r="AB70" s="773">
        <v>0</v>
      </c>
      <c r="AC70" s="773">
        <v>0</v>
      </c>
      <c r="AD70" s="773">
        <v>0</v>
      </c>
      <c r="AE70" s="773">
        <v>0</v>
      </c>
      <c r="AF70" s="773">
        <v>0</v>
      </c>
      <c r="AG70" s="773">
        <v>0</v>
      </c>
    </row>
    <row r="71" spans="1:42">
      <c r="A71" s="525" t="str">
        <f>Consolidation!A88</f>
        <v>Consolidated capex</v>
      </c>
      <c r="B71" s="526">
        <f>Consolidation!B88</f>
        <v>0</v>
      </c>
      <c r="C71" s="526">
        <f>Consolidation!C88</f>
        <v>251</v>
      </c>
      <c r="D71" s="526">
        <f>Consolidation!D88</f>
        <v>378</v>
      </c>
      <c r="E71" s="526">
        <f>Consolidation!E88</f>
        <v>259</v>
      </c>
      <c r="F71" s="526">
        <f>Consolidation!F88</f>
        <v>229</v>
      </c>
      <c r="G71" s="526">
        <f>Consolidation!G88</f>
        <v>402</v>
      </c>
      <c r="H71" s="526">
        <f>Consolidation!H88</f>
        <v>634</v>
      </c>
      <c r="I71" s="526">
        <f>Consolidation!I88</f>
        <v>586</v>
      </c>
      <c r="J71" s="526">
        <f>Consolidation!J88</f>
        <v>257</v>
      </c>
      <c r="K71" s="526">
        <f>Consolidation!K88</f>
        <v>258.79166107797295</v>
      </c>
      <c r="L71" s="526">
        <f>Consolidation!L88</f>
        <v>269.40147831582021</v>
      </c>
      <c r="M71" s="526">
        <f>Consolidation!M88</f>
        <v>278.20707248888192</v>
      </c>
      <c r="N71" s="526">
        <f>Consolidation!N88</f>
        <v>295.05278547486472</v>
      </c>
      <c r="O71" s="526">
        <f>Consolidation!O88</f>
        <v>302.12273200606688</v>
      </c>
      <c r="P71" s="526">
        <f>Consolidation!P88</f>
        <v>319.91401698300626</v>
      </c>
      <c r="Q71" s="154"/>
      <c r="R71" s="774" t="s">
        <v>646</v>
      </c>
      <c r="S71" s="775">
        <v>0</v>
      </c>
      <c r="T71" s="775">
        <v>251</v>
      </c>
      <c r="U71" s="775">
        <v>378</v>
      </c>
      <c r="V71" s="775">
        <v>259</v>
      </c>
      <c r="W71" s="775">
        <v>229</v>
      </c>
      <c r="X71" s="775">
        <v>402</v>
      </c>
      <c r="Y71" s="775">
        <v>634</v>
      </c>
      <c r="Z71" s="775">
        <v>586</v>
      </c>
      <c r="AA71" s="775">
        <v>278.98870047653332</v>
      </c>
      <c r="AB71" s="775">
        <v>294.52480150405228</v>
      </c>
      <c r="AC71" s="775">
        <v>316.6619134074532</v>
      </c>
      <c r="AD71" s="775">
        <v>323.55733058150787</v>
      </c>
      <c r="AE71" s="775">
        <v>323.40621743553697</v>
      </c>
      <c r="AF71" s="775">
        <v>318.92191032792147</v>
      </c>
      <c r="AG71" s="775">
        <v>310.20991857481857</v>
      </c>
      <c r="AI71" s="114" t="str">
        <f>A71</f>
        <v>Consolidated capex</v>
      </c>
      <c r="AJ71" s="417">
        <f t="shared" ref="AJ71:AP71" si="7">J71/AA71-1</f>
        <v>-7.8815738554912751E-2</v>
      </c>
      <c r="AK71" s="417">
        <f t="shared" si="7"/>
        <v>-0.12132472458550381</v>
      </c>
      <c r="AL71" s="417">
        <f t="shared" si="7"/>
        <v>-0.14924571945860232</v>
      </c>
      <c r="AM71" s="417">
        <f t="shared" si="7"/>
        <v>-0.14016142984960644</v>
      </c>
      <c r="AN71" s="417">
        <f t="shared" si="7"/>
        <v>-8.7671264286450556E-2</v>
      </c>
      <c r="AO71" s="417">
        <f t="shared" si="7"/>
        <v>-5.2674895571086178E-2</v>
      </c>
      <c r="AP71" s="417">
        <f t="shared" si="7"/>
        <v>3.1282360192642189E-2</v>
      </c>
    </row>
    <row r="72" spans="1:42">
      <c r="A72" s="154" t="str">
        <f>Consolidation!A89</f>
        <v>Capex % sales</v>
      </c>
      <c r="B72" s="467">
        <f>Consolidation!B89</f>
        <v>0</v>
      </c>
      <c r="C72" s="467">
        <f>Consolidation!C89</f>
        <v>0.22673893405600723</v>
      </c>
      <c r="D72" s="467">
        <f>Consolidation!D89</f>
        <v>0.32371328252119552</v>
      </c>
      <c r="E72" s="467">
        <f>Consolidation!E89</f>
        <v>0.21038847948428016</v>
      </c>
      <c r="F72" s="467">
        <f>Consolidation!F89</f>
        <v>0.16320328858189884</v>
      </c>
      <c r="G72" s="467">
        <f>Consolidation!G89</f>
        <v>0.2544738657871915</v>
      </c>
      <c r="H72" s="467">
        <f>Consolidation!H89</f>
        <v>0.32325514875600303</v>
      </c>
      <c r="I72" s="467">
        <f>Consolidation!I89</f>
        <v>0.27569477671310666</v>
      </c>
      <c r="J72" s="547">
        <f>Consolidation!J89</f>
        <v>0.15018480912796389</v>
      </c>
      <c r="K72" s="547">
        <f>Consolidation!K89</f>
        <v>0.15</v>
      </c>
      <c r="L72" s="547">
        <f>Consolidation!L89</f>
        <v>0.15</v>
      </c>
      <c r="M72" s="547">
        <f>Consolidation!M89</f>
        <v>0.14499999999999999</v>
      </c>
      <c r="N72" s="547">
        <f>Consolidation!N89</f>
        <v>0.14499999999999999</v>
      </c>
      <c r="O72" s="547">
        <f>Consolidation!O89</f>
        <v>0.14000000000000001</v>
      </c>
      <c r="P72" s="547">
        <f>Consolidation!P89</f>
        <v>0.14000000000000001</v>
      </c>
      <c r="Q72" s="154"/>
      <c r="R72" s="767" t="s">
        <v>645</v>
      </c>
      <c r="S72" s="777">
        <v>0</v>
      </c>
      <c r="T72" s="777">
        <v>0.22673893405600723</v>
      </c>
      <c r="U72" s="777">
        <v>0.32371328252119552</v>
      </c>
      <c r="V72" s="777">
        <v>0.21038847948428016</v>
      </c>
      <c r="W72" s="777">
        <v>0.16320328858189884</v>
      </c>
      <c r="X72" s="777">
        <v>0.2544738657871915</v>
      </c>
      <c r="Y72" s="777">
        <v>0.32325514875600303</v>
      </c>
      <c r="Z72" s="777">
        <v>0.27569477671310666</v>
      </c>
      <c r="AA72" s="777">
        <v>0.16500000000000001</v>
      </c>
      <c r="AB72" s="777">
        <v>0.16500000000000001</v>
      </c>
      <c r="AC72" s="777">
        <v>0.16</v>
      </c>
      <c r="AD72" s="777">
        <v>0.15</v>
      </c>
      <c r="AE72" s="777">
        <v>0.14000000000000001</v>
      </c>
      <c r="AF72" s="777">
        <v>0.13</v>
      </c>
      <c r="AG72" s="777">
        <v>0.12</v>
      </c>
    </row>
    <row r="73" spans="1:42">
      <c r="A73" s="530" t="str">
        <f>Consolidation!A90</f>
        <v>Guidance</v>
      </c>
      <c r="B73" s="530">
        <f>Consolidation!B90</f>
        <v>0</v>
      </c>
      <c r="C73" s="530">
        <f>Consolidation!C90</f>
        <v>0</v>
      </c>
      <c r="D73" s="530">
        <f>Consolidation!D90</f>
        <v>0</v>
      </c>
      <c r="E73" s="530">
        <f>Consolidation!E90</f>
        <v>0</v>
      </c>
      <c r="F73" s="530">
        <f>Consolidation!F90</f>
        <v>0</v>
      </c>
      <c r="G73" s="531">
        <f>Consolidation!G90</f>
        <v>0</v>
      </c>
      <c r="H73" s="531">
        <f>Consolidation!H90</f>
        <v>0</v>
      </c>
      <c r="I73" s="531">
        <f>Consolidation!I90</f>
        <v>0</v>
      </c>
      <c r="J73" s="531">
        <f>Consolidation!J90</f>
        <v>0</v>
      </c>
      <c r="K73" s="562" t="str">
        <f>Consolidation!K90</f>
        <v>240-270</v>
      </c>
      <c r="L73" s="531">
        <f>Consolidation!L90</f>
        <v>0</v>
      </c>
      <c r="M73" s="154">
        <f>Consolidation!M90</f>
        <v>0</v>
      </c>
      <c r="N73" s="154">
        <f>Consolidation!N90</f>
        <v>0</v>
      </c>
      <c r="O73" s="154">
        <f>Consolidation!O90</f>
        <v>0</v>
      </c>
      <c r="P73" s="154">
        <f>Consolidation!P90</f>
        <v>240</v>
      </c>
      <c r="Q73" s="154"/>
      <c r="R73" s="767" t="s">
        <v>648</v>
      </c>
      <c r="S73" s="767">
        <v>0</v>
      </c>
      <c r="T73" s="767">
        <v>0</v>
      </c>
      <c r="U73" s="767">
        <v>0</v>
      </c>
      <c r="V73" s="767">
        <v>0</v>
      </c>
      <c r="W73" s="767">
        <v>0</v>
      </c>
      <c r="X73" s="778">
        <v>0</v>
      </c>
      <c r="Y73" s="778">
        <v>0</v>
      </c>
      <c r="Z73" s="778">
        <v>0</v>
      </c>
      <c r="AA73" s="778" t="s">
        <v>1101</v>
      </c>
      <c r="AB73" s="790">
        <v>0</v>
      </c>
      <c r="AC73" s="778">
        <v>0</v>
      </c>
      <c r="AD73" s="767">
        <v>0</v>
      </c>
      <c r="AE73" s="767">
        <v>0</v>
      </c>
      <c r="AF73" s="767">
        <v>0</v>
      </c>
      <c r="AG73" s="767">
        <v>0</v>
      </c>
    </row>
    <row r="74" spans="1:42">
      <c r="A74" s="530" t="str">
        <f>Consolidation!A91</f>
        <v>Consensus</v>
      </c>
      <c r="B74" s="530">
        <f>Consolidation!B91</f>
        <v>0</v>
      </c>
      <c r="C74" s="530">
        <f>Consolidation!C91</f>
        <v>0</v>
      </c>
      <c r="D74" s="530">
        <f>Consolidation!D91</f>
        <v>0</v>
      </c>
      <c r="E74" s="530">
        <f>Consolidation!E91</f>
        <v>0</v>
      </c>
      <c r="F74" s="530">
        <f>Consolidation!F91</f>
        <v>0</v>
      </c>
      <c r="G74" s="531">
        <f>Consolidation!G91</f>
        <v>0</v>
      </c>
      <c r="H74" s="531">
        <f>Consolidation!H91</f>
        <v>0</v>
      </c>
      <c r="I74" s="531">
        <f>Consolidation!I91</f>
        <v>0</v>
      </c>
      <c r="J74" s="531">
        <f>Consolidation!J91</f>
        <v>0</v>
      </c>
      <c r="K74" s="531">
        <f>Consolidation!K91</f>
        <v>265.78637896749791</v>
      </c>
      <c r="L74" s="531">
        <f>Consolidation!L91</f>
        <v>230.9842827399232</v>
      </c>
      <c r="M74" s="154">
        <f>Consolidation!M91</f>
        <v>228.97464803843249</v>
      </c>
      <c r="N74" s="154">
        <f>Consolidation!N91</f>
        <v>0</v>
      </c>
      <c r="O74" s="154">
        <f>Consolidation!O91</f>
        <v>0</v>
      </c>
      <c r="P74" s="154">
        <f>Consolidation!P91</f>
        <v>260</v>
      </c>
      <c r="Q74" s="154"/>
      <c r="R74" s="767" t="s">
        <v>637</v>
      </c>
      <c r="S74" s="767">
        <v>0</v>
      </c>
      <c r="T74" s="767">
        <v>0</v>
      </c>
      <c r="U74" s="767">
        <v>0</v>
      </c>
      <c r="V74" s="767">
        <v>0</v>
      </c>
      <c r="W74" s="767">
        <v>0</v>
      </c>
      <c r="X74" s="778">
        <v>0</v>
      </c>
      <c r="Y74" s="778">
        <v>0</v>
      </c>
      <c r="Z74" s="778">
        <v>0</v>
      </c>
      <c r="AA74" s="778">
        <v>340.5</v>
      </c>
      <c r="AB74" s="778">
        <v>398.1</v>
      </c>
      <c r="AC74" s="778">
        <v>428.4</v>
      </c>
      <c r="AD74" s="767">
        <v>0</v>
      </c>
      <c r="AE74" s="767">
        <v>0</v>
      </c>
      <c r="AF74" s="767">
        <v>0</v>
      </c>
      <c r="AG74" s="767">
        <v>0</v>
      </c>
    </row>
    <row r="75" spans="1:42">
      <c r="A75" s="530" t="str">
        <f>Consolidation!A92</f>
        <v>Diff.</v>
      </c>
      <c r="B75" s="530">
        <f>Consolidation!B92</f>
        <v>0</v>
      </c>
      <c r="C75" s="530">
        <f>Consolidation!C92</f>
        <v>0</v>
      </c>
      <c r="D75" s="530">
        <f>Consolidation!D92</f>
        <v>0</v>
      </c>
      <c r="E75" s="530">
        <f>Consolidation!E92</f>
        <v>0</v>
      </c>
      <c r="F75" s="530">
        <f>Consolidation!F92</f>
        <v>0</v>
      </c>
      <c r="G75" s="531">
        <f>Consolidation!G92</f>
        <v>0</v>
      </c>
      <c r="H75" s="536">
        <f>Consolidation!H92</f>
        <v>0</v>
      </c>
      <c r="I75" s="536">
        <f>Consolidation!I92</f>
        <v>0</v>
      </c>
      <c r="J75" s="536">
        <f>Consolidation!J92</f>
        <v>0</v>
      </c>
      <c r="K75" s="536">
        <f>Consolidation!K92</f>
        <v>-2.6317066798898336E-2</v>
      </c>
      <c r="L75" s="536">
        <f>Consolidation!L92</f>
        <v>0.1663195223510201</v>
      </c>
      <c r="M75" s="154">
        <f>Consolidation!M92</f>
        <v>0.21501255650881479</v>
      </c>
      <c r="N75" s="154">
        <f>Consolidation!N92</f>
        <v>0</v>
      </c>
      <c r="O75" s="154">
        <f>Consolidation!O92</f>
        <v>0</v>
      </c>
      <c r="P75" s="154">
        <f>Consolidation!P92</f>
        <v>-7.6923076923076872E-2</v>
      </c>
      <c r="Q75" s="154"/>
      <c r="R75" s="767" t="s">
        <v>638</v>
      </c>
      <c r="S75" s="767">
        <v>0</v>
      </c>
      <c r="T75" s="767">
        <v>0</v>
      </c>
      <c r="U75" s="767">
        <v>0</v>
      </c>
      <c r="V75" s="767">
        <v>0</v>
      </c>
      <c r="W75" s="767">
        <v>0</v>
      </c>
      <c r="X75" s="778">
        <v>0</v>
      </c>
      <c r="Y75" s="784">
        <v>0</v>
      </c>
      <c r="Z75" s="784">
        <v>0</v>
      </c>
      <c r="AA75" s="784">
        <v>-0.18064992517905043</v>
      </c>
      <c r="AB75" s="784">
        <v>-0.26017382189386518</v>
      </c>
      <c r="AC75" s="784">
        <v>-0.26082653266234079</v>
      </c>
      <c r="AD75" s="767">
        <v>0</v>
      </c>
      <c r="AE75" s="767">
        <v>0</v>
      </c>
      <c r="AF75" s="767">
        <v>0</v>
      </c>
      <c r="AG75" s="767">
        <v>0</v>
      </c>
    </row>
    <row r="76" spans="1:42">
      <c r="A76" s="154">
        <f>Consolidation!A93</f>
        <v>0</v>
      </c>
      <c r="B76" s="154">
        <f>Consolidation!B93</f>
        <v>0</v>
      </c>
      <c r="C76" s="154">
        <f>Consolidation!C93</f>
        <v>0</v>
      </c>
      <c r="D76" s="154">
        <f>Consolidation!D93</f>
        <v>0</v>
      </c>
      <c r="E76" s="154">
        <f>Consolidation!E93</f>
        <v>0</v>
      </c>
      <c r="F76" s="154">
        <f>Consolidation!F93</f>
        <v>0</v>
      </c>
      <c r="G76" s="154">
        <f>Consolidation!G93</f>
        <v>0</v>
      </c>
      <c r="H76" s="154">
        <f>Consolidation!H93</f>
        <v>0</v>
      </c>
      <c r="I76" s="154">
        <f>Consolidation!I93</f>
        <v>0</v>
      </c>
      <c r="J76" s="154">
        <f>Consolidation!J93</f>
        <v>0</v>
      </c>
      <c r="K76" s="154">
        <f>Consolidation!K93</f>
        <v>0</v>
      </c>
      <c r="L76" s="154">
        <f>Consolidation!L93</f>
        <v>0</v>
      </c>
      <c r="M76" s="154">
        <f>Consolidation!M93</f>
        <v>0</v>
      </c>
      <c r="N76" s="154">
        <f>Consolidation!N93</f>
        <v>0</v>
      </c>
      <c r="O76" s="154">
        <f>Consolidation!O93</f>
        <v>0</v>
      </c>
      <c r="P76" s="154">
        <f>Consolidation!P93</f>
        <v>0</v>
      </c>
      <c r="Q76" s="154"/>
      <c r="R76" s="767">
        <v>0</v>
      </c>
      <c r="S76" s="767">
        <v>0</v>
      </c>
      <c r="T76" s="767">
        <v>0</v>
      </c>
      <c r="U76" s="767">
        <v>0</v>
      </c>
      <c r="V76" s="767">
        <v>0</v>
      </c>
      <c r="W76" s="767">
        <v>0</v>
      </c>
      <c r="X76" s="767">
        <v>0</v>
      </c>
      <c r="Y76" s="767">
        <v>0</v>
      </c>
      <c r="Z76" s="767">
        <v>0</v>
      </c>
      <c r="AA76" s="767">
        <v>0</v>
      </c>
      <c r="AB76" s="767">
        <v>0</v>
      </c>
      <c r="AC76" s="767">
        <v>0</v>
      </c>
      <c r="AD76" s="767">
        <v>0</v>
      </c>
      <c r="AE76" s="767">
        <v>0</v>
      </c>
      <c r="AF76" s="767">
        <v>0</v>
      </c>
      <c r="AG76" s="767">
        <v>0</v>
      </c>
    </row>
    <row r="77" spans="1:42">
      <c r="A77" s="154" t="e">
        <f>Consolidation!#REF!</f>
        <v>#REF!</v>
      </c>
      <c r="B77" s="154" t="e">
        <f>Consolidation!#REF!</f>
        <v>#REF!</v>
      </c>
      <c r="C77" s="154" t="e">
        <f>Consolidation!#REF!</f>
        <v>#REF!</v>
      </c>
      <c r="D77" s="154" t="e">
        <f>Consolidation!#REF!</f>
        <v>#REF!</v>
      </c>
      <c r="E77" s="154" t="e">
        <f>Consolidation!#REF!</f>
        <v>#REF!</v>
      </c>
      <c r="F77" s="154" t="e">
        <f>Consolidation!#REF!</f>
        <v>#REF!</v>
      </c>
      <c r="G77" s="154" t="e">
        <f>Consolidation!#REF!</f>
        <v>#REF!</v>
      </c>
      <c r="H77" s="154" t="e">
        <f>Consolidation!#REF!</f>
        <v>#REF!</v>
      </c>
      <c r="I77" s="154" t="e">
        <f>Consolidation!#REF!</f>
        <v>#REF!</v>
      </c>
      <c r="J77" s="154" t="e">
        <f>Consolidation!#REF!</f>
        <v>#REF!</v>
      </c>
      <c r="K77" s="154" t="e">
        <f>Consolidation!#REF!</f>
        <v>#REF!</v>
      </c>
      <c r="L77" s="154" t="e">
        <f>Consolidation!#REF!</f>
        <v>#REF!</v>
      </c>
      <c r="M77" s="154" t="e">
        <f>Consolidation!#REF!</f>
        <v>#REF!</v>
      </c>
      <c r="N77" s="154" t="e">
        <f>Consolidation!#REF!</f>
        <v>#REF!</v>
      </c>
      <c r="O77" s="154" t="e">
        <f>Consolidation!#REF!</f>
        <v>#REF!</v>
      </c>
      <c r="P77" s="154" t="e">
        <f>Consolidation!#REF!</f>
        <v>#REF!</v>
      </c>
      <c r="Q77" s="154"/>
      <c r="R77" s="767">
        <v>0</v>
      </c>
      <c r="S77" s="767">
        <v>0</v>
      </c>
      <c r="T77" s="767">
        <v>0</v>
      </c>
      <c r="U77" s="767">
        <v>0</v>
      </c>
      <c r="V77" s="767">
        <v>0</v>
      </c>
      <c r="W77" s="767">
        <v>0</v>
      </c>
      <c r="X77" s="767">
        <v>0</v>
      </c>
      <c r="Y77" s="767">
        <v>0</v>
      </c>
      <c r="Z77" s="767">
        <v>0</v>
      </c>
      <c r="AA77" s="767">
        <v>0</v>
      </c>
      <c r="AB77" s="767">
        <v>0</v>
      </c>
      <c r="AC77" s="767">
        <v>0</v>
      </c>
      <c r="AD77" s="767">
        <v>0</v>
      </c>
      <c r="AE77" s="767">
        <v>0</v>
      </c>
      <c r="AF77" s="767">
        <v>0</v>
      </c>
      <c r="AG77" s="767">
        <v>0</v>
      </c>
    </row>
    <row r="78" spans="1:42">
      <c r="A78" s="154" t="str">
        <f>Consolidation!A95</f>
        <v>Nigeria</v>
      </c>
      <c r="B78" s="523">
        <f>Consolidation!B95</f>
        <v>0</v>
      </c>
      <c r="C78" s="523">
        <f>Consolidation!C95</f>
        <v>0</v>
      </c>
      <c r="D78" s="523">
        <f>Consolidation!D95</f>
        <v>0</v>
      </c>
      <c r="E78" s="523">
        <f>Consolidation!E95</f>
        <v>0</v>
      </c>
      <c r="F78" s="523">
        <f>Consolidation!F95</f>
        <v>168.035</v>
      </c>
      <c r="G78" s="523">
        <f>Consolidation!G95</f>
        <v>299.68299999999999</v>
      </c>
      <c r="H78" s="523">
        <f>Consolidation!H95</f>
        <v>404.62799999999999</v>
      </c>
      <c r="I78" s="523">
        <f>Consolidation!I95</f>
        <v>316.221</v>
      </c>
      <c r="J78" s="523">
        <f>Consolidation!J95</f>
        <v>90.912999999999997</v>
      </c>
      <c r="K78" s="523">
        <f>Consolidation!K95</f>
        <v>0</v>
      </c>
      <c r="L78" s="523">
        <f>Consolidation!L95</f>
        <v>0</v>
      </c>
      <c r="M78" s="523">
        <f>Consolidation!M95</f>
        <v>0</v>
      </c>
      <c r="N78" s="523">
        <f>Consolidation!N95</f>
        <v>0</v>
      </c>
      <c r="O78" s="523">
        <f>Consolidation!O95</f>
        <v>0</v>
      </c>
      <c r="P78" s="523">
        <f>Consolidation!P95</f>
        <v>0</v>
      </c>
      <c r="Q78" s="154"/>
      <c r="R78" s="767" t="s">
        <v>203</v>
      </c>
      <c r="S78" s="773">
        <v>0</v>
      </c>
      <c r="T78" s="773">
        <v>0</v>
      </c>
      <c r="U78" s="773">
        <v>0</v>
      </c>
      <c r="V78" s="773">
        <v>0</v>
      </c>
      <c r="W78" s="773">
        <v>168.035</v>
      </c>
      <c r="X78" s="773">
        <v>299.68299999999999</v>
      </c>
      <c r="Y78" s="773">
        <v>404.62799999999999</v>
      </c>
      <c r="Z78" s="773">
        <v>316.221</v>
      </c>
      <c r="AA78" s="773">
        <v>0</v>
      </c>
      <c r="AB78" s="773">
        <v>0</v>
      </c>
      <c r="AC78" s="773">
        <v>0</v>
      </c>
      <c r="AD78" s="773">
        <v>0</v>
      </c>
      <c r="AE78" s="773">
        <v>0</v>
      </c>
      <c r="AF78" s="773">
        <v>0</v>
      </c>
      <c r="AG78" s="773">
        <v>0</v>
      </c>
    </row>
    <row r="79" spans="1:42">
      <c r="A79" s="154" t="str">
        <f>Consolidation!A96</f>
        <v>Sub-Sahara Africa</v>
      </c>
      <c r="B79" s="523">
        <f>Consolidation!B96</f>
        <v>0</v>
      </c>
      <c r="C79" s="523">
        <f>Consolidation!C96</f>
        <v>0</v>
      </c>
      <c r="D79" s="523">
        <f>Consolidation!D96</f>
        <v>0</v>
      </c>
      <c r="E79" s="523">
        <f>Consolidation!E96</f>
        <v>0</v>
      </c>
      <c r="F79" s="523">
        <f>Consolidation!F96</f>
        <v>43.45</v>
      </c>
      <c r="G79" s="523">
        <f>Consolidation!G96</f>
        <v>42.319000000000003</v>
      </c>
      <c r="H79" s="523">
        <f>Consolidation!H96</f>
        <v>97.75</v>
      </c>
      <c r="I79" s="523">
        <f>Consolidation!I96</f>
        <v>73.769000000000005</v>
      </c>
      <c r="J79" s="523">
        <f>Consolidation!J96</f>
        <v>38.15</v>
      </c>
      <c r="K79" s="523">
        <f>Consolidation!K96</f>
        <v>0</v>
      </c>
      <c r="L79" s="523">
        <f>Consolidation!L96</f>
        <v>0</v>
      </c>
      <c r="M79" s="523">
        <f>Consolidation!M96</f>
        <v>0</v>
      </c>
      <c r="N79" s="523">
        <f>Consolidation!N96</f>
        <v>0</v>
      </c>
      <c r="O79" s="523">
        <f>Consolidation!O96</f>
        <v>0</v>
      </c>
      <c r="P79" s="523">
        <f>Consolidation!P96</f>
        <v>0</v>
      </c>
      <c r="Q79" s="154"/>
      <c r="R79" s="767" t="s">
        <v>272</v>
      </c>
      <c r="S79" s="773">
        <v>0</v>
      </c>
      <c r="T79" s="773">
        <v>0</v>
      </c>
      <c r="U79" s="773">
        <v>0</v>
      </c>
      <c r="V79" s="773">
        <v>0</v>
      </c>
      <c r="W79" s="773">
        <v>43.45</v>
      </c>
      <c r="X79" s="773">
        <v>42.319000000000003</v>
      </c>
      <c r="Y79" s="773">
        <v>97.75</v>
      </c>
      <c r="Z79" s="773">
        <v>73.769000000000005</v>
      </c>
      <c r="AA79" s="773">
        <v>0</v>
      </c>
      <c r="AB79" s="773">
        <v>0</v>
      </c>
      <c r="AC79" s="773">
        <v>0</v>
      </c>
      <c r="AD79" s="773">
        <v>0</v>
      </c>
      <c r="AE79" s="773">
        <v>0</v>
      </c>
      <c r="AF79" s="773">
        <v>0</v>
      </c>
      <c r="AG79" s="773">
        <v>0</v>
      </c>
    </row>
    <row r="80" spans="1:42">
      <c r="A80" s="154" t="str">
        <f>Consolidation!A97</f>
        <v>Latam</v>
      </c>
      <c r="B80" s="523">
        <f>Consolidation!B97</f>
        <v>0</v>
      </c>
      <c r="C80" s="523">
        <f>Consolidation!C97</f>
        <v>0</v>
      </c>
      <c r="D80" s="523">
        <f>Consolidation!D97</f>
        <v>0</v>
      </c>
      <c r="E80" s="523">
        <f>Consolidation!E97</f>
        <v>0</v>
      </c>
      <c r="F80" s="523">
        <f>Consolidation!F97</f>
        <v>14.022</v>
      </c>
      <c r="G80" s="523">
        <f>Consolidation!G97</f>
        <v>52.908000000000001</v>
      </c>
      <c r="H80" s="523">
        <f>Consolidation!H97</f>
        <v>121.158</v>
      </c>
      <c r="I80" s="523">
        <f>Consolidation!I97</f>
        <v>187.803</v>
      </c>
      <c r="J80" s="523">
        <f>Consolidation!J97</f>
        <v>123.145</v>
      </c>
      <c r="K80" s="523">
        <f>Consolidation!K97</f>
        <v>0</v>
      </c>
      <c r="L80" s="523">
        <f>Consolidation!L97</f>
        <v>0</v>
      </c>
      <c r="M80" s="523">
        <f>Consolidation!M97</f>
        <v>0</v>
      </c>
      <c r="N80" s="523">
        <f>Consolidation!N97</f>
        <v>0</v>
      </c>
      <c r="O80" s="523">
        <f>Consolidation!O97</f>
        <v>0</v>
      </c>
      <c r="P80" s="523">
        <f>Consolidation!P97</f>
        <v>0</v>
      </c>
      <c r="Q80" s="154"/>
      <c r="R80" s="767" t="s">
        <v>160</v>
      </c>
      <c r="S80" s="773">
        <v>0</v>
      </c>
      <c r="T80" s="773">
        <v>0</v>
      </c>
      <c r="U80" s="773">
        <v>0</v>
      </c>
      <c r="V80" s="773">
        <v>0</v>
      </c>
      <c r="W80" s="773">
        <v>14.022</v>
      </c>
      <c r="X80" s="773">
        <v>52.908000000000001</v>
      </c>
      <c r="Y80" s="773">
        <v>121.158</v>
      </c>
      <c r="Z80" s="773">
        <v>187.803</v>
      </c>
      <c r="AA80" s="773">
        <v>0</v>
      </c>
      <c r="AB80" s="773">
        <v>0</v>
      </c>
      <c r="AC80" s="773">
        <v>0</v>
      </c>
      <c r="AD80" s="773">
        <v>0</v>
      </c>
      <c r="AE80" s="773">
        <v>0</v>
      </c>
      <c r="AF80" s="773">
        <v>0</v>
      </c>
      <c r="AG80" s="773">
        <v>0</v>
      </c>
    </row>
    <row r="81" spans="1:33">
      <c r="A81" s="154" t="str">
        <f>Consolidation!A98</f>
        <v>MENA</v>
      </c>
      <c r="B81" s="523">
        <f>Consolidation!B98</f>
        <v>0</v>
      </c>
      <c r="C81" s="523">
        <f>Consolidation!C98</f>
        <v>0</v>
      </c>
      <c r="D81" s="523">
        <f>Consolidation!D98</f>
        <v>0</v>
      </c>
      <c r="E81" s="523">
        <f>Consolidation!E98</f>
        <v>0</v>
      </c>
      <c r="F81" s="523">
        <f>Consolidation!F98</f>
        <v>0.89100000000000001</v>
      </c>
      <c r="G81" s="523">
        <f>Consolidation!G98</f>
        <v>5.9660000000000002</v>
      </c>
      <c r="H81" s="523">
        <f>Consolidation!H98</f>
        <v>6.9740000000000002</v>
      </c>
      <c r="I81" s="523">
        <f>Consolidation!I98</f>
        <v>5.8550000000000004</v>
      </c>
      <c r="J81" s="523">
        <f>Consolidation!J98</f>
        <v>1.375</v>
      </c>
      <c r="K81" s="523">
        <f>Consolidation!K98</f>
        <v>0</v>
      </c>
      <c r="L81" s="523">
        <f>Consolidation!L98</f>
        <v>0</v>
      </c>
      <c r="M81" s="523">
        <f>Consolidation!M98</f>
        <v>0</v>
      </c>
      <c r="N81" s="523">
        <f>Consolidation!N98</f>
        <v>0</v>
      </c>
      <c r="O81" s="523">
        <f>Consolidation!O98</f>
        <v>0</v>
      </c>
      <c r="P81" s="523">
        <f>Consolidation!P98</f>
        <v>0</v>
      </c>
      <c r="Q81" s="154"/>
      <c r="R81" s="767" t="s">
        <v>273</v>
      </c>
      <c r="S81" s="773">
        <v>0</v>
      </c>
      <c r="T81" s="773">
        <v>0</v>
      </c>
      <c r="U81" s="773">
        <v>0</v>
      </c>
      <c r="V81" s="773">
        <v>0</v>
      </c>
      <c r="W81" s="773">
        <v>0.89100000000000001</v>
      </c>
      <c r="X81" s="773">
        <v>5.9660000000000002</v>
      </c>
      <c r="Y81" s="773">
        <v>6.9740000000000002</v>
      </c>
      <c r="Z81" s="773">
        <v>5.8550000000000004</v>
      </c>
      <c r="AA81" s="773">
        <v>0</v>
      </c>
      <c r="AB81" s="773">
        <v>0</v>
      </c>
      <c r="AC81" s="773">
        <v>0</v>
      </c>
      <c r="AD81" s="773">
        <v>0</v>
      </c>
      <c r="AE81" s="773">
        <v>0</v>
      </c>
      <c r="AF81" s="773">
        <v>0</v>
      </c>
      <c r="AG81" s="773">
        <v>0</v>
      </c>
    </row>
    <row r="82" spans="1:33">
      <c r="A82" s="154" t="str">
        <f>Consolidation!A99</f>
        <v>Others</v>
      </c>
      <c r="B82" s="523">
        <f>Consolidation!B99</f>
        <v>0</v>
      </c>
      <c r="C82" s="523">
        <f>Consolidation!C99</f>
        <v>0</v>
      </c>
      <c r="D82" s="523">
        <f>Consolidation!D99</f>
        <v>0</v>
      </c>
      <c r="E82" s="523">
        <f>Consolidation!E99</f>
        <v>0</v>
      </c>
      <c r="F82" s="548">
        <f>Consolidation!F99</f>
        <v>2.8010000000000002</v>
      </c>
      <c r="G82" s="548">
        <f>Consolidation!G99</f>
        <v>1.6</v>
      </c>
      <c r="H82" s="548">
        <f>Consolidation!H99</f>
        <v>2.96</v>
      </c>
      <c r="I82" s="548">
        <f>Consolidation!I99</f>
        <v>2.399</v>
      </c>
      <c r="J82" s="548">
        <f>Consolidation!J99</f>
        <v>2.2930000000000001</v>
      </c>
      <c r="K82" s="548">
        <f>Consolidation!K99</f>
        <v>0</v>
      </c>
      <c r="L82" s="548">
        <f>Consolidation!L99</f>
        <v>0</v>
      </c>
      <c r="M82" s="548">
        <f>Consolidation!M99</f>
        <v>0</v>
      </c>
      <c r="N82" s="548">
        <f>Consolidation!N99</f>
        <v>0</v>
      </c>
      <c r="O82" s="548">
        <f>Consolidation!O99</f>
        <v>0</v>
      </c>
      <c r="P82" s="548">
        <f>Consolidation!P99</f>
        <v>0</v>
      </c>
      <c r="Q82" s="154"/>
      <c r="R82" s="767" t="s">
        <v>665</v>
      </c>
      <c r="S82" s="773">
        <v>0</v>
      </c>
      <c r="T82" s="773">
        <v>0</v>
      </c>
      <c r="U82" s="773">
        <v>0</v>
      </c>
      <c r="V82" s="773">
        <v>0</v>
      </c>
      <c r="W82" s="773">
        <v>2.8010000000000002</v>
      </c>
      <c r="X82" s="773">
        <v>1.6</v>
      </c>
      <c r="Y82" s="773">
        <v>2.96</v>
      </c>
      <c r="Z82" s="773">
        <v>2.399</v>
      </c>
      <c r="AA82" s="773">
        <v>0</v>
      </c>
      <c r="AB82" s="773">
        <v>0</v>
      </c>
      <c r="AC82" s="773">
        <v>0</v>
      </c>
      <c r="AD82" s="773">
        <v>0</v>
      </c>
      <c r="AE82" s="773">
        <v>0</v>
      </c>
      <c r="AF82" s="773">
        <v>0</v>
      </c>
      <c r="AG82" s="773">
        <v>0</v>
      </c>
    </row>
    <row r="83" spans="1:33">
      <c r="A83" s="525" t="str">
        <f>Consolidation!A100</f>
        <v>Total</v>
      </c>
      <c r="B83" s="549">
        <f>Consolidation!B100</f>
        <v>0</v>
      </c>
      <c r="C83" s="549">
        <f>Consolidation!C100</f>
        <v>0</v>
      </c>
      <c r="D83" s="549">
        <f>Consolidation!D100</f>
        <v>0</v>
      </c>
      <c r="E83" s="549">
        <f>Consolidation!E100</f>
        <v>0</v>
      </c>
      <c r="F83" s="550">
        <f>Consolidation!F100</f>
        <v>229.19899999999998</v>
      </c>
      <c r="G83" s="550">
        <f>Consolidation!G100</f>
        <v>402.47600000000006</v>
      </c>
      <c r="H83" s="550">
        <f>Consolidation!H100</f>
        <v>633.47</v>
      </c>
      <c r="I83" s="550">
        <f>Consolidation!I100</f>
        <v>586.04700000000003</v>
      </c>
      <c r="J83" s="550">
        <f>Consolidation!J100</f>
        <v>255.87599999999998</v>
      </c>
      <c r="K83" s="550">
        <f>Consolidation!K100</f>
        <v>0</v>
      </c>
      <c r="L83" s="550">
        <f>Consolidation!L100</f>
        <v>0</v>
      </c>
      <c r="M83" s="550">
        <f>Consolidation!M100</f>
        <v>0</v>
      </c>
      <c r="N83" s="550">
        <f>Consolidation!N100</f>
        <v>0</v>
      </c>
      <c r="O83" s="550">
        <f>Consolidation!O100</f>
        <v>0</v>
      </c>
      <c r="P83" s="550">
        <f>Consolidation!P100</f>
        <v>0</v>
      </c>
      <c r="Q83" s="154"/>
      <c r="R83" s="774" t="s">
        <v>181</v>
      </c>
      <c r="S83" s="791">
        <v>0</v>
      </c>
      <c r="T83" s="791">
        <v>0</v>
      </c>
      <c r="U83" s="791">
        <v>0</v>
      </c>
      <c r="V83" s="791">
        <v>0</v>
      </c>
      <c r="W83" s="792">
        <v>229.19899999999998</v>
      </c>
      <c r="X83" s="792">
        <v>402.47600000000006</v>
      </c>
      <c r="Y83" s="792">
        <v>633.47</v>
      </c>
      <c r="Z83" s="792">
        <v>586.04700000000003</v>
      </c>
      <c r="AA83" s="792">
        <v>0</v>
      </c>
      <c r="AB83" s="792">
        <v>0</v>
      </c>
      <c r="AC83" s="792">
        <v>0</v>
      </c>
      <c r="AD83" s="792">
        <v>0</v>
      </c>
      <c r="AE83" s="792">
        <v>0</v>
      </c>
      <c r="AF83" s="792">
        <v>0</v>
      </c>
      <c r="AG83" s="792">
        <v>0</v>
      </c>
    </row>
    <row r="84" spans="1:33">
      <c r="A84" s="154">
        <f>Consolidation!A101</f>
        <v>0</v>
      </c>
      <c r="B84" s="154">
        <f>Consolidation!B101</f>
        <v>0</v>
      </c>
      <c r="C84" s="154">
        <f>Consolidation!C101</f>
        <v>0</v>
      </c>
      <c r="D84" s="154">
        <f>Consolidation!D101</f>
        <v>0</v>
      </c>
      <c r="E84" s="154">
        <f>Consolidation!E101</f>
        <v>0</v>
      </c>
      <c r="F84" s="154">
        <f>Consolidation!F101</f>
        <v>0</v>
      </c>
      <c r="G84" s="154">
        <f>Consolidation!G101</f>
        <v>0</v>
      </c>
      <c r="H84" s="154">
        <f>Consolidation!H101</f>
        <v>0</v>
      </c>
      <c r="I84" s="154">
        <f>Consolidation!I101</f>
        <v>0</v>
      </c>
      <c r="J84" s="154">
        <f>Consolidation!J101</f>
        <v>0</v>
      </c>
      <c r="K84" s="154">
        <f>Consolidation!K101</f>
        <v>0</v>
      </c>
      <c r="L84" s="154">
        <f>Consolidation!L101</f>
        <v>0</v>
      </c>
      <c r="M84" s="154">
        <f>Consolidation!M101</f>
        <v>0</v>
      </c>
      <c r="N84" s="154">
        <f>Consolidation!N101</f>
        <v>0</v>
      </c>
      <c r="O84" s="154">
        <f>Consolidation!O101</f>
        <v>0</v>
      </c>
      <c r="P84" s="154">
        <f>Consolidation!P101</f>
        <v>0</v>
      </c>
      <c r="Q84" s="154"/>
    </row>
    <row r="85" spans="1:33">
      <c r="A85" s="154">
        <f>Consolidation!A102</f>
        <v>0</v>
      </c>
      <c r="B85" s="154">
        <f>Consolidation!B102</f>
        <v>0</v>
      </c>
      <c r="C85" s="154">
        <f>Consolidation!C102</f>
        <v>0</v>
      </c>
      <c r="D85" s="154">
        <f>Consolidation!D102</f>
        <v>0</v>
      </c>
      <c r="E85" s="154">
        <f>Consolidation!E102</f>
        <v>0</v>
      </c>
      <c r="F85" s="154">
        <f>Consolidation!F102</f>
        <v>0</v>
      </c>
      <c r="G85" s="154">
        <f>Consolidation!G102</f>
        <v>0</v>
      </c>
      <c r="H85" s="154">
        <f>Consolidation!H102</f>
        <v>0</v>
      </c>
      <c r="I85" s="154">
        <f>Consolidation!I102</f>
        <v>0</v>
      </c>
      <c r="J85" s="154">
        <f>Consolidation!J102</f>
        <v>0</v>
      </c>
      <c r="K85" s="154">
        <f>Consolidation!K102</f>
        <v>0</v>
      </c>
      <c r="L85" s="154">
        <f>Consolidation!L102</f>
        <v>0</v>
      </c>
      <c r="M85" s="154">
        <f>Consolidation!M102</f>
        <v>0</v>
      </c>
      <c r="N85" s="154">
        <f>Consolidation!N102</f>
        <v>0</v>
      </c>
      <c r="O85" s="154">
        <f>Consolidation!O102</f>
        <v>0</v>
      </c>
      <c r="P85" s="154">
        <f>Consolidation!P102</f>
        <v>0</v>
      </c>
      <c r="Q85" s="154"/>
    </row>
    <row r="86" spans="1:33">
      <c r="A86" s="154" t="str">
        <f>Consolidation!A103</f>
        <v>New sites built</v>
      </c>
      <c r="B86" s="154">
        <f>Consolidation!B103</f>
        <v>0</v>
      </c>
      <c r="C86" s="154">
        <f>Consolidation!C103</f>
        <v>0</v>
      </c>
      <c r="D86" s="154">
        <f>Consolidation!D103</f>
        <v>0</v>
      </c>
      <c r="E86" s="154">
        <f>Consolidation!E103</f>
        <v>0</v>
      </c>
      <c r="F86" s="154">
        <f>Consolidation!F103</f>
        <v>362</v>
      </c>
      <c r="G86" s="154">
        <f>Consolidation!G103</f>
        <v>1348</v>
      </c>
      <c r="H86" s="154">
        <f>Consolidation!H103</f>
        <v>1184</v>
      </c>
      <c r="I86" s="154">
        <f>Consolidation!I103</f>
        <v>1329</v>
      </c>
      <c r="J86" s="154">
        <f>Consolidation!J103</f>
        <v>929</v>
      </c>
      <c r="K86" s="154">
        <f>Consolidation!K103</f>
        <v>500</v>
      </c>
      <c r="L86" s="154">
        <f>Consolidation!L103</f>
        <v>609.5167863474253</v>
      </c>
      <c r="M86" s="154">
        <f>Consolidation!M103</f>
        <v>572.63147141172885</v>
      </c>
      <c r="N86" s="154">
        <f>Consolidation!N103</f>
        <v>559.80410640468472</v>
      </c>
      <c r="O86" s="154">
        <f>Consolidation!O103</f>
        <v>577.09297814293495</v>
      </c>
      <c r="P86" s="154">
        <f>Consolidation!P103</f>
        <v>592.07444070947349</v>
      </c>
      <c r="Q86" s="460"/>
    </row>
    <row r="87" spans="1:33">
      <c r="A87" s="154" t="str">
        <f>Consolidation!A104</f>
        <v>$k per site</v>
      </c>
      <c r="B87" s="154">
        <f>Consolidation!B104</f>
        <v>0</v>
      </c>
      <c r="C87" s="154">
        <f>Consolidation!C104</f>
        <v>0</v>
      </c>
      <c r="D87" s="154">
        <f>Consolidation!D104</f>
        <v>0</v>
      </c>
      <c r="E87" s="154">
        <f>Consolidation!E104</f>
        <v>0</v>
      </c>
      <c r="F87" s="154">
        <f>Consolidation!F104</f>
        <v>82.872928176795583</v>
      </c>
      <c r="G87" s="154">
        <f>Consolidation!G104</f>
        <v>67.507418397626111</v>
      </c>
      <c r="H87" s="154">
        <f>Consolidation!H104</f>
        <v>73.479729729729726</v>
      </c>
      <c r="I87" s="154">
        <f>Consolidation!I104</f>
        <v>69.224981188863808</v>
      </c>
      <c r="J87" s="154">
        <f>Consolidation!J104</f>
        <v>58.127018299246501</v>
      </c>
      <c r="K87" s="154">
        <f>Consolidation!K104</f>
        <v>70</v>
      </c>
      <c r="L87" s="154">
        <f>Consolidation!L104</f>
        <v>70</v>
      </c>
      <c r="M87" s="154">
        <f>Consolidation!M104</f>
        <v>70</v>
      </c>
      <c r="N87" s="154">
        <f>Consolidation!N104</f>
        <v>70</v>
      </c>
      <c r="O87" s="154">
        <f>Consolidation!O104</f>
        <v>70</v>
      </c>
      <c r="P87" s="154">
        <f>Consolidation!P104</f>
        <v>70</v>
      </c>
      <c r="Q87" s="460"/>
    </row>
    <row r="88" spans="1:33">
      <c r="A88" s="154">
        <f>Consolidation!A105</f>
        <v>0</v>
      </c>
      <c r="B88" s="154">
        <f>Consolidation!B105</f>
        <v>0</v>
      </c>
      <c r="C88" s="154">
        <f>Consolidation!C105</f>
        <v>0</v>
      </c>
      <c r="D88" s="154">
        <f>Consolidation!D105</f>
        <v>0</v>
      </c>
      <c r="E88" s="154">
        <f>Consolidation!E105</f>
        <v>0</v>
      </c>
      <c r="F88" s="154">
        <f>Consolidation!F105</f>
        <v>0</v>
      </c>
      <c r="G88" s="154">
        <f>Consolidation!G105</f>
        <v>0</v>
      </c>
      <c r="H88" s="154">
        <f>Consolidation!H105</f>
        <v>0</v>
      </c>
      <c r="I88" s="154">
        <f>Consolidation!I105</f>
        <v>0</v>
      </c>
      <c r="J88" s="154">
        <f>Consolidation!J105</f>
        <v>0</v>
      </c>
      <c r="K88" s="154">
        <f>Consolidation!K105</f>
        <v>0</v>
      </c>
      <c r="L88" s="154">
        <f>Consolidation!L105</f>
        <v>0</v>
      </c>
      <c r="M88" s="154">
        <f>Consolidation!M105</f>
        <v>0</v>
      </c>
      <c r="N88" s="154">
        <f>Consolidation!N105</f>
        <v>0</v>
      </c>
      <c r="O88" s="154">
        <f>Consolidation!O105</f>
        <v>0</v>
      </c>
      <c r="P88" s="154">
        <f>Consolidation!P105</f>
        <v>0</v>
      </c>
      <c r="Q88" s="460"/>
    </row>
    <row r="89" spans="1:33">
      <c r="A89" s="154" t="e">
        <f>Consolidation!#REF!</f>
        <v>#REF!</v>
      </c>
      <c r="B89" s="154" t="e">
        <f>Consolidation!#REF!</f>
        <v>#REF!</v>
      </c>
      <c r="C89" s="154" t="e">
        <f>Consolidation!#REF!</f>
        <v>#REF!</v>
      </c>
      <c r="D89" s="154" t="e">
        <f>Consolidation!#REF!</f>
        <v>#REF!</v>
      </c>
      <c r="E89" s="154" t="e">
        <f>Consolidation!#REF!</f>
        <v>#REF!</v>
      </c>
      <c r="F89" s="154" t="e">
        <f>Consolidation!#REF!</f>
        <v>#REF!</v>
      </c>
      <c r="G89" s="154" t="e">
        <f>Consolidation!#REF!</f>
        <v>#REF!</v>
      </c>
      <c r="H89" s="154" t="e">
        <f>Consolidation!#REF!</f>
        <v>#REF!</v>
      </c>
      <c r="I89" s="154" t="e">
        <f>Consolidation!#REF!</f>
        <v>#REF!</v>
      </c>
      <c r="J89" s="154" t="e">
        <f>Consolidation!#REF!</f>
        <v>#REF!</v>
      </c>
      <c r="K89" s="154" t="e">
        <f>Consolidation!#REF!</f>
        <v>#REF!</v>
      </c>
      <c r="L89" s="154" t="e">
        <f>Consolidation!#REF!</f>
        <v>#REF!</v>
      </c>
      <c r="M89" s="154" t="e">
        <f>Consolidation!#REF!</f>
        <v>#REF!</v>
      </c>
      <c r="N89" s="154" t="e">
        <f>Consolidation!#REF!</f>
        <v>#REF!</v>
      </c>
      <c r="O89" s="154" t="e">
        <f>Consolidation!#REF!</f>
        <v>#REF!</v>
      </c>
      <c r="P89" s="154" t="e">
        <f>Consolidation!#REF!</f>
        <v>#REF!</v>
      </c>
      <c r="Q89" s="460"/>
    </row>
    <row r="90" spans="1:33">
      <c r="A90" s="749" t="str">
        <f>Consolidation!A139</f>
        <v>Workings</v>
      </c>
      <c r="B90" s="337">
        <f>Consolidation!B139</f>
        <v>0</v>
      </c>
      <c r="C90" s="337">
        <f>Consolidation!C139</f>
        <v>0</v>
      </c>
      <c r="D90" s="337">
        <f>Consolidation!D139</f>
        <v>0</v>
      </c>
      <c r="E90" s="337">
        <f>Consolidation!E139</f>
        <v>0</v>
      </c>
      <c r="F90" s="337">
        <f>Consolidation!F139</f>
        <v>0</v>
      </c>
      <c r="G90" s="337">
        <f>Consolidation!G139</f>
        <v>0</v>
      </c>
      <c r="H90" s="337">
        <f>Consolidation!H139</f>
        <v>0</v>
      </c>
      <c r="I90" s="337">
        <f>Consolidation!I139</f>
        <v>0</v>
      </c>
      <c r="J90" s="337">
        <f>Consolidation!J139</f>
        <v>0</v>
      </c>
      <c r="K90" s="337">
        <f>Consolidation!K139</f>
        <v>0</v>
      </c>
      <c r="L90" s="337">
        <f>Consolidation!L139</f>
        <v>0</v>
      </c>
      <c r="M90" s="337">
        <f>Consolidation!M139</f>
        <v>0</v>
      </c>
      <c r="N90" s="337">
        <f>Consolidation!N139</f>
        <v>0</v>
      </c>
      <c r="O90" s="337">
        <f>Consolidation!O139</f>
        <v>0</v>
      </c>
      <c r="P90" s="337">
        <f>Consolidation!P139</f>
        <v>0</v>
      </c>
      <c r="Q90" s="460"/>
    </row>
    <row r="91" spans="1:33">
      <c r="A91" s="154">
        <f>Consolidation!A140</f>
        <v>0</v>
      </c>
      <c r="B91" s="154">
        <f>Consolidation!B140</f>
        <v>0</v>
      </c>
      <c r="C91" s="154">
        <f>Consolidation!C140</f>
        <v>0</v>
      </c>
      <c r="D91" s="154">
        <f>Consolidation!D140</f>
        <v>0</v>
      </c>
      <c r="E91" s="154">
        <f>Consolidation!E140</f>
        <v>0</v>
      </c>
      <c r="F91" s="154">
        <f>Consolidation!F140</f>
        <v>0</v>
      </c>
      <c r="G91" s="154">
        <f>Consolidation!G140</f>
        <v>0</v>
      </c>
      <c r="H91" s="154">
        <f>Consolidation!H140</f>
        <v>0</v>
      </c>
      <c r="I91" s="154">
        <f>Consolidation!I140</f>
        <v>0</v>
      </c>
      <c r="J91" s="154">
        <f>Consolidation!J140</f>
        <v>0</v>
      </c>
      <c r="K91" s="154">
        <f>Consolidation!K140</f>
        <v>0</v>
      </c>
      <c r="L91" s="154">
        <f>Consolidation!L140</f>
        <v>0</v>
      </c>
      <c r="M91" s="154">
        <f>Consolidation!M140</f>
        <v>0</v>
      </c>
      <c r="N91" s="154">
        <f>Consolidation!N140</f>
        <v>0</v>
      </c>
      <c r="O91" s="154">
        <f>Consolidation!O140</f>
        <v>0</v>
      </c>
      <c r="P91" s="154">
        <f>Consolidation!P140</f>
        <v>0</v>
      </c>
      <c r="Q91" s="460"/>
    </row>
    <row r="92" spans="1:33">
      <c r="A92" s="160" t="str">
        <f>Consolidation!A141</f>
        <v>Devaluation</v>
      </c>
      <c r="B92" s="154">
        <f>Consolidation!B141</f>
        <v>0</v>
      </c>
      <c r="C92" s="154">
        <f>Consolidation!C141</f>
        <v>0</v>
      </c>
      <c r="D92" s="154">
        <f>Consolidation!D141</f>
        <v>0</v>
      </c>
      <c r="E92" s="154">
        <f>Consolidation!E141</f>
        <v>0</v>
      </c>
      <c r="F92" s="154">
        <f>Consolidation!F141</f>
        <v>0</v>
      </c>
      <c r="G92" s="154">
        <f>Consolidation!G141</f>
        <v>0</v>
      </c>
      <c r="H92" s="154">
        <f>Consolidation!H141</f>
        <v>0</v>
      </c>
      <c r="I92" s="154">
        <f>Consolidation!I141</f>
        <v>0</v>
      </c>
      <c r="J92" s="154">
        <f>Consolidation!J141</f>
        <v>0</v>
      </c>
      <c r="K92" s="154">
        <f>Consolidation!K141</f>
        <v>0</v>
      </c>
      <c r="L92" s="154">
        <f>Consolidation!L141</f>
        <v>0</v>
      </c>
      <c r="M92" s="154">
        <f>Consolidation!M141</f>
        <v>0</v>
      </c>
      <c r="N92" s="154">
        <f>Consolidation!N141</f>
        <v>0</v>
      </c>
      <c r="O92" s="154">
        <f>Consolidation!O141</f>
        <v>0</v>
      </c>
      <c r="P92" s="154">
        <f>Consolidation!P141</f>
        <v>0</v>
      </c>
      <c r="Q92" s="460"/>
    </row>
    <row r="93" spans="1:33">
      <c r="A93" s="154">
        <f>Consolidation!A142</f>
        <v>0</v>
      </c>
      <c r="B93" s="154">
        <f>Consolidation!B142</f>
        <v>0</v>
      </c>
      <c r="C93" s="154">
        <f>Consolidation!C142</f>
        <v>0</v>
      </c>
      <c r="D93" s="154">
        <f>Consolidation!D142</f>
        <v>0</v>
      </c>
      <c r="E93" s="154">
        <f>Consolidation!E142</f>
        <v>0</v>
      </c>
      <c r="F93" s="154">
        <f>Consolidation!F142</f>
        <v>0</v>
      </c>
      <c r="G93" s="154">
        <f>Consolidation!G142</f>
        <v>0</v>
      </c>
      <c r="H93" s="154">
        <f>Consolidation!H142</f>
        <v>0</v>
      </c>
      <c r="I93" s="154">
        <f>Consolidation!I142</f>
        <v>0</v>
      </c>
      <c r="J93" s="154">
        <f>Consolidation!J142</f>
        <v>0</v>
      </c>
      <c r="K93" s="154">
        <f>Consolidation!K142</f>
        <v>0</v>
      </c>
      <c r="L93" s="154">
        <f>Consolidation!L142</f>
        <v>0</v>
      </c>
      <c r="M93" s="154">
        <f>Consolidation!M142</f>
        <v>0</v>
      </c>
      <c r="N93" s="154">
        <f>Consolidation!N142</f>
        <v>0</v>
      </c>
      <c r="O93" s="154">
        <f>Consolidation!O142</f>
        <v>0</v>
      </c>
      <c r="P93" s="154">
        <f>Consolidation!P142</f>
        <v>0</v>
      </c>
      <c r="Q93" s="460"/>
    </row>
    <row r="94" spans="1:33" ht="29.25" customHeight="1">
      <c r="A94" s="754">
        <f>Consolidation!A143</f>
        <v>0</v>
      </c>
      <c r="B94" s="755" t="str">
        <f>Consolidation!B143</f>
        <v>IHS 24</v>
      </c>
      <c r="C94" s="755" t="str">
        <f>Consolidation!C143</f>
        <v>10% deval</v>
      </c>
      <c r="D94" s="755" t="str">
        <f>Consolidation!D143</f>
        <v>NSR 24</v>
      </c>
      <c r="E94" s="154">
        <f>Consolidation!E143</f>
        <v>0</v>
      </c>
      <c r="F94" s="154">
        <f>Consolidation!F143</f>
        <v>0</v>
      </c>
      <c r="G94" s="154">
        <f>Consolidation!G143</f>
        <v>0</v>
      </c>
      <c r="H94" s="154">
        <f>Consolidation!H143</f>
        <v>0</v>
      </c>
      <c r="I94" s="154">
        <f>Consolidation!I143</f>
        <v>0</v>
      </c>
      <c r="J94" s="154">
        <f>Consolidation!J143</f>
        <v>0</v>
      </c>
      <c r="K94" s="154">
        <f>Consolidation!K143</f>
        <v>0</v>
      </c>
      <c r="L94" s="154">
        <f>Consolidation!L143</f>
        <v>0</v>
      </c>
      <c r="M94" s="154">
        <f>Consolidation!M143</f>
        <v>0</v>
      </c>
      <c r="N94" s="154">
        <f>Consolidation!N143</f>
        <v>0</v>
      </c>
      <c r="O94" s="154">
        <f>Consolidation!O143</f>
        <v>0</v>
      </c>
      <c r="P94" s="154">
        <f>Consolidation!P143</f>
        <v>0</v>
      </c>
      <c r="Q94" s="460"/>
    </row>
    <row r="95" spans="1:33">
      <c r="A95" s="756" t="str">
        <f>Consolidation!A144</f>
        <v>USDNGN</v>
      </c>
      <c r="B95" s="757">
        <f>Consolidation!B144</f>
        <v>1610</v>
      </c>
      <c r="C95" s="757">
        <f>Consolidation!C144</f>
        <v>1790</v>
      </c>
      <c r="D95" s="757">
        <f>Consolidation!D144</f>
        <v>1260</v>
      </c>
      <c r="E95" s="154">
        <f>Consolidation!E144</f>
        <v>0</v>
      </c>
      <c r="F95" s="154">
        <f>Consolidation!F144</f>
        <v>0</v>
      </c>
      <c r="G95" s="154">
        <f>Consolidation!G144</f>
        <v>0</v>
      </c>
      <c r="H95" s="154">
        <f>Consolidation!H144</f>
        <v>0</v>
      </c>
      <c r="I95" s="154">
        <f>Consolidation!I144</f>
        <v>0</v>
      </c>
      <c r="J95" s="154">
        <f>Consolidation!J144</f>
        <v>0</v>
      </c>
      <c r="K95" s="154">
        <f>Consolidation!K144</f>
        <v>0</v>
      </c>
      <c r="L95" s="154">
        <f>Consolidation!L144</f>
        <v>0</v>
      </c>
      <c r="M95" s="154">
        <f>Consolidation!M144</f>
        <v>0</v>
      </c>
      <c r="N95" s="154">
        <f>Consolidation!N144</f>
        <v>0</v>
      </c>
      <c r="O95" s="154">
        <f>Consolidation!O144</f>
        <v>0</v>
      </c>
      <c r="P95" s="154">
        <f>Consolidation!P144</f>
        <v>0</v>
      </c>
      <c r="Q95" s="460"/>
    </row>
    <row r="96" spans="1:33">
      <c r="A96" s="756" t="str">
        <f>Consolidation!A145</f>
        <v>NGNUSD</v>
      </c>
      <c r="B96" s="758">
        <f>Consolidation!B145</f>
        <v>6.2111801242236027E-4</v>
      </c>
      <c r="C96" s="758">
        <f>Consolidation!C145</f>
        <v>5.5865921787709492E-4</v>
      </c>
      <c r="D96" s="758">
        <f>Consolidation!D145</f>
        <v>7.9365079365079365E-4</v>
      </c>
      <c r="E96" s="154">
        <f>Consolidation!E145</f>
        <v>0</v>
      </c>
      <c r="F96" s="154">
        <f>Consolidation!F145</f>
        <v>0</v>
      </c>
      <c r="G96" s="154">
        <f>Consolidation!G145</f>
        <v>0</v>
      </c>
      <c r="H96" s="154">
        <f>Consolidation!H145</f>
        <v>0</v>
      </c>
      <c r="I96" s="154">
        <f>Consolidation!I145</f>
        <v>0</v>
      </c>
      <c r="J96" s="154">
        <f>Consolidation!J145</f>
        <v>0</v>
      </c>
      <c r="K96" s="154">
        <f>Consolidation!K145</f>
        <v>0</v>
      </c>
      <c r="L96" s="154">
        <f>Consolidation!L145</f>
        <v>0</v>
      </c>
      <c r="M96" s="154">
        <f>Consolidation!M145</f>
        <v>0</v>
      </c>
      <c r="N96" s="154">
        <f>Consolidation!N145</f>
        <v>0</v>
      </c>
      <c r="O96" s="154">
        <f>Consolidation!O145</f>
        <v>0</v>
      </c>
      <c r="P96" s="154">
        <f>Consolidation!P145</f>
        <v>0</v>
      </c>
      <c r="Q96" s="460"/>
    </row>
    <row r="97" spans="1:17">
      <c r="A97" s="756" t="str">
        <f>Consolidation!A146</f>
        <v>Change</v>
      </c>
      <c r="B97" s="759">
        <f>Consolidation!B146</f>
        <v>0</v>
      </c>
      <c r="C97" s="760">
        <f>Consolidation!C146</f>
        <v>-0.10055865921787721</v>
      </c>
      <c r="D97" s="760">
        <f>Consolidation!D146</f>
        <v>0.27777777777777768</v>
      </c>
      <c r="E97" s="154">
        <f>Consolidation!E146</f>
        <v>0</v>
      </c>
      <c r="F97" s="154">
        <f>Consolidation!F146</f>
        <v>0</v>
      </c>
      <c r="G97" s="154">
        <f>Consolidation!G146</f>
        <v>0</v>
      </c>
      <c r="H97" s="154">
        <f>Consolidation!H146</f>
        <v>0</v>
      </c>
      <c r="I97" s="154">
        <f>Consolidation!I146</f>
        <v>0</v>
      </c>
      <c r="J97" s="154">
        <f>Consolidation!J146</f>
        <v>0</v>
      </c>
      <c r="K97" s="154">
        <f>Consolidation!K146</f>
        <v>0</v>
      </c>
      <c r="L97" s="154">
        <f>Consolidation!L146</f>
        <v>0</v>
      </c>
      <c r="M97" s="154">
        <f>Consolidation!M146</f>
        <v>0</v>
      </c>
      <c r="N97" s="154">
        <f>Consolidation!N146</f>
        <v>0</v>
      </c>
      <c r="O97" s="154">
        <f>Consolidation!O146</f>
        <v>0</v>
      </c>
      <c r="P97" s="154">
        <f>Consolidation!P146</f>
        <v>0</v>
      </c>
      <c r="Q97" s="460"/>
    </row>
    <row r="98" spans="1:17">
      <c r="A98" s="756" t="str">
        <f>Consolidation!A147</f>
        <v>Diff.</v>
      </c>
      <c r="B98" s="759">
        <f>Consolidation!B147</f>
        <v>0</v>
      </c>
      <c r="C98" s="757">
        <f>Consolidation!C147</f>
        <v>180</v>
      </c>
      <c r="D98" s="757">
        <f>Consolidation!D147</f>
        <v>-350</v>
      </c>
      <c r="E98" s="154">
        <f>Consolidation!E147</f>
        <v>0</v>
      </c>
      <c r="F98" s="154">
        <f>Consolidation!F147</f>
        <v>0</v>
      </c>
      <c r="G98" s="154">
        <f>Consolidation!G147</f>
        <v>0</v>
      </c>
      <c r="H98" s="154">
        <f>Consolidation!H147</f>
        <v>0</v>
      </c>
      <c r="I98" s="154">
        <f>Consolidation!I147</f>
        <v>0</v>
      </c>
      <c r="J98" s="154">
        <f>Consolidation!J147</f>
        <v>0</v>
      </c>
      <c r="K98" s="154">
        <f>Consolidation!K147</f>
        <v>0</v>
      </c>
      <c r="L98" s="154">
        <f>Consolidation!L147</f>
        <v>0</v>
      </c>
      <c r="M98" s="154">
        <f>Consolidation!M147</f>
        <v>0</v>
      </c>
      <c r="N98" s="154">
        <f>Consolidation!N147</f>
        <v>0</v>
      </c>
      <c r="O98" s="154">
        <f>Consolidation!O147</f>
        <v>0</v>
      </c>
      <c r="P98" s="154">
        <f>Consolidation!P147</f>
        <v>0</v>
      </c>
      <c r="Q98" s="460"/>
    </row>
    <row r="99" spans="1:17">
      <c r="A99" s="756" t="str">
        <f>Consolidation!A148</f>
        <v>x</v>
      </c>
      <c r="B99" s="759">
        <f>Consolidation!B148</f>
        <v>0</v>
      </c>
      <c r="C99" s="759">
        <f>Consolidation!C148</f>
        <v>0</v>
      </c>
      <c r="D99" s="761">
        <f>Consolidation!D148</f>
        <v>-1.9444444444444444</v>
      </c>
      <c r="E99" s="154">
        <f>Consolidation!E148</f>
        <v>0</v>
      </c>
      <c r="F99" s="154">
        <f>Consolidation!F148</f>
        <v>0</v>
      </c>
      <c r="G99" s="154">
        <f>Consolidation!G148</f>
        <v>0</v>
      </c>
      <c r="H99" s="154">
        <f>Consolidation!H148</f>
        <v>0</v>
      </c>
      <c r="I99" s="154">
        <f>Consolidation!I148</f>
        <v>0</v>
      </c>
      <c r="J99" s="154">
        <f>Consolidation!J148</f>
        <v>0</v>
      </c>
      <c r="K99" s="154">
        <f>Consolidation!K148</f>
        <v>0</v>
      </c>
      <c r="L99" s="154">
        <f>Consolidation!L148</f>
        <v>0</v>
      </c>
      <c r="M99" s="154">
        <f>Consolidation!M148</f>
        <v>0</v>
      </c>
      <c r="N99" s="154">
        <f>Consolidation!N148</f>
        <v>0</v>
      </c>
      <c r="O99" s="154">
        <f>Consolidation!O148</f>
        <v>0</v>
      </c>
      <c r="P99" s="154">
        <f>Consolidation!P148</f>
        <v>0</v>
      </c>
      <c r="Q99" s="460"/>
    </row>
    <row r="100" spans="1:17">
      <c r="A100" s="756" t="str">
        <f>Consolidation!A149</f>
        <v>Revenue impact 10%</v>
      </c>
      <c r="B100" s="759">
        <f>Consolidation!B149</f>
        <v>0</v>
      </c>
      <c r="C100" s="762">
        <f>Consolidation!C149</f>
        <v>-42.5</v>
      </c>
      <c r="D100" s="761">
        <f>Consolidation!D149</f>
        <v>0</v>
      </c>
      <c r="E100" s="154">
        <f>Consolidation!E149</f>
        <v>0</v>
      </c>
      <c r="F100" s="154">
        <f>Consolidation!F149</f>
        <v>0</v>
      </c>
      <c r="G100" s="154">
        <f>Consolidation!G149</f>
        <v>0</v>
      </c>
      <c r="H100" s="154">
        <f>Consolidation!H149</f>
        <v>0</v>
      </c>
      <c r="I100" s="154">
        <f>Consolidation!I149</f>
        <v>0</v>
      </c>
      <c r="J100" s="154">
        <f>Consolidation!J149</f>
        <v>0</v>
      </c>
      <c r="K100" s="154">
        <f>Consolidation!K149</f>
        <v>0</v>
      </c>
      <c r="L100" s="154">
        <f>Consolidation!L149</f>
        <v>0</v>
      </c>
      <c r="M100" s="154">
        <f>Consolidation!M149</f>
        <v>0</v>
      </c>
      <c r="N100" s="154">
        <f>Consolidation!N149</f>
        <v>0</v>
      </c>
      <c r="O100" s="154">
        <f>Consolidation!O149</f>
        <v>0</v>
      </c>
      <c r="P100" s="154">
        <f>Consolidation!P149</f>
        <v>0</v>
      </c>
      <c r="Q100" s="460"/>
    </row>
    <row r="101" spans="1:17">
      <c r="A101" s="756" t="str">
        <f>Consolidation!A150</f>
        <v>Revenue impact</v>
      </c>
      <c r="B101" s="759">
        <f>Consolidation!B150</f>
        <v>0</v>
      </c>
      <c r="C101" s="759">
        <f>Consolidation!C150</f>
        <v>0</v>
      </c>
      <c r="D101" s="763">
        <f>Consolidation!D150</f>
        <v>82.638888888888886</v>
      </c>
      <c r="E101" s="154">
        <f>Consolidation!E150</f>
        <v>0</v>
      </c>
      <c r="F101" s="154">
        <f>Consolidation!F150</f>
        <v>0</v>
      </c>
      <c r="G101" s="154">
        <f>Consolidation!G150</f>
        <v>0</v>
      </c>
      <c r="H101" s="154">
        <f>Consolidation!H150</f>
        <v>0</v>
      </c>
      <c r="I101" s="154">
        <f>Consolidation!I150</f>
        <v>0</v>
      </c>
      <c r="J101" s="154">
        <f>Consolidation!J150</f>
        <v>0</v>
      </c>
      <c r="K101" s="154">
        <f>Consolidation!K150</f>
        <v>0</v>
      </c>
      <c r="L101" s="154">
        <f>Consolidation!L150</f>
        <v>0</v>
      </c>
      <c r="M101" s="154">
        <f>Consolidation!M150</f>
        <v>0</v>
      </c>
      <c r="N101" s="154">
        <f>Consolidation!N150</f>
        <v>0</v>
      </c>
      <c r="O101" s="154">
        <f>Consolidation!O150</f>
        <v>0</v>
      </c>
      <c r="P101" s="154">
        <f>Consolidation!P150</f>
        <v>0</v>
      </c>
      <c r="Q101" s="460"/>
    </row>
    <row r="102" spans="1:17">
      <c r="A102" s="756" t="str">
        <f>Consolidation!A151</f>
        <v>Guidance mid point</v>
      </c>
      <c r="B102" s="759">
        <f>Consolidation!B151</f>
        <v>0</v>
      </c>
      <c r="C102" s="759">
        <f>Consolidation!C151</f>
        <v>0</v>
      </c>
      <c r="D102" s="757">
        <f>Consolidation!D151</f>
        <v>1715</v>
      </c>
      <c r="E102" s="154">
        <f>Consolidation!E151</f>
        <v>0</v>
      </c>
      <c r="F102" s="154">
        <f>Consolidation!F151</f>
        <v>0</v>
      </c>
      <c r="G102" s="154">
        <f>Consolidation!G151</f>
        <v>0</v>
      </c>
      <c r="H102" s="154">
        <f>Consolidation!H151</f>
        <v>0</v>
      </c>
      <c r="I102" s="154">
        <f>Consolidation!I151</f>
        <v>0</v>
      </c>
      <c r="J102" s="154">
        <f>Consolidation!J151</f>
        <v>0</v>
      </c>
      <c r="K102" s="154">
        <f>Consolidation!K151</f>
        <v>0</v>
      </c>
      <c r="L102" s="154">
        <f>Consolidation!L151</f>
        <v>0</v>
      </c>
      <c r="M102" s="154">
        <f>Consolidation!M151</f>
        <v>0</v>
      </c>
      <c r="N102" s="154">
        <f>Consolidation!N151</f>
        <v>0</v>
      </c>
      <c r="O102" s="154">
        <f>Consolidation!O151</f>
        <v>0</v>
      </c>
      <c r="P102" s="154">
        <f>Consolidation!P151</f>
        <v>0</v>
      </c>
      <c r="Q102" s="460"/>
    </row>
    <row r="103" spans="1:17">
      <c r="A103" s="756" t="str">
        <f>Consolidation!A152</f>
        <v>Revenue</v>
      </c>
      <c r="B103" s="759">
        <f>Consolidation!B152</f>
        <v>0</v>
      </c>
      <c r="C103" s="759">
        <f>Consolidation!C152</f>
        <v>0</v>
      </c>
      <c r="D103" s="764">
        <f>Consolidation!D152</f>
        <v>1797.6388888888889</v>
      </c>
      <c r="E103" s="154">
        <f>Consolidation!E152</f>
        <v>0</v>
      </c>
      <c r="F103" s="154">
        <f>Consolidation!F152</f>
        <v>0</v>
      </c>
      <c r="G103" s="154">
        <f>Consolidation!G152</f>
        <v>0</v>
      </c>
      <c r="H103" s="154">
        <f>Consolidation!H152</f>
        <v>0</v>
      </c>
      <c r="I103" s="154">
        <f>Consolidation!I152</f>
        <v>0</v>
      </c>
      <c r="J103" s="154">
        <f>Consolidation!J152</f>
        <v>0</v>
      </c>
      <c r="K103" s="154">
        <f>Consolidation!K152</f>
        <v>0</v>
      </c>
      <c r="L103" s="154">
        <f>Consolidation!L152</f>
        <v>0</v>
      </c>
      <c r="M103" s="154">
        <f>Consolidation!M152</f>
        <v>0</v>
      </c>
      <c r="N103" s="154">
        <f>Consolidation!N152</f>
        <v>0</v>
      </c>
      <c r="O103" s="154">
        <f>Consolidation!O152</f>
        <v>0</v>
      </c>
      <c r="P103" s="154">
        <f>Consolidation!P152</f>
        <v>0</v>
      </c>
      <c r="Q103" s="460"/>
    </row>
    <row r="104" spans="1:17">
      <c r="A104" s="756">
        <f>Consolidation!A153</f>
        <v>0</v>
      </c>
      <c r="B104" s="759">
        <f>Consolidation!B153</f>
        <v>0</v>
      </c>
      <c r="C104" s="759">
        <f>Consolidation!C153</f>
        <v>0</v>
      </c>
      <c r="D104" s="759">
        <f>Consolidation!D153</f>
        <v>0</v>
      </c>
      <c r="E104" s="154">
        <f>Consolidation!E153</f>
        <v>0</v>
      </c>
      <c r="F104" s="154">
        <f>Consolidation!F153</f>
        <v>0</v>
      </c>
      <c r="G104" s="154">
        <f>Consolidation!G153</f>
        <v>0</v>
      </c>
      <c r="H104" s="154">
        <f>Consolidation!H153</f>
        <v>0</v>
      </c>
      <c r="I104" s="154">
        <f>Consolidation!I153</f>
        <v>0</v>
      </c>
      <c r="J104" s="154">
        <f>Consolidation!J153</f>
        <v>0</v>
      </c>
      <c r="K104" s="154">
        <f>Consolidation!K153</f>
        <v>0</v>
      </c>
      <c r="L104" s="154">
        <f>Consolidation!L153</f>
        <v>0</v>
      </c>
      <c r="M104" s="154">
        <f>Consolidation!M153</f>
        <v>0</v>
      </c>
      <c r="N104" s="154">
        <f>Consolidation!N153</f>
        <v>0</v>
      </c>
      <c r="O104" s="154">
        <f>Consolidation!O153</f>
        <v>0</v>
      </c>
      <c r="P104" s="154">
        <f>Consolidation!P153</f>
        <v>0</v>
      </c>
      <c r="Q104" s="460"/>
    </row>
    <row r="105" spans="1:17">
      <c r="A105" s="756" t="str">
        <f>Consolidation!A154</f>
        <v>EBITDA impact 10%</v>
      </c>
      <c r="B105" s="759">
        <f>Consolidation!B154</f>
        <v>0</v>
      </c>
      <c r="C105" s="762">
        <f>Consolidation!C154</f>
        <v>-27.5</v>
      </c>
      <c r="D105" s="759">
        <f>Consolidation!D154</f>
        <v>0</v>
      </c>
      <c r="E105" s="154">
        <f>Consolidation!E154</f>
        <v>0</v>
      </c>
      <c r="F105" s="154">
        <f>Consolidation!F154</f>
        <v>0</v>
      </c>
      <c r="G105" s="154">
        <f>Consolidation!G154</f>
        <v>0</v>
      </c>
      <c r="H105" s="154">
        <f>Consolidation!H154</f>
        <v>0</v>
      </c>
      <c r="I105" s="154">
        <f>Consolidation!I154</f>
        <v>0</v>
      </c>
      <c r="J105" s="154">
        <f>Consolidation!J154</f>
        <v>0</v>
      </c>
      <c r="K105" s="154">
        <f>Consolidation!K154</f>
        <v>0</v>
      </c>
      <c r="L105" s="154">
        <f>Consolidation!L154</f>
        <v>0</v>
      </c>
      <c r="M105" s="154">
        <f>Consolidation!M154</f>
        <v>0</v>
      </c>
      <c r="N105" s="154">
        <f>Consolidation!N154</f>
        <v>0</v>
      </c>
      <c r="O105" s="154">
        <f>Consolidation!O154</f>
        <v>0</v>
      </c>
      <c r="P105" s="154">
        <f>Consolidation!P154</f>
        <v>0</v>
      </c>
      <c r="Q105" s="460"/>
    </row>
    <row r="106" spans="1:17">
      <c r="A106" s="756" t="str">
        <f>Consolidation!A155</f>
        <v>EBITDA impact</v>
      </c>
      <c r="B106" s="759">
        <f>Consolidation!B155</f>
        <v>0</v>
      </c>
      <c r="C106" s="759">
        <f>Consolidation!C155</f>
        <v>0</v>
      </c>
      <c r="D106" s="763">
        <f>Consolidation!D155</f>
        <v>53.472222222222221</v>
      </c>
      <c r="E106" s="154">
        <f>Consolidation!E155</f>
        <v>0</v>
      </c>
      <c r="F106" s="154">
        <f>Consolidation!F155</f>
        <v>0</v>
      </c>
      <c r="G106" s="154">
        <f>Consolidation!G155</f>
        <v>0</v>
      </c>
      <c r="H106" s="154">
        <f>Consolidation!H155</f>
        <v>0</v>
      </c>
      <c r="I106" s="154">
        <f>Consolidation!I155</f>
        <v>0</v>
      </c>
      <c r="J106" s="154">
        <f>Consolidation!J155</f>
        <v>0</v>
      </c>
      <c r="K106" s="154">
        <f>Consolidation!K155</f>
        <v>0</v>
      </c>
      <c r="L106" s="154">
        <f>Consolidation!L155</f>
        <v>0</v>
      </c>
      <c r="M106" s="154">
        <f>Consolidation!M155</f>
        <v>0</v>
      </c>
      <c r="N106" s="154">
        <f>Consolidation!N155</f>
        <v>0</v>
      </c>
      <c r="O106" s="154">
        <f>Consolidation!O155</f>
        <v>0</v>
      </c>
      <c r="P106" s="154">
        <f>Consolidation!P155</f>
        <v>0</v>
      </c>
      <c r="Q106" s="460"/>
    </row>
    <row r="107" spans="1:17" ht="16.5">
      <c r="A107" s="756" t="str">
        <f>Consolidation!A156</f>
        <v>Guidance mid point</v>
      </c>
      <c r="B107" s="765">
        <f>Consolidation!B156</f>
        <v>0</v>
      </c>
      <c r="C107" s="765">
        <f>Consolidation!C156</f>
        <v>0</v>
      </c>
      <c r="D107" s="759">
        <f>Consolidation!D156</f>
        <v>945</v>
      </c>
      <c r="E107" s="154">
        <f>Consolidation!E156</f>
        <v>0</v>
      </c>
      <c r="F107" s="154">
        <f>Consolidation!F156</f>
        <v>0</v>
      </c>
      <c r="G107" s="154">
        <f>Consolidation!G156</f>
        <v>0</v>
      </c>
      <c r="H107" s="154">
        <f>Consolidation!H156</f>
        <v>0</v>
      </c>
      <c r="I107" s="154">
        <f>Consolidation!I156</f>
        <v>0</v>
      </c>
      <c r="J107" s="154">
        <f>Consolidation!J156</f>
        <v>0</v>
      </c>
      <c r="K107" s="154">
        <f>Consolidation!K156</f>
        <v>0</v>
      </c>
      <c r="L107" s="154">
        <f>Consolidation!L156</f>
        <v>0</v>
      </c>
      <c r="M107" s="154">
        <f>Consolidation!M156</f>
        <v>0</v>
      </c>
      <c r="N107" s="154">
        <f>Consolidation!N156</f>
        <v>0</v>
      </c>
      <c r="O107" s="154">
        <f>Consolidation!O156</f>
        <v>0</v>
      </c>
      <c r="P107" s="154">
        <f>Consolidation!P156</f>
        <v>0</v>
      </c>
      <c r="Q107" s="460"/>
    </row>
    <row r="108" spans="1:17" ht="16.5">
      <c r="A108" s="766" t="str">
        <f>Consolidation!A157</f>
        <v>EBITDA</v>
      </c>
      <c r="B108" s="765">
        <f>Consolidation!B157</f>
        <v>0</v>
      </c>
      <c r="C108" s="765">
        <f>Consolidation!C157</f>
        <v>0</v>
      </c>
      <c r="D108" s="764">
        <f>Consolidation!D157</f>
        <v>998.47222222222217</v>
      </c>
      <c r="E108" s="154">
        <f>Consolidation!E157</f>
        <v>0</v>
      </c>
      <c r="F108" s="154">
        <f>Consolidation!F157</f>
        <v>0</v>
      </c>
      <c r="G108" s="154">
        <f>Consolidation!G157</f>
        <v>0</v>
      </c>
      <c r="H108" s="154">
        <f>Consolidation!H157</f>
        <v>0</v>
      </c>
      <c r="I108" s="154">
        <f>Consolidation!I157</f>
        <v>0</v>
      </c>
      <c r="J108" s="154">
        <f>Consolidation!J157</f>
        <v>0</v>
      </c>
      <c r="K108" s="154">
        <f>Consolidation!K157</f>
        <v>0</v>
      </c>
      <c r="L108" s="154">
        <f>Consolidation!L157</f>
        <v>0</v>
      </c>
      <c r="M108" s="154">
        <f>Consolidation!M157</f>
        <v>0</v>
      </c>
      <c r="N108" s="154">
        <f>Consolidation!N157</f>
        <v>0</v>
      </c>
      <c r="O108" s="154">
        <f>Consolidation!O157</f>
        <v>0</v>
      </c>
      <c r="P108" s="154">
        <f>Consolidation!P157</f>
        <v>0</v>
      </c>
      <c r="Q108" s="460"/>
    </row>
    <row r="109" spans="1:17">
      <c r="A109" s="154">
        <f>Consolidation!A158</f>
        <v>0</v>
      </c>
      <c r="B109" s="154">
        <f>Consolidation!B158</f>
        <v>0</v>
      </c>
      <c r="C109" s="154">
        <f>Consolidation!C158</f>
        <v>0</v>
      </c>
      <c r="D109" s="154">
        <f>Consolidation!D158</f>
        <v>0</v>
      </c>
      <c r="E109" s="154">
        <f>Consolidation!E158</f>
        <v>0</v>
      </c>
      <c r="F109" s="154">
        <f>Consolidation!F158</f>
        <v>0</v>
      </c>
      <c r="G109" s="154">
        <f>Consolidation!G158</f>
        <v>0</v>
      </c>
      <c r="H109" s="154">
        <f>Consolidation!H158</f>
        <v>0</v>
      </c>
      <c r="I109" s="154">
        <f>Consolidation!I158</f>
        <v>0</v>
      </c>
      <c r="J109" s="154">
        <f>Consolidation!J158</f>
        <v>0</v>
      </c>
      <c r="K109" s="154">
        <f>Consolidation!K158</f>
        <v>0</v>
      </c>
      <c r="L109" s="154">
        <f>Consolidation!L158</f>
        <v>0</v>
      </c>
      <c r="M109" s="154">
        <f>Consolidation!M158</f>
        <v>0</v>
      </c>
      <c r="N109" s="154">
        <f>Consolidation!N158</f>
        <v>0</v>
      </c>
      <c r="O109" s="154">
        <f>Consolidation!O158</f>
        <v>0</v>
      </c>
      <c r="P109" s="154">
        <f>Consolidation!P158</f>
        <v>0</v>
      </c>
      <c r="Q109" s="460"/>
    </row>
    <row r="110" spans="1:17">
      <c r="A110" s="154">
        <f>Consolidation!A159</f>
        <v>0</v>
      </c>
      <c r="B110" s="154">
        <f>Consolidation!B159</f>
        <v>0</v>
      </c>
      <c r="C110" s="154">
        <f>Consolidation!C159</f>
        <v>0</v>
      </c>
      <c r="D110" s="154">
        <f>Consolidation!D159</f>
        <v>0</v>
      </c>
      <c r="E110" s="154">
        <f>Consolidation!E159</f>
        <v>0</v>
      </c>
      <c r="F110" s="154">
        <f>Consolidation!F159</f>
        <v>0</v>
      </c>
      <c r="G110" s="154">
        <f>Consolidation!G159</f>
        <v>0</v>
      </c>
      <c r="H110" s="154">
        <f>Consolidation!H159</f>
        <v>0</v>
      </c>
      <c r="I110" s="154">
        <f>Consolidation!I159</f>
        <v>0</v>
      </c>
      <c r="J110" s="154">
        <f>Consolidation!J159</f>
        <v>0</v>
      </c>
      <c r="K110" s="154">
        <f>Consolidation!K159</f>
        <v>0</v>
      </c>
      <c r="L110" s="154">
        <f>Consolidation!L159</f>
        <v>0</v>
      </c>
      <c r="M110" s="154">
        <f>Consolidation!M159</f>
        <v>0</v>
      </c>
      <c r="N110" s="154">
        <f>Consolidation!N159</f>
        <v>0</v>
      </c>
      <c r="O110" s="154">
        <f>Consolidation!O159</f>
        <v>0</v>
      </c>
      <c r="P110" s="154">
        <f>Consolidation!P159</f>
        <v>0</v>
      </c>
      <c r="Q110" s="460"/>
    </row>
    <row r="111" spans="1:17">
      <c r="A111" s="154">
        <f>Consolidation!A160</f>
        <v>0</v>
      </c>
      <c r="B111" s="154">
        <f>Consolidation!B160</f>
        <v>0</v>
      </c>
      <c r="C111" s="154">
        <f>Consolidation!C160</f>
        <v>0</v>
      </c>
      <c r="D111" s="154">
        <f>Consolidation!D160</f>
        <v>0</v>
      </c>
      <c r="E111" s="154">
        <f>Consolidation!E160</f>
        <v>0</v>
      </c>
      <c r="F111" s="154">
        <f>Consolidation!F160</f>
        <v>0</v>
      </c>
      <c r="G111" s="154">
        <f>Consolidation!G160</f>
        <v>0</v>
      </c>
      <c r="H111" s="154">
        <f>Consolidation!H160</f>
        <v>0</v>
      </c>
      <c r="I111" s="154">
        <f>Consolidation!I160</f>
        <v>0</v>
      </c>
      <c r="J111" s="154">
        <f>Consolidation!J160</f>
        <v>0</v>
      </c>
      <c r="K111" s="154">
        <f>Consolidation!K160</f>
        <v>0</v>
      </c>
      <c r="L111" s="154">
        <f>Consolidation!L160</f>
        <v>0</v>
      </c>
      <c r="M111" s="154">
        <f>Consolidation!M160</f>
        <v>0</v>
      </c>
      <c r="N111" s="154">
        <f>Consolidation!N160</f>
        <v>0</v>
      </c>
      <c r="O111" s="154">
        <f>Consolidation!O160</f>
        <v>0</v>
      </c>
      <c r="P111" s="154">
        <f>Consolidation!P160</f>
        <v>0</v>
      </c>
      <c r="Q111" s="460"/>
    </row>
    <row r="112" spans="1:17">
      <c r="A112" s="160" t="str">
        <f>Consolidation!A161</f>
        <v>Organic growth</v>
      </c>
      <c r="B112" s="154">
        <f>Consolidation!B161</f>
        <v>0</v>
      </c>
      <c r="C112" s="154">
        <f>Consolidation!C161</f>
        <v>0</v>
      </c>
      <c r="D112" s="154">
        <f>Consolidation!D161</f>
        <v>0</v>
      </c>
      <c r="E112" s="154">
        <f>Consolidation!E161</f>
        <v>0</v>
      </c>
      <c r="F112" s="154">
        <f>Consolidation!F161</f>
        <v>0</v>
      </c>
      <c r="G112" s="154">
        <f>Consolidation!G161</f>
        <v>0</v>
      </c>
      <c r="H112" s="154">
        <f>Consolidation!H161</f>
        <v>0</v>
      </c>
      <c r="I112" s="154">
        <f>Consolidation!I161</f>
        <v>0</v>
      </c>
      <c r="J112" s="154">
        <f>Consolidation!J161</f>
        <v>0</v>
      </c>
      <c r="K112" s="154">
        <f>Consolidation!K161</f>
        <v>0</v>
      </c>
      <c r="L112" s="154">
        <f>Consolidation!L161</f>
        <v>0</v>
      </c>
      <c r="M112" s="154">
        <f>Consolidation!M161</f>
        <v>0</v>
      </c>
      <c r="N112" s="154">
        <f>Consolidation!N161</f>
        <v>0</v>
      </c>
      <c r="O112" s="154">
        <f>Consolidation!O161</f>
        <v>0</v>
      </c>
      <c r="P112" s="154">
        <f>Consolidation!P161</f>
        <v>0</v>
      </c>
      <c r="Q112" s="460"/>
    </row>
    <row r="113" spans="1:17">
      <c r="A113" s="154">
        <f>Consolidation!A162</f>
        <v>0</v>
      </c>
      <c r="B113" s="154">
        <f>Consolidation!B162</f>
        <v>0</v>
      </c>
      <c r="C113" s="154">
        <f>Consolidation!C162</f>
        <v>0</v>
      </c>
      <c r="D113" s="154">
        <f>Consolidation!D162</f>
        <v>0</v>
      </c>
      <c r="E113" s="154">
        <f>Consolidation!E162</f>
        <v>0</v>
      </c>
      <c r="F113" s="154">
        <f>Consolidation!F162</f>
        <v>0</v>
      </c>
      <c r="G113" s="154">
        <f>Consolidation!G162</f>
        <v>0</v>
      </c>
      <c r="H113" s="154">
        <f>Consolidation!H162</f>
        <v>0</v>
      </c>
      <c r="I113" s="154">
        <f>Consolidation!I162</f>
        <v>0</v>
      </c>
      <c r="J113" s="154">
        <f>Consolidation!J162</f>
        <v>0</v>
      </c>
      <c r="K113" s="154">
        <f>Consolidation!K162</f>
        <v>0</v>
      </c>
      <c r="L113" s="154">
        <f>Consolidation!L162</f>
        <v>0</v>
      </c>
      <c r="M113" s="154">
        <f>Consolidation!M162</f>
        <v>0</v>
      </c>
      <c r="N113" s="154">
        <f>Consolidation!N162</f>
        <v>0</v>
      </c>
      <c r="O113" s="154">
        <f>Consolidation!O162</f>
        <v>0</v>
      </c>
      <c r="P113" s="154">
        <f>Consolidation!P162</f>
        <v>0</v>
      </c>
      <c r="Q113" s="460"/>
    </row>
    <row r="114" spans="1:17">
      <c r="A114" s="154">
        <f>Consolidation!A163</f>
        <v>0</v>
      </c>
      <c r="B114" s="154" t="str">
        <f>Consolidation!B163</f>
        <v>Orga g</v>
      </c>
      <c r="C114" s="154" t="str">
        <f>Consolidation!C163</f>
        <v>Weight</v>
      </c>
      <c r="D114" s="154" t="str">
        <f>Consolidation!D163</f>
        <v>Contribution</v>
      </c>
      <c r="E114" s="154">
        <f>Consolidation!E163</f>
        <v>0</v>
      </c>
      <c r="F114" s="153">
        <f>Consolidation!F163</f>
        <v>0</v>
      </c>
      <c r="G114" s="153">
        <f>Consolidation!G163</f>
        <v>0</v>
      </c>
      <c r="H114" s="154">
        <f>Consolidation!H163</f>
        <v>0</v>
      </c>
      <c r="I114" s="154">
        <f>Consolidation!I163</f>
        <v>0</v>
      </c>
      <c r="J114" s="154">
        <f>Consolidation!J163</f>
        <v>0</v>
      </c>
      <c r="K114" s="154">
        <f>Consolidation!K163</f>
        <v>0</v>
      </c>
      <c r="L114" s="154">
        <f>Consolidation!L163</f>
        <v>0</v>
      </c>
      <c r="M114" s="154">
        <f>Consolidation!M163</f>
        <v>0</v>
      </c>
      <c r="N114" s="154">
        <f>Consolidation!N163</f>
        <v>0</v>
      </c>
      <c r="O114" s="154">
        <f>Consolidation!O163</f>
        <v>0</v>
      </c>
      <c r="P114" s="154">
        <f>Consolidation!P163</f>
        <v>0</v>
      </c>
      <c r="Q114" s="460"/>
    </row>
    <row r="115" spans="1:17">
      <c r="A115" s="742" t="str">
        <f>Consolidation!A164</f>
        <v>Nigeria implied at 1610</v>
      </c>
      <c r="B115" s="734">
        <f>Consolidation!B164</f>
        <v>0.67</v>
      </c>
      <c r="C115" s="162">
        <f>Consolidation!C164</f>
        <v>0.65001253799624481</v>
      </c>
      <c r="D115" s="162">
        <f>Consolidation!D164</f>
        <v>0.43550840045748407</v>
      </c>
      <c r="E115" s="154">
        <f>Consolidation!E164</f>
        <v>0</v>
      </c>
      <c r="F115" s="153">
        <f>Consolidation!F164</f>
        <v>0</v>
      </c>
      <c r="G115" s="153">
        <f>Consolidation!G164</f>
        <v>0</v>
      </c>
      <c r="H115" s="154">
        <f>Consolidation!H164</f>
        <v>0</v>
      </c>
      <c r="I115" s="154">
        <f>Consolidation!I164</f>
        <v>0</v>
      </c>
      <c r="J115" s="154">
        <f>Consolidation!J164</f>
        <v>0</v>
      </c>
      <c r="K115" s="154">
        <f>Consolidation!K164</f>
        <v>0</v>
      </c>
      <c r="L115" s="154">
        <f>Consolidation!L164</f>
        <v>0</v>
      </c>
      <c r="M115" s="154">
        <f>Consolidation!M164</f>
        <v>0</v>
      </c>
      <c r="N115" s="154">
        <f>Consolidation!N164</f>
        <v>0</v>
      </c>
      <c r="O115" s="154">
        <f>Consolidation!O164</f>
        <v>0</v>
      </c>
      <c r="P115" s="154">
        <f>Consolidation!P164</f>
        <v>0</v>
      </c>
      <c r="Q115" s="460"/>
    </row>
    <row r="116" spans="1:17">
      <c r="A116" s="742" t="str">
        <f>Consolidation!A165</f>
        <v>SSA</v>
      </c>
      <c r="B116" s="162">
        <f>Consolidation!B165</f>
        <v>-3.8181171217913201E-2</v>
      </c>
      <c r="C116" s="162">
        <f>Consolidation!C165</f>
        <v>0.23666891080333038</v>
      </c>
      <c r="D116" s="162">
        <f>Consolidation!D165</f>
        <v>-9.0362962053389846E-3</v>
      </c>
      <c r="E116" s="154">
        <f>Consolidation!E165</f>
        <v>0</v>
      </c>
      <c r="F116" s="153">
        <f>Consolidation!F165</f>
        <v>0</v>
      </c>
      <c r="G116" s="153">
        <f>Consolidation!G165</f>
        <v>0</v>
      </c>
      <c r="H116" s="154">
        <f>Consolidation!H165</f>
        <v>0</v>
      </c>
      <c r="I116" s="154">
        <f>Consolidation!I165</f>
        <v>0</v>
      </c>
      <c r="J116" s="154">
        <f>Consolidation!J165</f>
        <v>0</v>
      </c>
      <c r="K116" s="154">
        <f>Consolidation!K165</f>
        <v>0</v>
      </c>
      <c r="L116" s="154">
        <f>Consolidation!L165</f>
        <v>0</v>
      </c>
      <c r="M116" s="154">
        <f>Consolidation!M165</f>
        <v>0</v>
      </c>
      <c r="N116" s="154">
        <f>Consolidation!N165</f>
        <v>0</v>
      </c>
      <c r="O116" s="154">
        <f>Consolidation!O165</f>
        <v>0</v>
      </c>
      <c r="P116" s="154">
        <f>Consolidation!P165</f>
        <v>0</v>
      </c>
      <c r="Q116" s="460"/>
    </row>
    <row r="117" spans="1:17">
      <c r="A117" s="742" t="str">
        <f>Consolidation!A166</f>
        <v>LatAm</v>
      </c>
      <c r="B117" s="162">
        <f>Consolidation!B166</f>
        <v>-8.0801370581448206E-2</v>
      </c>
      <c r="C117" s="162">
        <f>Consolidation!C166</f>
        <v>9.4191167510923116E-2</v>
      </c>
      <c r="D117" s="162">
        <f>Consolidation!D166</f>
        <v>-7.6107754315493633E-3</v>
      </c>
      <c r="E117" s="154">
        <f>Consolidation!E166</f>
        <v>0</v>
      </c>
      <c r="F117" s="153">
        <f>Consolidation!F166</f>
        <v>0</v>
      </c>
      <c r="G117" s="153">
        <f>Consolidation!G166</f>
        <v>0</v>
      </c>
      <c r="H117" s="154">
        <f>Consolidation!H166</f>
        <v>0</v>
      </c>
      <c r="I117" s="154">
        <f>Consolidation!I166</f>
        <v>0</v>
      </c>
      <c r="J117" s="154">
        <f>Consolidation!J166</f>
        <v>0</v>
      </c>
      <c r="K117" s="154">
        <f>Consolidation!K166</f>
        <v>0</v>
      </c>
      <c r="L117" s="154">
        <f>Consolidation!L166</f>
        <v>0</v>
      </c>
      <c r="M117" s="154">
        <f>Consolidation!M166</f>
        <v>0</v>
      </c>
      <c r="N117" s="154">
        <f>Consolidation!N166</f>
        <v>0</v>
      </c>
      <c r="O117" s="154">
        <f>Consolidation!O166</f>
        <v>0</v>
      </c>
      <c r="P117" s="154">
        <f>Consolidation!P166</f>
        <v>0</v>
      </c>
      <c r="Q117" s="460"/>
    </row>
    <row r="118" spans="1:17">
      <c r="A118" s="551" t="str">
        <f>Consolidation!A167</f>
        <v>MENA</v>
      </c>
      <c r="B118" s="162">
        <f>Consolidation!B167</f>
        <v>0.10406828020464398</v>
      </c>
      <c r="C118" s="162">
        <f>Consolidation!C167</f>
        <v>1.9127383689501818E-2</v>
      </c>
      <c r="D118" s="162">
        <f>Consolidation!D167</f>
        <v>1.9905539253808123E-3</v>
      </c>
      <c r="E118" s="154">
        <f>Consolidation!E167</f>
        <v>0</v>
      </c>
      <c r="F118" s="153">
        <f>Consolidation!F167</f>
        <v>0</v>
      </c>
      <c r="G118" s="153">
        <f>Consolidation!G167</f>
        <v>0</v>
      </c>
      <c r="H118" s="154">
        <f>Consolidation!H167</f>
        <v>0</v>
      </c>
      <c r="I118" s="154">
        <f>Consolidation!I167</f>
        <v>0</v>
      </c>
      <c r="J118" s="154">
        <f>Consolidation!J167</f>
        <v>0</v>
      </c>
      <c r="K118" s="154">
        <f>Consolidation!K167</f>
        <v>0</v>
      </c>
      <c r="L118" s="154">
        <f>Consolidation!L167</f>
        <v>0</v>
      </c>
      <c r="M118" s="154">
        <f>Consolidation!M167</f>
        <v>0</v>
      </c>
      <c r="N118" s="154">
        <f>Consolidation!N167</f>
        <v>0</v>
      </c>
      <c r="O118" s="154">
        <f>Consolidation!O167</f>
        <v>0</v>
      </c>
      <c r="P118" s="154">
        <f>Consolidation!P167</f>
        <v>0</v>
      </c>
      <c r="Q118" s="460"/>
    </row>
    <row r="119" spans="1:17">
      <c r="A119" s="155">
        <f>Consolidation!A168</f>
        <v>0</v>
      </c>
      <c r="B119" s="155">
        <f>Consolidation!B168</f>
        <v>0</v>
      </c>
      <c r="C119" s="155">
        <f>Consolidation!C168</f>
        <v>0</v>
      </c>
      <c r="D119" s="743">
        <f>Consolidation!D168</f>
        <v>0.42085188274597657</v>
      </c>
      <c r="E119" s="154" t="str">
        <f>Consolidation!E168</f>
        <v>Guided with NGN at 1610</v>
      </c>
      <c r="F119" s="153">
        <f>Consolidation!F168</f>
        <v>0</v>
      </c>
      <c r="G119" s="153">
        <f>Consolidation!G168</f>
        <v>0</v>
      </c>
      <c r="H119" s="154">
        <f>Consolidation!H168</f>
        <v>0</v>
      </c>
      <c r="I119" s="154">
        <f>Consolidation!I168</f>
        <v>0</v>
      </c>
      <c r="J119" s="154">
        <f>Consolidation!J168</f>
        <v>0</v>
      </c>
      <c r="K119" s="154">
        <f>Consolidation!K168</f>
        <v>0</v>
      </c>
      <c r="L119" s="154">
        <f>Consolidation!L168</f>
        <v>0</v>
      </c>
      <c r="M119" s="154">
        <f>Consolidation!M168</f>
        <v>0</v>
      </c>
      <c r="N119" s="154">
        <f>Consolidation!N168</f>
        <v>0</v>
      </c>
      <c r="O119" s="154">
        <f>Consolidation!O168</f>
        <v>0</v>
      </c>
      <c r="P119" s="154">
        <f>Consolidation!P168</f>
        <v>0</v>
      </c>
      <c r="Q119" s="460"/>
    </row>
    <row r="120" spans="1:17">
      <c r="A120" s="154">
        <f>Consolidation!A169</f>
        <v>0</v>
      </c>
      <c r="B120" s="154">
        <f>Consolidation!B169</f>
        <v>0</v>
      </c>
      <c r="C120" s="154">
        <f>Consolidation!C169</f>
        <v>0</v>
      </c>
      <c r="D120" s="154">
        <f>Consolidation!D169</f>
        <v>0</v>
      </c>
      <c r="E120" s="154">
        <f>Consolidation!E169</f>
        <v>0</v>
      </c>
      <c r="F120" s="154">
        <f>Consolidation!F169</f>
        <v>0</v>
      </c>
      <c r="G120" s="154">
        <f>Consolidation!G169</f>
        <v>0</v>
      </c>
      <c r="H120" s="154">
        <f>Consolidation!H169</f>
        <v>0</v>
      </c>
      <c r="I120" s="154">
        <f>Consolidation!I169</f>
        <v>0</v>
      </c>
      <c r="J120" s="154">
        <f>Consolidation!J169</f>
        <v>0</v>
      </c>
      <c r="K120" s="154">
        <f>Consolidation!K169</f>
        <v>0</v>
      </c>
      <c r="L120" s="154">
        <f>Consolidation!L169</f>
        <v>0</v>
      </c>
      <c r="M120" s="154">
        <f>Consolidation!M169</f>
        <v>0</v>
      </c>
      <c r="N120" s="154">
        <f>Consolidation!N169</f>
        <v>0</v>
      </c>
      <c r="O120" s="154">
        <f>Consolidation!O169</f>
        <v>0</v>
      </c>
      <c r="P120" s="154">
        <f>Consolidation!P169</f>
        <v>0</v>
      </c>
      <c r="Q120" s="460"/>
    </row>
    <row r="121" spans="1:17">
      <c r="A121" s="154">
        <f>Consolidation!A170</f>
        <v>0</v>
      </c>
      <c r="B121" s="154">
        <f>Consolidation!B170</f>
        <v>0</v>
      </c>
      <c r="C121" s="154">
        <f>Consolidation!C170</f>
        <v>0</v>
      </c>
      <c r="D121" s="154">
        <f>Consolidation!D170</f>
        <v>0</v>
      </c>
      <c r="E121" s="154">
        <f>Consolidation!E170</f>
        <v>0</v>
      </c>
      <c r="F121" s="154">
        <f>Consolidation!F170</f>
        <v>0</v>
      </c>
      <c r="G121" s="154">
        <f>Consolidation!G170</f>
        <v>0</v>
      </c>
      <c r="H121" s="154">
        <f>Consolidation!H170</f>
        <v>0</v>
      </c>
      <c r="I121" s="154">
        <f>Consolidation!I170</f>
        <v>0</v>
      </c>
      <c r="J121" s="154">
        <f>Consolidation!J170</f>
        <v>0</v>
      </c>
      <c r="K121" s="154">
        <f>Consolidation!K170</f>
        <v>0</v>
      </c>
      <c r="L121" s="154">
        <f>Consolidation!L170</f>
        <v>0</v>
      </c>
      <c r="M121" s="154">
        <f>Consolidation!M170</f>
        <v>0</v>
      </c>
      <c r="N121" s="154">
        <f>Consolidation!N170</f>
        <v>0</v>
      </c>
      <c r="O121" s="154">
        <f>Consolidation!O170</f>
        <v>0</v>
      </c>
      <c r="P121" s="154">
        <f>Consolidation!P170</f>
        <v>0</v>
      </c>
      <c r="Q121" s="460"/>
    </row>
    <row r="122" spans="1:17">
      <c r="A122" s="154">
        <f>Consolidation!A171</f>
        <v>0</v>
      </c>
      <c r="B122" s="154">
        <f>Consolidation!B171</f>
        <v>0</v>
      </c>
      <c r="C122" s="154">
        <f>Consolidation!C171</f>
        <v>0</v>
      </c>
      <c r="D122" s="154">
        <f>Consolidation!D171</f>
        <v>0</v>
      </c>
      <c r="E122" s="154">
        <f>Consolidation!E171</f>
        <v>0</v>
      </c>
      <c r="F122" s="154">
        <f>Consolidation!F171</f>
        <v>0</v>
      </c>
      <c r="G122" s="154">
        <f>Consolidation!G171</f>
        <v>0</v>
      </c>
      <c r="H122" s="154">
        <f>Consolidation!H171</f>
        <v>0</v>
      </c>
      <c r="I122" s="154">
        <f>Consolidation!I171</f>
        <v>0</v>
      </c>
      <c r="J122" s="154">
        <f>Consolidation!J171</f>
        <v>0</v>
      </c>
      <c r="K122" s="154">
        <f>Consolidation!K171</f>
        <v>0</v>
      </c>
      <c r="L122" s="154">
        <f>Consolidation!L171</f>
        <v>0</v>
      </c>
      <c r="M122" s="154">
        <f>Consolidation!M171</f>
        <v>0</v>
      </c>
      <c r="N122" s="154">
        <f>Consolidation!N171</f>
        <v>0</v>
      </c>
      <c r="O122" s="154">
        <f>Consolidation!O171</f>
        <v>0</v>
      </c>
      <c r="P122" s="154">
        <f>Consolidation!P171</f>
        <v>0</v>
      </c>
      <c r="Q122" s="460"/>
    </row>
    <row r="123" spans="1:17">
      <c r="A123" s="154">
        <f>Consolidation!A172</f>
        <v>0</v>
      </c>
      <c r="B123" s="154">
        <f>Consolidation!B172</f>
        <v>0</v>
      </c>
      <c r="C123" s="154">
        <f>Consolidation!C172</f>
        <v>0</v>
      </c>
      <c r="D123" s="154">
        <f>Consolidation!D172</f>
        <v>0</v>
      </c>
      <c r="E123" s="154">
        <f>Consolidation!E172</f>
        <v>0</v>
      </c>
      <c r="F123" s="154">
        <f>Consolidation!F172</f>
        <v>0</v>
      </c>
      <c r="G123" s="154">
        <f>Consolidation!G172</f>
        <v>0</v>
      </c>
      <c r="H123" s="154">
        <f>Consolidation!H172</f>
        <v>0</v>
      </c>
      <c r="I123" s="154">
        <f>Consolidation!I172</f>
        <v>0</v>
      </c>
      <c r="J123" s="154">
        <f>Consolidation!J172</f>
        <v>0</v>
      </c>
      <c r="K123" s="154">
        <f>Consolidation!K172</f>
        <v>0</v>
      </c>
      <c r="L123" s="154">
        <f>Consolidation!L172</f>
        <v>0</v>
      </c>
      <c r="M123" s="154">
        <f>Consolidation!M172</f>
        <v>0</v>
      </c>
      <c r="N123" s="154">
        <f>Consolidation!N172</f>
        <v>0</v>
      </c>
      <c r="O123" s="154">
        <f>Consolidation!O172</f>
        <v>0</v>
      </c>
      <c r="P123" s="154">
        <f>Consolidation!P172</f>
        <v>0</v>
      </c>
      <c r="Q123" s="460"/>
    </row>
    <row r="124" spans="1:17">
      <c r="A124" s="154">
        <f>Consolidation!A173</f>
        <v>0</v>
      </c>
      <c r="B124" s="154">
        <f>Consolidation!B173</f>
        <v>0</v>
      </c>
      <c r="C124" s="154">
        <f>Consolidation!C173</f>
        <v>0</v>
      </c>
      <c r="D124" s="154">
        <f>Consolidation!D173</f>
        <v>0</v>
      </c>
      <c r="E124" s="154">
        <f>Consolidation!E173</f>
        <v>0</v>
      </c>
      <c r="F124" s="154">
        <f>Consolidation!F173</f>
        <v>0</v>
      </c>
      <c r="G124" s="154">
        <f>Consolidation!G173</f>
        <v>0</v>
      </c>
      <c r="H124" s="154">
        <f>Consolidation!H173</f>
        <v>0</v>
      </c>
      <c r="I124" s="154">
        <f>Consolidation!I173</f>
        <v>0</v>
      </c>
      <c r="J124" s="154">
        <f>Consolidation!J173</f>
        <v>0</v>
      </c>
      <c r="K124" s="154">
        <f>Consolidation!K173</f>
        <v>0</v>
      </c>
      <c r="L124" s="154">
        <f>Consolidation!L173</f>
        <v>0</v>
      </c>
      <c r="M124" s="154">
        <f>Consolidation!M173</f>
        <v>0</v>
      </c>
      <c r="N124" s="154">
        <f>Consolidation!N173</f>
        <v>0</v>
      </c>
      <c r="O124" s="154">
        <f>Consolidation!O173</f>
        <v>0</v>
      </c>
      <c r="P124" s="154">
        <f>Consolidation!P173</f>
        <v>0</v>
      </c>
      <c r="Q124" s="460"/>
    </row>
    <row r="125" spans="1:17">
      <c r="A125" s="160" t="str">
        <f>Consolidation!A174</f>
        <v>Project Green</v>
      </c>
      <c r="B125" s="154">
        <f>Consolidation!B174</f>
        <v>0</v>
      </c>
      <c r="C125" s="154">
        <f>Consolidation!C174</f>
        <v>0</v>
      </c>
      <c r="D125" s="154">
        <f>Consolidation!D174</f>
        <v>0</v>
      </c>
      <c r="E125" s="154">
        <f>Consolidation!E174</f>
        <v>0</v>
      </c>
      <c r="F125" s="154">
        <f>Consolidation!F174</f>
        <v>0</v>
      </c>
      <c r="G125" s="154">
        <f>Consolidation!G174</f>
        <v>0</v>
      </c>
      <c r="H125" s="154">
        <f>Consolidation!H174</f>
        <v>0</v>
      </c>
      <c r="I125" s="154">
        <f>Consolidation!I174</f>
        <v>0</v>
      </c>
      <c r="J125" s="154">
        <f>Consolidation!J174</f>
        <v>0</v>
      </c>
      <c r="K125" s="154">
        <f>Consolidation!K174</f>
        <v>0</v>
      </c>
      <c r="L125" s="154">
        <f>Consolidation!L174</f>
        <v>0</v>
      </c>
      <c r="M125" s="154">
        <f>Consolidation!M174</f>
        <v>0</v>
      </c>
      <c r="N125" s="154">
        <f>Consolidation!N174</f>
        <v>0</v>
      </c>
      <c r="O125" s="154">
        <f>Consolidation!O174</f>
        <v>0</v>
      </c>
      <c r="P125" s="154">
        <f>Consolidation!P174</f>
        <v>0</v>
      </c>
      <c r="Q125" s="460"/>
    </row>
    <row r="126" spans="1:17">
      <c r="A126" s="160">
        <f>Consolidation!A175</f>
        <v>0</v>
      </c>
      <c r="B126" s="154">
        <f>Consolidation!B175</f>
        <v>0</v>
      </c>
      <c r="C126" s="154">
        <f>Consolidation!C175</f>
        <v>0</v>
      </c>
      <c r="D126" s="154">
        <f>Consolidation!D175</f>
        <v>0</v>
      </c>
      <c r="E126" s="154">
        <f>Consolidation!E175</f>
        <v>0</v>
      </c>
      <c r="F126" s="154">
        <f>Consolidation!F175</f>
        <v>0</v>
      </c>
      <c r="G126" s="154">
        <f>Consolidation!G175</f>
        <v>0</v>
      </c>
      <c r="H126" s="155">
        <f>Consolidation!H175</f>
        <v>2022</v>
      </c>
      <c r="I126" s="155">
        <f>Consolidation!I175</f>
        <v>2023</v>
      </c>
      <c r="J126" s="155">
        <f>Consolidation!J175</f>
        <v>2024</v>
      </c>
      <c r="K126" s="155" t="str">
        <f>Consolidation!K175</f>
        <v>2025E</v>
      </c>
      <c r="L126" s="155" t="str">
        <f>Consolidation!L175</f>
        <v>2026E</v>
      </c>
      <c r="M126" s="155" t="str">
        <f>Consolidation!M175</f>
        <v>2027E</v>
      </c>
      <c r="N126" s="155" t="str">
        <f>Consolidation!N175</f>
        <v>2028E</v>
      </c>
      <c r="O126" s="155" t="str">
        <f>Consolidation!O175</f>
        <v>2029E</v>
      </c>
      <c r="P126" s="155" t="str">
        <f>Consolidation!P175</f>
        <v>2030E</v>
      </c>
      <c r="Q126" s="456"/>
    </row>
    <row r="127" spans="1:17">
      <c r="A127" s="154" t="str">
        <f>Consolidation!A176</f>
        <v>Project Green capex</v>
      </c>
      <c r="B127" s="154">
        <f>Consolidation!B176</f>
        <v>0</v>
      </c>
      <c r="C127" s="154">
        <f>Consolidation!C176</f>
        <v>0</v>
      </c>
      <c r="D127" s="154">
        <f>Consolidation!D176</f>
        <v>0</v>
      </c>
      <c r="E127" s="154">
        <f>Consolidation!E176</f>
        <v>0</v>
      </c>
      <c r="F127" s="154">
        <f>Consolidation!F176</f>
        <v>0</v>
      </c>
      <c r="G127" s="154">
        <f>Consolidation!G176</f>
        <v>0</v>
      </c>
      <c r="H127" s="456">
        <f>Consolidation!H176</f>
        <v>110</v>
      </c>
      <c r="I127" s="456">
        <f>Consolidation!I176</f>
        <v>82</v>
      </c>
      <c r="J127" s="456">
        <f>Consolidation!J176</f>
        <v>23</v>
      </c>
      <c r="K127" s="456">
        <f>Consolidation!K176</f>
        <v>0</v>
      </c>
      <c r="L127" s="456">
        <f>Consolidation!L176</f>
        <v>0</v>
      </c>
      <c r="M127" s="456">
        <f>Consolidation!M176</f>
        <v>0</v>
      </c>
      <c r="N127" s="456">
        <f>Consolidation!N176</f>
        <v>0</v>
      </c>
      <c r="O127" s="456">
        <f>Consolidation!O176</f>
        <v>0</v>
      </c>
      <c r="P127" s="456">
        <f>Consolidation!P176</f>
        <v>0</v>
      </c>
      <c r="Q127" s="456"/>
    </row>
    <row r="128" spans="1:17">
      <c r="A128" s="154" t="str">
        <f>Consolidation!A177</f>
        <v>PG savings (25% capex)</v>
      </c>
      <c r="B128" s="154">
        <f>Consolidation!B177</f>
        <v>0</v>
      </c>
      <c r="C128" s="154">
        <f>Consolidation!C177</f>
        <v>0</v>
      </c>
      <c r="D128" s="154">
        <f>Consolidation!D177</f>
        <v>0</v>
      </c>
      <c r="E128" s="154">
        <f>Consolidation!E177</f>
        <v>0</v>
      </c>
      <c r="F128" s="154">
        <f>Consolidation!F177</f>
        <v>0</v>
      </c>
      <c r="G128" s="154">
        <f>Consolidation!G177</f>
        <v>0</v>
      </c>
      <c r="H128" s="456">
        <f>Consolidation!H177</f>
        <v>0</v>
      </c>
      <c r="I128" s="456">
        <f>Consolidation!I177</f>
        <v>-5.5</v>
      </c>
      <c r="J128" s="456">
        <f>Consolidation!J177</f>
        <v>-12.75</v>
      </c>
      <c r="K128" s="456">
        <f>Consolidation!K177</f>
        <v>-19.25</v>
      </c>
      <c r="L128" s="456">
        <f>Consolidation!L177</f>
        <v>-19.25</v>
      </c>
      <c r="M128" s="456">
        <f>Consolidation!M177</f>
        <v>-19.25</v>
      </c>
      <c r="N128" s="456">
        <f>Consolidation!N177</f>
        <v>-19.25</v>
      </c>
      <c r="O128" s="456">
        <f>Consolidation!O177</f>
        <v>-19.25</v>
      </c>
      <c r="P128" s="456">
        <f>Consolidation!P177</f>
        <v>-19.25</v>
      </c>
      <c r="Q128" s="456"/>
    </row>
    <row r="129" spans="1:17">
      <c r="A129" s="154">
        <f>Consolidation!A178</f>
        <v>0</v>
      </c>
      <c r="B129" s="154">
        <f>Consolidation!B178</f>
        <v>0</v>
      </c>
      <c r="C129" s="154">
        <f>Consolidation!C178</f>
        <v>0</v>
      </c>
      <c r="D129" s="154">
        <f>Consolidation!D178</f>
        <v>0</v>
      </c>
      <c r="E129" s="154">
        <f>Consolidation!E178</f>
        <v>0</v>
      </c>
      <c r="F129" s="154">
        <f>Consolidation!F178</f>
        <v>0</v>
      </c>
      <c r="G129" s="154">
        <f>Consolidation!G178</f>
        <v>0</v>
      </c>
      <c r="H129" s="752">
        <f>Consolidation!H178</f>
        <v>110</v>
      </c>
      <c r="I129" s="752">
        <f>Consolidation!I178</f>
        <v>76.5</v>
      </c>
      <c r="J129" s="752">
        <f>Consolidation!J178</f>
        <v>10.25</v>
      </c>
      <c r="K129" s="752">
        <f>Consolidation!K178</f>
        <v>-19.25</v>
      </c>
      <c r="L129" s="752">
        <f>Consolidation!L178</f>
        <v>-19.25</v>
      </c>
      <c r="M129" s="752">
        <f>Consolidation!M178</f>
        <v>-19.25</v>
      </c>
      <c r="N129" s="752">
        <f>Consolidation!N178</f>
        <v>-19.25</v>
      </c>
      <c r="O129" s="752">
        <f>Consolidation!O178</f>
        <v>-19.25</v>
      </c>
      <c r="P129" s="752">
        <f>Consolidation!P178</f>
        <v>-19.25</v>
      </c>
      <c r="Q129" s="456"/>
    </row>
    <row r="130" spans="1:17">
      <c r="A130" s="154">
        <f>Consolidation!A179</f>
        <v>0</v>
      </c>
      <c r="B130" s="154">
        <f>Consolidation!B179</f>
        <v>0</v>
      </c>
      <c r="C130" s="154">
        <f>Consolidation!C179</f>
        <v>0</v>
      </c>
      <c r="D130" s="154">
        <f>Consolidation!D179</f>
        <v>0</v>
      </c>
      <c r="E130" s="154">
        <f>Consolidation!E179</f>
        <v>0</v>
      </c>
      <c r="F130" s="154">
        <f>Consolidation!F179</f>
        <v>0</v>
      </c>
      <c r="G130" s="154">
        <f>Consolidation!G179</f>
        <v>0</v>
      </c>
      <c r="H130" s="456">
        <f>Consolidation!H179</f>
        <v>0</v>
      </c>
      <c r="I130" s="456">
        <f>Consolidation!I179</f>
        <v>0</v>
      </c>
      <c r="J130" s="456">
        <f>Consolidation!J179</f>
        <v>0</v>
      </c>
      <c r="K130" s="456">
        <f>Consolidation!K179</f>
        <v>0</v>
      </c>
      <c r="L130" s="456">
        <f>Consolidation!L179</f>
        <v>0</v>
      </c>
      <c r="M130" s="456">
        <f>Consolidation!M179</f>
        <v>0</v>
      </c>
      <c r="N130" s="456">
        <f>Consolidation!N179</f>
        <v>0</v>
      </c>
      <c r="O130" s="456">
        <f>Consolidation!O179</f>
        <v>0</v>
      </c>
      <c r="P130" s="456">
        <f>Consolidation!P179</f>
        <v>0</v>
      </c>
      <c r="Q130" s="456"/>
    </row>
    <row r="131" spans="1:17">
      <c r="A131" s="154" t="str">
        <f>Consolidation!A180</f>
        <v>Previous forecasts</v>
      </c>
      <c r="B131" s="154">
        <f>Consolidation!B180</f>
        <v>0</v>
      </c>
      <c r="C131" s="154">
        <f>Consolidation!C180</f>
        <v>0</v>
      </c>
      <c r="D131" s="154">
        <f>Consolidation!D180</f>
        <v>0</v>
      </c>
      <c r="E131" s="154">
        <f>Consolidation!E180</f>
        <v>0</v>
      </c>
      <c r="F131" s="154">
        <f>Consolidation!F180</f>
        <v>0</v>
      </c>
      <c r="G131" s="154">
        <f>Consolidation!G180</f>
        <v>0</v>
      </c>
      <c r="H131" s="456">
        <f>Consolidation!H180</f>
        <v>585.32535111742811</v>
      </c>
      <c r="I131" s="456">
        <f>Consolidation!I180</f>
        <v>577.31904951624153</v>
      </c>
      <c r="J131" s="456">
        <f>Consolidation!J180</f>
        <v>573.60594972672106</v>
      </c>
      <c r="K131" s="456">
        <f>Consolidation!K180</f>
        <v>590.27702348623836</v>
      </c>
      <c r="L131" s="456">
        <f>Consolidation!L180</f>
        <v>552.20294736787616</v>
      </c>
      <c r="M131" s="456">
        <f>Consolidation!M180</f>
        <v>506.03615925302586</v>
      </c>
      <c r="N131" s="456">
        <f>Consolidation!N180</f>
        <v>480.77954159736817</v>
      </c>
      <c r="O131" s="456">
        <f>Consolidation!O180</f>
        <v>449.54856593389661</v>
      </c>
      <c r="P131" s="456">
        <f>Consolidation!P180</f>
        <v>411.68422952770817</v>
      </c>
      <c r="Q131" s="456"/>
    </row>
    <row r="132" spans="1:17">
      <c r="A132" s="154">
        <f>Consolidation!A181</f>
        <v>0</v>
      </c>
      <c r="B132" s="154">
        <f>Consolidation!B181</f>
        <v>0</v>
      </c>
      <c r="C132" s="154">
        <f>Consolidation!C181</f>
        <v>0</v>
      </c>
      <c r="D132" s="154">
        <f>Consolidation!D181</f>
        <v>0</v>
      </c>
      <c r="E132" s="154">
        <f>Consolidation!E181</f>
        <v>0</v>
      </c>
      <c r="F132" s="154">
        <f>Consolidation!F181</f>
        <v>0</v>
      </c>
      <c r="G132" s="154">
        <f>Consolidation!G181</f>
        <v>0</v>
      </c>
      <c r="H132" s="456">
        <f>Consolidation!H181</f>
        <v>48.674648882571887</v>
      </c>
      <c r="I132" s="456">
        <f>Consolidation!I181</f>
        <v>8.6809504837584655</v>
      </c>
      <c r="J132" s="456">
        <f>Consolidation!J181</f>
        <v>-316.60594972672106</v>
      </c>
      <c r="K132" s="456">
        <f>Consolidation!K181</f>
        <v>-331.48536240826542</v>
      </c>
      <c r="L132" s="456">
        <f>Consolidation!L181</f>
        <v>-282.80146905205595</v>
      </c>
      <c r="M132" s="456">
        <f>Consolidation!M181</f>
        <v>-227.82908676414394</v>
      </c>
      <c r="N132" s="456">
        <f>Consolidation!N181</f>
        <v>-185.72675612250345</v>
      </c>
      <c r="O132" s="456">
        <f>Consolidation!O181</f>
        <v>-147.42583392782973</v>
      </c>
      <c r="P132" s="456">
        <f>Consolidation!P181</f>
        <v>-91.770212544701906</v>
      </c>
      <c r="Q132" s="456"/>
    </row>
    <row r="133" spans="1:17">
      <c r="A133" s="154">
        <f>Consolidation!A182</f>
        <v>0</v>
      </c>
      <c r="B133" s="154">
        <f>Consolidation!B182</f>
        <v>0</v>
      </c>
      <c r="C133" s="154">
        <f>Consolidation!C182</f>
        <v>0</v>
      </c>
      <c r="D133" s="154">
        <f>Consolidation!D182</f>
        <v>0</v>
      </c>
      <c r="E133" s="154">
        <f>Consolidation!E182</f>
        <v>0</v>
      </c>
      <c r="F133" s="154">
        <f>Consolidation!F182</f>
        <v>0</v>
      </c>
      <c r="G133" s="154">
        <f>Consolidation!G182</f>
        <v>0</v>
      </c>
      <c r="H133" s="456">
        <f>Consolidation!H182</f>
        <v>0</v>
      </c>
      <c r="I133" s="456">
        <f>Consolidation!I182</f>
        <v>0</v>
      </c>
      <c r="J133" s="456">
        <f>Consolidation!J182</f>
        <v>0</v>
      </c>
      <c r="K133" s="456">
        <f>Consolidation!K182</f>
        <v>0</v>
      </c>
      <c r="L133" s="456">
        <f>Consolidation!L182</f>
        <v>0</v>
      </c>
      <c r="M133" s="456">
        <f>Consolidation!M182</f>
        <v>0</v>
      </c>
      <c r="N133" s="456">
        <f>Consolidation!N182</f>
        <v>0</v>
      </c>
      <c r="O133" s="456">
        <f>Consolidation!O182</f>
        <v>0</v>
      </c>
      <c r="P133" s="456">
        <f>Consolidation!P182</f>
        <v>0</v>
      </c>
      <c r="Q133" s="456"/>
    </row>
    <row r="134" spans="1:17">
      <c r="A134" s="154">
        <f>Consolidation!A183</f>
        <v>0</v>
      </c>
      <c r="B134" s="154">
        <f>Consolidation!B183</f>
        <v>0</v>
      </c>
      <c r="C134" s="154">
        <f>Consolidation!C183</f>
        <v>0</v>
      </c>
      <c r="D134" s="154">
        <f>Consolidation!D183</f>
        <v>0</v>
      </c>
      <c r="E134" s="154">
        <f>Consolidation!E183</f>
        <v>0</v>
      </c>
      <c r="F134" s="154">
        <f>Consolidation!F183</f>
        <v>0</v>
      </c>
      <c r="G134" s="154">
        <f>Consolidation!G183</f>
        <v>0</v>
      </c>
      <c r="H134" s="155">
        <f>Consolidation!H183</f>
        <v>0</v>
      </c>
      <c r="I134" s="155">
        <f>Consolidation!I183</f>
        <v>0</v>
      </c>
      <c r="J134" s="155">
        <f>Consolidation!J183</f>
        <v>0</v>
      </c>
      <c r="K134" s="155">
        <f>Consolidation!K183</f>
        <v>0</v>
      </c>
      <c r="L134" s="155">
        <f>Consolidation!L183</f>
        <v>0</v>
      </c>
      <c r="M134" s="155">
        <f>Consolidation!M183</f>
        <v>0</v>
      </c>
      <c r="N134" s="155">
        <f>Consolidation!N183</f>
        <v>0</v>
      </c>
      <c r="O134" s="155">
        <f>Consolidation!O183</f>
        <v>0</v>
      </c>
      <c r="P134" s="155">
        <f>Consolidation!P183</f>
        <v>0</v>
      </c>
      <c r="Q134" s="155"/>
    </row>
    <row r="135" spans="1:17">
      <c r="A135" s="154" t="str">
        <f>Consolidation!A184</f>
        <v>Old EBITDA</v>
      </c>
      <c r="B135" s="154">
        <f>Consolidation!B184</f>
        <v>0</v>
      </c>
      <c r="C135" s="154">
        <f>Consolidation!C184</f>
        <v>0</v>
      </c>
      <c r="D135" s="154">
        <f>Consolidation!D184</f>
        <v>0</v>
      </c>
      <c r="E135" s="154">
        <f>Consolidation!E184</f>
        <v>0</v>
      </c>
      <c r="F135" s="154">
        <f>Consolidation!F184</f>
        <v>0</v>
      </c>
      <c r="G135" s="154">
        <f>Consolidation!G184</f>
        <v>0</v>
      </c>
      <c r="H135" s="456">
        <f>Consolidation!H184</f>
        <v>1006.7007569895565</v>
      </c>
      <c r="I135" s="456">
        <f>Consolidation!I184</f>
        <v>1181.3930848625077</v>
      </c>
      <c r="J135" s="456">
        <f>Consolidation!J184</f>
        <v>1309.2338958435512</v>
      </c>
      <c r="K135" s="456">
        <f>Consolidation!K184</f>
        <v>1439.5330360534704</v>
      </c>
      <c r="L135" s="456">
        <f>Consolidation!L184</f>
        <v>1570.2032376317452</v>
      </c>
      <c r="M135" s="456">
        <f>Consolidation!M184</f>
        <v>1705.9515995181764</v>
      </c>
      <c r="N135" s="456">
        <f>Consolidation!N184</f>
        <v>1851.3309049626168</v>
      </c>
      <c r="O135" s="456">
        <f>Consolidation!O184</f>
        <v>2000.8615645355442</v>
      </c>
      <c r="P135" s="456">
        <f>Consolidation!P184</f>
        <v>2160.8626503816904</v>
      </c>
      <c r="Q135" s="155"/>
    </row>
    <row r="136" spans="1:17">
      <c r="A136" s="154" t="str">
        <f>Consolidation!A185</f>
        <v>Additional EBITDA</v>
      </c>
      <c r="B136" s="154">
        <f>Consolidation!B185</f>
        <v>0</v>
      </c>
      <c r="C136" s="154">
        <f>Consolidation!C185</f>
        <v>0</v>
      </c>
      <c r="D136" s="154">
        <f>Consolidation!D185</f>
        <v>0</v>
      </c>
      <c r="E136" s="154">
        <f>Consolidation!E185</f>
        <v>0</v>
      </c>
      <c r="F136" s="154">
        <f>Consolidation!F185</f>
        <v>0</v>
      </c>
      <c r="G136" s="154">
        <f>Consolidation!G185</f>
        <v>0</v>
      </c>
      <c r="H136" s="753">
        <f>Consolidation!H185</f>
        <v>24.685243010443514</v>
      </c>
      <c r="I136" s="753">
        <f>Consolidation!I185</f>
        <v>-48.858084862507667</v>
      </c>
      <c r="J136" s="753">
        <f>Consolidation!J185</f>
        <v>-380.87989584355125</v>
      </c>
      <c r="K136" s="753">
        <f>Consolidation!K185</f>
        <v>-440.87453906038922</v>
      </c>
      <c r="L136" s="753">
        <f>Consolidation!L185</f>
        <v>-518.90689071395536</v>
      </c>
      <c r="M136" s="753">
        <f>Consolidation!M185</f>
        <v>-569.06436133525449</v>
      </c>
      <c r="N136" s="753">
        <f>Consolidation!N185</f>
        <v>-635.61831321752402</v>
      </c>
      <c r="O136" s="753">
        <f>Consolidation!O185</f>
        <v>-700.94443317396531</v>
      </c>
      <c r="P136" s="753">
        <f>Consolidation!P185</f>
        <v>-773.42394207218922</v>
      </c>
      <c r="Q136" s="155"/>
    </row>
    <row r="137" spans="1:17">
      <c r="A137" s="154" t="str">
        <f>Consolidation!A186</f>
        <v>PG savings (75%)</v>
      </c>
      <c r="B137" s="154">
        <f>Consolidation!B186</f>
        <v>0</v>
      </c>
      <c r="C137" s="154">
        <f>Consolidation!C186</f>
        <v>0</v>
      </c>
      <c r="D137" s="154">
        <f>Consolidation!D186</f>
        <v>0</v>
      </c>
      <c r="E137" s="154">
        <f>Consolidation!E186</f>
        <v>0</v>
      </c>
      <c r="F137" s="154">
        <f>Consolidation!F186</f>
        <v>0</v>
      </c>
      <c r="G137" s="154">
        <f>Consolidation!G186</f>
        <v>0</v>
      </c>
      <c r="H137" s="753">
        <f>Consolidation!H186</f>
        <v>0</v>
      </c>
      <c r="I137" s="753">
        <f>Consolidation!I186</f>
        <v>16.5</v>
      </c>
      <c r="J137" s="753">
        <f>Consolidation!J186</f>
        <v>38.25</v>
      </c>
      <c r="K137" s="753">
        <f>Consolidation!K186</f>
        <v>57.75</v>
      </c>
      <c r="L137" s="753">
        <f>Consolidation!L186</f>
        <v>57.75</v>
      </c>
      <c r="M137" s="753">
        <f>Consolidation!M186</f>
        <v>57.75</v>
      </c>
      <c r="N137" s="753">
        <f>Consolidation!N186</f>
        <v>57.75</v>
      </c>
      <c r="O137" s="753">
        <f>Consolidation!O186</f>
        <v>57.75</v>
      </c>
      <c r="P137" s="753">
        <f>Consolidation!P186</f>
        <v>57.75</v>
      </c>
      <c r="Q137" s="155"/>
    </row>
    <row r="138" spans="1:17">
      <c r="A138" s="154">
        <f>Consolidation!A187</f>
        <v>0</v>
      </c>
      <c r="B138" s="154">
        <f>Consolidation!B187</f>
        <v>0</v>
      </c>
      <c r="C138" s="154">
        <f>Consolidation!C187</f>
        <v>0</v>
      </c>
      <c r="D138" s="154">
        <f>Consolidation!D187</f>
        <v>0</v>
      </c>
      <c r="E138" s="154">
        <f>Consolidation!E187</f>
        <v>0</v>
      </c>
      <c r="F138" s="154">
        <f>Consolidation!F187</f>
        <v>0</v>
      </c>
      <c r="G138" s="154">
        <f>Consolidation!G187</f>
        <v>0</v>
      </c>
      <c r="H138" s="155">
        <f>Consolidation!H187</f>
        <v>0</v>
      </c>
      <c r="I138" s="155">
        <f>Consolidation!I187</f>
        <v>0</v>
      </c>
      <c r="J138" s="155">
        <f>Consolidation!J187</f>
        <v>0</v>
      </c>
      <c r="K138" s="155">
        <f>Consolidation!K187</f>
        <v>0</v>
      </c>
      <c r="L138" s="155">
        <f>Consolidation!L187</f>
        <v>0</v>
      </c>
      <c r="M138" s="155">
        <f>Consolidation!M187</f>
        <v>0</v>
      </c>
      <c r="N138" s="155">
        <f>Consolidation!N187</f>
        <v>0</v>
      </c>
      <c r="O138" s="155">
        <f>Consolidation!O187</f>
        <v>0</v>
      </c>
      <c r="P138" s="155">
        <f>Consolidation!P187</f>
        <v>0</v>
      </c>
      <c r="Q138" s="155"/>
    </row>
    <row r="139" spans="1:17">
      <c r="A139" s="154">
        <f>Consolidation!A188</f>
        <v>0</v>
      </c>
      <c r="B139" s="154">
        <f>Consolidation!B188</f>
        <v>0</v>
      </c>
      <c r="C139" s="154">
        <f>Consolidation!C188</f>
        <v>0</v>
      </c>
      <c r="D139" s="154">
        <f>Consolidation!D188</f>
        <v>0</v>
      </c>
      <c r="E139" s="154">
        <f>Consolidation!E188</f>
        <v>0</v>
      </c>
      <c r="F139" s="154">
        <f>Consolidation!F188</f>
        <v>0</v>
      </c>
      <c r="G139" s="154">
        <f>Consolidation!G188</f>
        <v>0</v>
      </c>
      <c r="H139" s="155">
        <f>Consolidation!H188</f>
        <v>0</v>
      </c>
      <c r="I139" s="569">
        <f>Consolidation!I188</f>
        <v>0.31</v>
      </c>
      <c r="J139" s="569">
        <f>Consolidation!J188</f>
        <v>0.27500000000000002</v>
      </c>
      <c r="K139" s="569">
        <f>Consolidation!K188</f>
        <v>0.25</v>
      </c>
      <c r="L139" s="569">
        <f>Consolidation!L188</f>
        <v>0.22500000000000001</v>
      </c>
      <c r="M139" s="569">
        <f>Consolidation!M188</f>
        <v>0.2</v>
      </c>
      <c r="N139" s="569">
        <f>Consolidation!N188</f>
        <v>0.19</v>
      </c>
      <c r="O139" s="569">
        <f>Consolidation!O188</f>
        <v>0.18</v>
      </c>
      <c r="P139" s="569">
        <f>Consolidation!P188</f>
        <v>0.16999999999999998</v>
      </c>
      <c r="Q139" s="155"/>
    </row>
    <row r="140" spans="1:17">
      <c r="A140" s="154">
        <f>Consolidation!A189</f>
        <v>0</v>
      </c>
      <c r="B140" s="154">
        <f>Consolidation!B189</f>
        <v>0</v>
      </c>
      <c r="C140" s="154">
        <f>Consolidation!C189</f>
        <v>0</v>
      </c>
      <c r="D140" s="154">
        <f>Consolidation!D189</f>
        <v>0</v>
      </c>
      <c r="E140" s="154">
        <f>Consolidation!E189</f>
        <v>0</v>
      </c>
      <c r="F140" s="154">
        <f>Consolidation!F189</f>
        <v>0</v>
      </c>
      <c r="G140" s="154">
        <f>Consolidation!G189</f>
        <v>0</v>
      </c>
      <c r="H140" s="155">
        <f>Consolidation!H189</f>
        <v>0</v>
      </c>
      <c r="I140" s="155">
        <f>Consolidation!I189</f>
        <v>0</v>
      </c>
      <c r="J140" s="155">
        <f>Consolidation!J189</f>
        <v>0</v>
      </c>
      <c r="K140" s="155">
        <f>Consolidation!K189</f>
        <v>0</v>
      </c>
      <c r="L140" s="155">
        <f>Consolidation!L189</f>
        <v>0</v>
      </c>
      <c r="M140" s="155">
        <f>Consolidation!M189</f>
        <v>0</v>
      </c>
      <c r="N140" s="155">
        <f>Consolidation!N189</f>
        <v>0</v>
      </c>
      <c r="O140" s="155">
        <f>Consolidation!O189</f>
        <v>0</v>
      </c>
      <c r="P140" s="155">
        <f>Consolidation!P189</f>
        <v>0</v>
      </c>
      <c r="Q140" s="155"/>
    </row>
    <row r="141" spans="1:17">
      <c r="A141" s="154">
        <f>Consolidation!A190</f>
        <v>0</v>
      </c>
      <c r="B141" s="154">
        <f>Consolidation!B190</f>
        <v>0</v>
      </c>
      <c r="C141" s="154">
        <f>Consolidation!C190</f>
        <v>0</v>
      </c>
      <c r="D141" s="154">
        <f>Consolidation!D190</f>
        <v>0</v>
      </c>
      <c r="E141" s="154">
        <f>Consolidation!E190</f>
        <v>0</v>
      </c>
      <c r="F141" s="154">
        <f>Consolidation!F190</f>
        <v>0</v>
      </c>
      <c r="G141" s="154">
        <f>Consolidation!G190</f>
        <v>0</v>
      </c>
      <c r="H141" s="155">
        <f>Consolidation!H190</f>
        <v>0</v>
      </c>
      <c r="I141" s="155">
        <f>Consolidation!I190</f>
        <v>0</v>
      </c>
      <c r="J141" s="155">
        <f>Consolidation!J190</f>
        <v>0</v>
      </c>
      <c r="K141" s="155">
        <f>Consolidation!K190</f>
        <v>0</v>
      </c>
      <c r="L141" s="155">
        <f>Consolidation!L190</f>
        <v>0</v>
      </c>
      <c r="M141" s="155">
        <f>Consolidation!M190</f>
        <v>0</v>
      </c>
      <c r="N141" s="155">
        <f>Consolidation!N190</f>
        <v>0</v>
      </c>
      <c r="O141" s="155">
        <f>Consolidation!O190</f>
        <v>0</v>
      </c>
      <c r="P141" s="155">
        <f>Consolidation!P190</f>
        <v>0</v>
      </c>
      <c r="Q141" s="155"/>
    </row>
    <row r="142" spans="1:17">
      <c r="A142" s="154">
        <f>Consolidation!A191</f>
        <v>0</v>
      </c>
      <c r="B142" s="154">
        <f>Consolidation!B191</f>
        <v>0</v>
      </c>
      <c r="C142" s="154">
        <f>Consolidation!C191</f>
        <v>0</v>
      </c>
      <c r="D142" s="154">
        <f>Consolidation!D191</f>
        <v>0</v>
      </c>
      <c r="E142" s="154">
        <f>Consolidation!E191</f>
        <v>0</v>
      </c>
      <c r="F142" s="154">
        <f>Consolidation!F191</f>
        <v>0</v>
      </c>
      <c r="G142" s="154">
        <f>Consolidation!G191</f>
        <v>0</v>
      </c>
      <c r="H142" s="155">
        <f>Consolidation!H191</f>
        <v>0</v>
      </c>
      <c r="I142" s="155">
        <f>Consolidation!I191</f>
        <v>0</v>
      </c>
      <c r="J142" s="155">
        <f>Consolidation!J191</f>
        <v>0</v>
      </c>
      <c r="K142" s="155">
        <f>Consolidation!K191</f>
        <v>0</v>
      </c>
      <c r="L142" s="155">
        <f>Consolidation!L191</f>
        <v>0</v>
      </c>
      <c r="M142" s="155">
        <f>Consolidation!M191</f>
        <v>0</v>
      </c>
      <c r="N142" s="155">
        <f>Consolidation!N191</f>
        <v>0</v>
      </c>
      <c r="O142" s="155">
        <f>Consolidation!O191</f>
        <v>0</v>
      </c>
      <c r="P142" s="155">
        <f>Consolidation!P191</f>
        <v>0</v>
      </c>
      <c r="Q142" s="155"/>
    </row>
    <row r="143" spans="1:17">
      <c r="A143" s="154">
        <f>Consolidation!A192</f>
        <v>0</v>
      </c>
      <c r="B143" s="154">
        <f>Consolidation!B192</f>
        <v>0</v>
      </c>
      <c r="C143" s="154">
        <f>Consolidation!C192</f>
        <v>0</v>
      </c>
      <c r="D143" s="154">
        <f>Consolidation!D192</f>
        <v>0</v>
      </c>
      <c r="E143" s="154">
        <f>Consolidation!E192</f>
        <v>0</v>
      </c>
      <c r="F143" s="154">
        <f>Consolidation!F192</f>
        <v>0</v>
      </c>
      <c r="G143" s="154">
        <f>Consolidation!G192</f>
        <v>0</v>
      </c>
      <c r="H143" s="154">
        <f>Consolidation!H192</f>
        <v>0</v>
      </c>
      <c r="I143" s="154">
        <f>Consolidation!I192</f>
        <v>0</v>
      </c>
      <c r="J143" s="154">
        <f>Consolidation!J192</f>
        <v>0</v>
      </c>
      <c r="K143" s="154">
        <f>Consolidation!K192</f>
        <v>0</v>
      </c>
      <c r="L143" s="154">
        <f>Consolidation!L192</f>
        <v>0</v>
      </c>
      <c r="M143" s="154">
        <f>Consolidation!M192</f>
        <v>0</v>
      </c>
      <c r="N143" s="154">
        <f>Consolidation!N192</f>
        <v>0</v>
      </c>
      <c r="O143" s="154">
        <f>Consolidation!O192</f>
        <v>0</v>
      </c>
      <c r="P143" s="154">
        <f>Consolidation!P192</f>
        <v>0</v>
      </c>
      <c r="Q143" s="154"/>
    </row>
    <row r="144" spans="1:17">
      <c r="A144" s="160" t="str">
        <f>Consolidation!A193</f>
        <v>Devaluation (old)</v>
      </c>
      <c r="B144" s="154">
        <f>Consolidation!B193</f>
        <v>0</v>
      </c>
      <c r="C144" s="154">
        <f>Consolidation!C193</f>
        <v>0</v>
      </c>
      <c r="D144" s="154">
        <f>Consolidation!D193</f>
        <v>0</v>
      </c>
      <c r="E144" s="154">
        <f>Consolidation!E193</f>
        <v>0</v>
      </c>
      <c r="F144" s="154">
        <f>Consolidation!F193</f>
        <v>0</v>
      </c>
      <c r="G144" s="154">
        <f>Consolidation!G193</f>
        <v>0</v>
      </c>
      <c r="H144" s="154">
        <f>Consolidation!H193</f>
        <v>0</v>
      </c>
      <c r="I144" s="154">
        <f>Consolidation!I193</f>
        <v>0</v>
      </c>
      <c r="J144" s="154">
        <f>Consolidation!J193</f>
        <v>0</v>
      </c>
      <c r="K144" s="154">
        <f>Consolidation!K193</f>
        <v>0</v>
      </c>
      <c r="L144" s="154">
        <f>Consolidation!L193</f>
        <v>0</v>
      </c>
      <c r="M144" s="154">
        <f>Consolidation!M193</f>
        <v>0</v>
      </c>
      <c r="N144" s="154">
        <f>Consolidation!N193</f>
        <v>0</v>
      </c>
      <c r="O144" s="154">
        <f>Consolidation!O193</f>
        <v>0</v>
      </c>
      <c r="P144" s="154">
        <f>Consolidation!P193</f>
        <v>0</v>
      </c>
      <c r="Q144" s="154"/>
    </row>
    <row r="145" spans="1:33">
      <c r="A145" s="154">
        <f>Consolidation!A194</f>
        <v>0</v>
      </c>
      <c r="B145" s="154">
        <f>Consolidation!B194</f>
        <v>0</v>
      </c>
      <c r="C145" s="154">
        <f>Consolidation!C194</f>
        <v>0</v>
      </c>
      <c r="D145" s="154">
        <f>Consolidation!D194</f>
        <v>0</v>
      </c>
      <c r="E145" s="154">
        <f>Consolidation!E194</f>
        <v>0</v>
      </c>
      <c r="F145" s="154">
        <f>Consolidation!F194</f>
        <v>0</v>
      </c>
      <c r="G145" s="154">
        <f>Consolidation!G194</f>
        <v>0</v>
      </c>
      <c r="H145" s="154">
        <f>Consolidation!H194</f>
        <v>0</v>
      </c>
      <c r="I145" s="154">
        <f>Consolidation!I194</f>
        <v>0</v>
      </c>
      <c r="J145" s="154">
        <f>Consolidation!J194</f>
        <v>0</v>
      </c>
      <c r="K145" s="154">
        <f>Consolidation!K194</f>
        <v>0</v>
      </c>
      <c r="L145" s="154">
        <f>Consolidation!L194</f>
        <v>0</v>
      </c>
      <c r="M145" s="154">
        <f>Consolidation!M194</f>
        <v>0</v>
      </c>
      <c r="N145" s="154">
        <f>Consolidation!N194</f>
        <v>0</v>
      </c>
      <c r="O145" s="154">
        <f>Consolidation!O194</f>
        <v>0</v>
      </c>
      <c r="P145" s="154">
        <f>Consolidation!P194</f>
        <v>0</v>
      </c>
      <c r="Q145" s="154"/>
    </row>
    <row r="146" spans="1:33">
      <c r="A146" t="str">
        <f>Consolidation!A195</f>
        <v>guide</v>
      </c>
      <c r="B146">
        <f>Consolidation!B195</f>
        <v>2190</v>
      </c>
      <c r="C146">
        <f>Consolidation!C195</f>
        <v>2220</v>
      </c>
      <c r="D146" s="154">
        <f>Consolidation!D195</f>
        <v>0</v>
      </c>
      <c r="E146" s="154">
        <f>Consolidation!E195</f>
        <v>0</v>
      </c>
      <c r="F146" s="154">
        <f>Consolidation!F195</f>
        <v>0</v>
      </c>
      <c r="G146" s="154">
        <f>Consolidation!G195</f>
        <v>0</v>
      </c>
      <c r="H146" s="154">
        <f>Consolidation!H195</f>
        <v>0</v>
      </c>
      <c r="I146" s="154">
        <f>Consolidation!I195</f>
        <v>0</v>
      </c>
      <c r="J146" s="154">
        <f>Consolidation!J195</f>
        <v>0</v>
      </c>
      <c r="K146" s="154">
        <f>Consolidation!K195</f>
        <v>0</v>
      </c>
      <c r="L146" s="154">
        <f>Consolidation!L195</f>
        <v>0</v>
      </c>
      <c r="M146" s="154">
        <f>Consolidation!M195</f>
        <v>0</v>
      </c>
      <c r="N146" s="154">
        <f>Consolidation!N195</f>
        <v>0</v>
      </c>
      <c r="O146" s="154">
        <f>Consolidation!O195</f>
        <v>0</v>
      </c>
      <c r="P146" s="154">
        <f>Consolidation!P195</f>
        <v>0</v>
      </c>
      <c r="Q146" s="154"/>
    </row>
    <row r="147" spans="1:33">
      <c r="A147" t="str">
        <f>Consolidation!A196</f>
        <v>nig</v>
      </c>
      <c r="B147">
        <f>Consolidation!B196</f>
        <v>1511.1</v>
      </c>
      <c r="C147">
        <f>Consolidation!C196</f>
        <v>1531.8</v>
      </c>
      <c r="D147" s="154">
        <f>Consolidation!D196</f>
        <v>0</v>
      </c>
      <c r="E147" s="154">
        <f>Consolidation!E196</f>
        <v>0</v>
      </c>
      <c r="F147" s="154">
        <f>Consolidation!F196</f>
        <v>0</v>
      </c>
      <c r="G147" s="154">
        <f>Consolidation!G196</f>
        <v>0</v>
      </c>
      <c r="H147" s="154">
        <f>Consolidation!H196</f>
        <v>0</v>
      </c>
      <c r="I147" s="154">
        <f>Consolidation!I196</f>
        <v>0</v>
      </c>
      <c r="J147" s="154">
        <f>Consolidation!J196</f>
        <v>0</v>
      </c>
      <c r="K147" s="154">
        <f>Consolidation!K196</f>
        <v>0</v>
      </c>
      <c r="L147" s="154">
        <f>Consolidation!L196</f>
        <v>0</v>
      </c>
      <c r="M147" s="154">
        <f>Consolidation!M196</f>
        <v>0</v>
      </c>
      <c r="N147" s="154">
        <f>Consolidation!N196</f>
        <v>0</v>
      </c>
      <c r="O147" s="154">
        <f>Consolidation!O196</f>
        <v>0</v>
      </c>
      <c r="P147" s="154">
        <f>Consolidation!P196</f>
        <v>0</v>
      </c>
      <c r="Q147" s="154"/>
    </row>
    <row r="148" spans="1:33">
      <c r="A148" t="str">
        <f>Consolidation!A197</f>
        <v>fx assum</v>
      </c>
      <c r="B148">
        <f>Consolidation!B197</f>
        <v>500</v>
      </c>
      <c r="C148">
        <f>Consolidation!C197</f>
        <v>500</v>
      </c>
      <c r="D148" s="154">
        <f>Consolidation!D197</f>
        <v>0</v>
      </c>
      <c r="E148" s="154">
        <f>Consolidation!E197</f>
        <v>0</v>
      </c>
      <c r="F148" s="154">
        <f>Consolidation!F197</f>
        <v>0</v>
      </c>
      <c r="G148" s="154">
        <f>Consolidation!G197</f>
        <v>0</v>
      </c>
      <c r="H148" s="154">
        <f>Consolidation!H197</f>
        <v>0</v>
      </c>
      <c r="I148" s="154">
        <f>Consolidation!I197</f>
        <v>0</v>
      </c>
      <c r="J148" s="154">
        <f>Consolidation!J197</f>
        <v>0</v>
      </c>
      <c r="K148" s="154">
        <f>Consolidation!K197</f>
        <v>0</v>
      </c>
      <c r="L148" s="154">
        <f>Consolidation!L197</f>
        <v>0</v>
      </c>
      <c r="M148" s="154">
        <f>Consolidation!M197</f>
        <v>0</v>
      </c>
      <c r="N148" s="154">
        <f>Consolidation!N197</f>
        <v>0</v>
      </c>
      <c r="O148" s="154">
        <f>Consolidation!O197</f>
        <v>0</v>
      </c>
      <c r="P148" s="154">
        <f>Consolidation!P197</f>
        <v>0</v>
      </c>
      <c r="Q148" s="154"/>
    </row>
    <row r="149" spans="1:33">
      <c r="A149">
        <f>Consolidation!A198</f>
        <v>0</v>
      </c>
      <c r="B149">
        <f>Consolidation!B198</f>
        <v>638</v>
      </c>
      <c r="C149">
        <f>Consolidation!C198</f>
        <v>638</v>
      </c>
      <c r="D149" s="154">
        <f>Consolidation!D198</f>
        <v>0</v>
      </c>
      <c r="E149" s="154">
        <f>Consolidation!E198</f>
        <v>0</v>
      </c>
      <c r="F149" s="154">
        <f>Consolidation!F198</f>
        <v>0</v>
      </c>
      <c r="G149" s="154">
        <f>Consolidation!G198</f>
        <v>0</v>
      </c>
      <c r="H149" s="154">
        <f>Consolidation!H198</f>
        <v>0</v>
      </c>
      <c r="I149" s="154">
        <f>Consolidation!I198</f>
        <v>0</v>
      </c>
      <c r="J149" s="154">
        <f>Consolidation!J198</f>
        <v>0</v>
      </c>
      <c r="K149" s="154">
        <f>Consolidation!K198</f>
        <v>0</v>
      </c>
      <c r="L149" s="154">
        <f>Consolidation!L198</f>
        <v>0</v>
      </c>
      <c r="M149" s="154">
        <f>Consolidation!M198</f>
        <v>0</v>
      </c>
      <c r="N149" s="154">
        <f>Consolidation!N198</f>
        <v>0</v>
      </c>
      <c r="O149" s="154">
        <f>Consolidation!O198</f>
        <v>0</v>
      </c>
      <c r="P149" s="154">
        <f>Consolidation!P198</f>
        <v>0</v>
      </c>
      <c r="Q149" s="154"/>
    </row>
    <row r="150" spans="1:33">
      <c r="A150">
        <f>Consolidation!A199</f>
        <v>0</v>
      </c>
      <c r="B150">
        <f>Consolidation!B199</f>
        <v>138</v>
      </c>
      <c r="C150">
        <f>Consolidation!C199</f>
        <v>138</v>
      </c>
      <c r="D150" s="154">
        <f>Consolidation!D199</f>
        <v>0</v>
      </c>
      <c r="E150" s="154">
        <f>Consolidation!E199</f>
        <v>0</v>
      </c>
      <c r="F150" s="154">
        <f>Consolidation!F199</f>
        <v>0</v>
      </c>
      <c r="G150" s="154">
        <f>Consolidation!G199</f>
        <v>0</v>
      </c>
      <c r="H150" s="154">
        <f>Consolidation!H199</f>
        <v>0</v>
      </c>
      <c r="I150" s="154">
        <f>Consolidation!I199</f>
        <v>0</v>
      </c>
      <c r="J150" s="154">
        <f>Consolidation!J199</f>
        <v>0</v>
      </c>
      <c r="K150" s="154">
        <f>Consolidation!K199</f>
        <v>0</v>
      </c>
      <c r="L150" s="154">
        <f>Consolidation!L199</f>
        <v>0</v>
      </c>
      <c r="M150" s="154">
        <f>Consolidation!M199</f>
        <v>0</v>
      </c>
      <c r="N150" s="154">
        <f>Consolidation!N199</f>
        <v>0</v>
      </c>
      <c r="O150" s="154">
        <f>Consolidation!O199</f>
        <v>0</v>
      </c>
      <c r="P150" s="154">
        <f>Consolidation!P199</f>
        <v>0</v>
      </c>
      <c r="Q150" s="154"/>
    </row>
    <row r="151" spans="1:33">
      <c r="A151">
        <f>Consolidation!A200</f>
        <v>0</v>
      </c>
      <c r="B151">
        <f>Consolidation!B200</f>
        <v>2.76</v>
      </c>
      <c r="C151">
        <f>Consolidation!C200</f>
        <v>2.76</v>
      </c>
      <c r="D151" s="154">
        <f>Consolidation!D200</f>
        <v>0</v>
      </c>
      <c r="E151" s="154">
        <f>Consolidation!E200</f>
        <v>0</v>
      </c>
      <c r="F151" s="154">
        <f>Consolidation!F200</f>
        <v>0</v>
      </c>
      <c r="G151" s="154">
        <f>Consolidation!G200</f>
        <v>0</v>
      </c>
      <c r="H151" s="154">
        <f>Consolidation!H200</f>
        <v>0</v>
      </c>
      <c r="I151" s="154">
        <f>Consolidation!I200</f>
        <v>0</v>
      </c>
      <c r="J151" s="154">
        <f>Consolidation!J200</f>
        <v>0</v>
      </c>
      <c r="K151" s="154">
        <f>Consolidation!K200</f>
        <v>0</v>
      </c>
      <c r="L151" s="154">
        <f>Consolidation!L200</f>
        <v>0</v>
      </c>
      <c r="M151" s="154">
        <f>Consolidation!M200</f>
        <v>0</v>
      </c>
      <c r="N151" s="154">
        <f>Consolidation!N200</f>
        <v>0</v>
      </c>
      <c r="O151" s="154">
        <f>Consolidation!O200</f>
        <v>0</v>
      </c>
      <c r="P151" s="154">
        <f>Consolidation!P200</f>
        <v>0</v>
      </c>
      <c r="Q151" s="154"/>
    </row>
    <row r="152" spans="1:33">
      <c r="A152">
        <f>Consolidation!A201</f>
        <v>0</v>
      </c>
      <c r="B152">
        <f>Consolidation!B201</f>
        <v>-129.72</v>
      </c>
      <c r="C152">
        <f>Consolidation!C201</f>
        <v>-129.72</v>
      </c>
      <c r="D152" s="154">
        <f>Consolidation!D201</f>
        <v>0</v>
      </c>
      <c r="E152" s="154">
        <f>Consolidation!E201</f>
        <v>0</v>
      </c>
      <c r="F152" s="154">
        <f>Consolidation!F201</f>
        <v>0</v>
      </c>
      <c r="G152" s="154">
        <f>Consolidation!G201</f>
        <v>0</v>
      </c>
      <c r="H152" s="154">
        <f>Consolidation!H201</f>
        <v>0</v>
      </c>
      <c r="I152" s="154">
        <f>Consolidation!I201</f>
        <v>0</v>
      </c>
      <c r="J152" s="154">
        <f>Consolidation!J201</f>
        <v>0</v>
      </c>
      <c r="K152" s="154">
        <f>Consolidation!K201</f>
        <v>0</v>
      </c>
      <c r="L152" s="154">
        <f>Consolidation!L201</f>
        <v>0</v>
      </c>
      <c r="M152" s="154">
        <f>Consolidation!M201</f>
        <v>0</v>
      </c>
      <c r="N152" s="154">
        <f>Consolidation!N201</f>
        <v>0</v>
      </c>
      <c r="O152" s="154">
        <f>Consolidation!O201</f>
        <v>0</v>
      </c>
      <c r="P152" s="154">
        <f>Consolidation!P201</f>
        <v>0</v>
      </c>
      <c r="Q152" s="154"/>
    </row>
    <row r="153" spans="1:33">
      <c r="A153">
        <f>Consolidation!A202</f>
        <v>0</v>
      </c>
      <c r="B153">
        <f>Consolidation!B202</f>
        <v>2060.2800000000002</v>
      </c>
      <c r="C153">
        <f>Consolidation!C202</f>
        <v>2090.2800000000002</v>
      </c>
      <c r="D153" s="154">
        <f>Consolidation!D202</f>
        <v>0</v>
      </c>
      <c r="E153" s="154">
        <f>Consolidation!E202</f>
        <v>0</v>
      </c>
      <c r="F153" s="154">
        <f>Consolidation!F202</f>
        <v>0</v>
      </c>
      <c r="G153" s="154">
        <f>Consolidation!G202</f>
        <v>0</v>
      </c>
      <c r="H153" s="154">
        <f>Consolidation!H202</f>
        <v>0</v>
      </c>
      <c r="I153">
        <f>Consolidation!I202</f>
        <v>0</v>
      </c>
      <c r="J153">
        <f>Consolidation!J202</f>
        <v>0</v>
      </c>
      <c r="K153">
        <f>Consolidation!K202</f>
        <v>0</v>
      </c>
      <c r="L153">
        <f>Consolidation!L202</f>
        <v>0</v>
      </c>
      <c r="M153">
        <f>Consolidation!M202</f>
        <v>0</v>
      </c>
      <c r="N153">
        <f>Consolidation!N202</f>
        <v>0</v>
      </c>
      <c r="O153">
        <f>Consolidation!O202</f>
        <v>0</v>
      </c>
      <c r="P153">
        <f>Consolidation!P202</f>
        <v>0</v>
      </c>
      <c r="Q153" s="154"/>
    </row>
    <row r="154" spans="1:33">
      <c r="A154" s="153"/>
      <c r="B154" s="153"/>
      <c r="C154" s="153"/>
      <c r="D154" s="154"/>
      <c r="E154" s="154"/>
      <c r="F154" s="154"/>
      <c r="G154" s="154"/>
      <c r="H154" s="154"/>
      <c r="I154" s="154"/>
      <c r="J154" s="154"/>
      <c r="K154" s="154"/>
      <c r="L154" s="154"/>
      <c r="M154" s="154"/>
      <c r="N154" s="154"/>
      <c r="O154" s="154"/>
      <c r="P154" s="154"/>
      <c r="Q154" s="154"/>
    </row>
    <row r="155" spans="1:33">
      <c r="A155" s="154"/>
      <c r="B155" s="154"/>
      <c r="C155" s="154"/>
      <c r="D155" s="154"/>
      <c r="E155" s="154"/>
      <c r="F155" s="154"/>
      <c r="G155" s="154"/>
      <c r="H155" s="154"/>
      <c r="I155" s="154"/>
      <c r="J155" s="154"/>
      <c r="K155" s="154"/>
      <c r="L155" s="154"/>
      <c r="M155" s="154"/>
      <c r="N155" s="154"/>
      <c r="O155" s="154"/>
      <c r="P155" s="154"/>
      <c r="Q155" s="154"/>
    </row>
    <row r="156" spans="1:33">
      <c r="A156" s="154"/>
      <c r="B156" s="154"/>
      <c r="C156" s="154"/>
      <c r="D156" s="154"/>
      <c r="E156" s="154"/>
      <c r="F156" s="154"/>
      <c r="G156" s="154"/>
      <c r="H156" s="154"/>
      <c r="I156" s="154"/>
      <c r="J156" s="154"/>
      <c r="K156" s="154"/>
      <c r="L156" s="154"/>
      <c r="M156" s="154"/>
      <c r="N156" s="154"/>
      <c r="O156" s="154"/>
      <c r="P156" s="154"/>
      <c r="Q156" s="154"/>
    </row>
    <row r="157" spans="1:33">
      <c r="A157" s="154"/>
      <c r="B157" s="154"/>
      <c r="C157" s="154"/>
      <c r="D157" s="154"/>
      <c r="E157" s="154"/>
      <c r="F157" s="154"/>
      <c r="G157" s="154"/>
      <c r="H157" s="154"/>
      <c r="I157" s="154"/>
      <c r="J157" s="154"/>
      <c r="K157" s="154"/>
      <c r="L157" s="154"/>
      <c r="M157" s="154"/>
      <c r="N157" s="154"/>
      <c r="O157" s="154"/>
      <c r="P157" s="154"/>
      <c r="Q157" s="154"/>
    </row>
    <row r="158" spans="1:33">
      <c r="A158" s="154"/>
      <c r="B158" s="154"/>
      <c r="C158" s="154"/>
      <c r="D158" s="154"/>
      <c r="E158" s="154"/>
      <c r="F158" s="154"/>
      <c r="G158" s="154"/>
      <c r="H158" s="154"/>
      <c r="I158" s="154"/>
      <c r="J158" s="154"/>
      <c r="K158" s="154"/>
      <c r="L158" s="154"/>
      <c r="M158" s="154"/>
      <c r="N158" s="154"/>
      <c r="O158" s="154"/>
      <c r="P158" s="154"/>
      <c r="Q158" s="154"/>
    </row>
    <row r="159" spans="1:33">
      <c r="A159" s="154"/>
      <c r="B159" s="154"/>
      <c r="C159" s="154"/>
      <c r="D159" s="154"/>
      <c r="E159" s="154"/>
      <c r="F159" s="154"/>
      <c r="G159" s="154"/>
      <c r="H159" s="154"/>
      <c r="I159" s="154"/>
      <c r="J159" s="154"/>
      <c r="K159" s="154"/>
      <c r="L159" s="154"/>
      <c r="M159" s="154"/>
      <c r="N159" s="154"/>
      <c r="O159" s="154"/>
      <c r="P159" s="154"/>
      <c r="Q159" s="154"/>
    </row>
    <row r="160" spans="1:33">
      <c r="A160" s="186" t="str">
        <f>Master!B40</f>
        <v>P&amp;L</v>
      </c>
      <c r="B160" s="187">
        <f>Master!C40</f>
        <v>2016</v>
      </c>
      <c r="C160" s="187">
        <f>Master!D40</f>
        <v>2017</v>
      </c>
      <c r="D160" s="187">
        <f>Master!E40</f>
        <v>2018</v>
      </c>
      <c r="E160" s="187">
        <f>Master!F40</f>
        <v>2019</v>
      </c>
      <c r="F160" s="187">
        <f>Master!G40</f>
        <v>2020</v>
      </c>
      <c r="G160" s="187">
        <f>Master!H40</f>
        <v>2021</v>
      </c>
      <c r="H160" s="187">
        <f>Master!I40</f>
        <v>2022</v>
      </c>
      <c r="I160" s="187">
        <f>Master!J40</f>
        <v>2023</v>
      </c>
      <c r="J160" s="187">
        <f>Master!K40</f>
        <v>2024</v>
      </c>
      <c r="K160" s="187" t="str">
        <f>Master!L40</f>
        <v>2025E</v>
      </c>
      <c r="L160" s="187" t="str">
        <f>Master!M40</f>
        <v>2026E</v>
      </c>
      <c r="M160" s="187" t="str">
        <f>Master!N40</f>
        <v>2027E</v>
      </c>
      <c r="N160" s="187" t="str">
        <f>Master!O40</f>
        <v>2028E</v>
      </c>
      <c r="O160" s="187" t="str">
        <f>Master!P40</f>
        <v>2029E</v>
      </c>
      <c r="P160" s="187" t="str">
        <f>Master!Q40</f>
        <v>2030E</v>
      </c>
      <c r="Q160" s="154"/>
      <c r="R160" s="793" t="s">
        <v>867</v>
      </c>
      <c r="S160" s="794">
        <v>2016</v>
      </c>
      <c r="T160" s="794">
        <v>2017</v>
      </c>
      <c r="U160" s="794">
        <v>2018</v>
      </c>
      <c r="V160" s="794">
        <v>2019</v>
      </c>
      <c r="W160" s="794">
        <v>2020</v>
      </c>
      <c r="X160" s="794">
        <v>2021</v>
      </c>
      <c r="Y160" s="794">
        <v>2022</v>
      </c>
      <c r="Z160" s="794">
        <v>2023</v>
      </c>
      <c r="AA160" s="794" t="s">
        <v>265</v>
      </c>
      <c r="AB160" s="794" t="s">
        <v>266</v>
      </c>
      <c r="AC160" s="794" t="s">
        <v>267</v>
      </c>
      <c r="AD160" s="794" t="s">
        <v>268</v>
      </c>
      <c r="AE160" s="794" t="s">
        <v>269</v>
      </c>
      <c r="AF160" s="794" t="s">
        <v>270</v>
      </c>
      <c r="AG160" s="794" t="s">
        <v>271</v>
      </c>
    </row>
    <row r="161" spans="1:42">
      <c r="A161" s="171" t="str">
        <f>Master!B41</f>
        <v>Revenue</v>
      </c>
      <c r="B161" s="234">
        <f>Master!C41</f>
        <v>652</v>
      </c>
      <c r="C161" s="234">
        <f>Master!D41</f>
        <v>821</v>
      </c>
      <c r="D161" s="234">
        <f>Master!E41</f>
        <v>852.7</v>
      </c>
      <c r="E161" s="234">
        <f>Master!F41</f>
        <v>1231.056</v>
      </c>
      <c r="F161" s="234">
        <f>Master!G41</f>
        <v>1403.1579999999999</v>
      </c>
      <c r="G161" s="234">
        <f>Master!H41</f>
        <v>1579.7299999999998</v>
      </c>
      <c r="H161" s="234">
        <f>Master!I41</f>
        <v>1961.2990000000002</v>
      </c>
      <c r="I161" s="234">
        <f>Master!J41</f>
        <v>2125.5389999999998</v>
      </c>
      <c r="J161" s="234">
        <f>Master!K41</f>
        <v>1711.2249999999999</v>
      </c>
      <c r="K161" s="234">
        <f>Master!L41</f>
        <v>1725.2777405198199</v>
      </c>
      <c r="L161" s="234">
        <f>Master!M41</f>
        <v>1796.0098554388017</v>
      </c>
      <c r="M161" s="234">
        <f>Master!N41</f>
        <v>1918.6694654405651</v>
      </c>
      <c r="N161" s="234">
        <f>Master!O41</f>
        <v>2034.8467963783773</v>
      </c>
      <c r="O161" s="234">
        <f>Master!P41</f>
        <v>2158.0195143290489</v>
      </c>
      <c r="P161" s="234">
        <f>Master!Q41</f>
        <v>2285.1001213071872</v>
      </c>
      <c r="Q161" s="154"/>
      <c r="R161" s="795" t="s">
        <v>170</v>
      </c>
      <c r="S161" s="796">
        <v>652</v>
      </c>
      <c r="T161" s="796">
        <v>821</v>
      </c>
      <c r="U161" s="796">
        <v>852.7</v>
      </c>
      <c r="V161" s="796">
        <v>1231.056</v>
      </c>
      <c r="W161" s="796">
        <v>1403.1579999999999</v>
      </c>
      <c r="X161" s="796">
        <v>1579.7299999999998</v>
      </c>
      <c r="Y161" s="796">
        <v>1961.2990000000002</v>
      </c>
      <c r="Z161" s="796">
        <v>2125.5389999999998</v>
      </c>
      <c r="AA161" s="796">
        <v>1797.8200944207349</v>
      </c>
      <c r="AB161" s="796">
        <v>1963.8900132550586</v>
      </c>
      <c r="AC161" s="796">
        <v>2181.096296898234</v>
      </c>
      <c r="AD161" s="796">
        <v>2377.5511558949001</v>
      </c>
      <c r="AE161" s="796">
        <v>2551.0190600064075</v>
      </c>
      <c r="AF161" s="796">
        <v>2710.7669772936533</v>
      </c>
      <c r="AG161" s="796">
        <v>2861.4389892702352</v>
      </c>
      <c r="AI161" t="str">
        <f>A161</f>
        <v>Revenue</v>
      </c>
      <c r="AJ161" s="108">
        <f t="shared" ref="AJ161:AP161" si="8">J161/AA161-1</f>
        <v>-4.8166718510639583E-2</v>
      </c>
      <c r="AK161" s="108">
        <f t="shared" si="8"/>
        <v>-0.12149981471709292</v>
      </c>
      <c r="AL161" s="108">
        <f t="shared" si="8"/>
        <v>-0.17655636846803546</v>
      </c>
      <c r="AM161" s="108">
        <f t="shared" si="8"/>
        <v>-0.19300602189634652</v>
      </c>
      <c r="AN161" s="108">
        <f t="shared" si="8"/>
        <v>-0.20233963427412949</v>
      </c>
      <c r="AO161" s="108">
        <f t="shared" si="8"/>
        <v>-0.2039081439292324</v>
      </c>
      <c r="AP161" s="108">
        <f t="shared" si="8"/>
        <v>-0.20141574575735899</v>
      </c>
    </row>
    <row r="162" spans="1:42">
      <c r="A162" s="171" t="str">
        <f>Master!B42</f>
        <v>Opex</v>
      </c>
      <c r="B162" s="171">
        <f>Master!C42</f>
        <v>567.48199999999997</v>
      </c>
      <c r="C162" s="171">
        <f>Master!D42</f>
        <v>675</v>
      </c>
      <c r="D162" s="171">
        <f>Master!E42</f>
        <v>675.1</v>
      </c>
      <c r="E162" s="171">
        <f>Master!F42</f>
        <v>562.44200000000012</v>
      </c>
      <c r="F162" s="171">
        <f>Master!G42</f>
        <v>584.14399999999989</v>
      </c>
      <c r="G162" s="171">
        <f>Master!H42</f>
        <v>653.33399999999983</v>
      </c>
      <c r="H162" s="171">
        <f>Master!I42</f>
        <v>929.91300000000024</v>
      </c>
      <c r="I162" s="171">
        <f>Master!J42</f>
        <v>993.00399999999968</v>
      </c>
      <c r="J162" s="171">
        <f>Master!K42</f>
        <v>782.87099999999998</v>
      </c>
      <c r="K162" s="171">
        <f>Master!L42</f>
        <v>726.61924352673873</v>
      </c>
      <c r="L162" s="171">
        <f>Master!M42</f>
        <v>744.71350852101182</v>
      </c>
      <c r="M162" s="171">
        <f>Master!N42</f>
        <v>781.78222725764317</v>
      </c>
      <c r="N162" s="171">
        <f>Master!O42</f>
        <v>819.13420463328453</v>
      </c>
      <c r="O162" s="171">
        <f>Master!P42</f>
        <v>858.10238296747002</v>
      </c>
      <c r="P162" s="171">
        <f>Master!Q42</f>
        <v>897.66141299768606</v>
      </c>
      <c r="Q162" s="154"/>
      <c r="R162" s="795">
        <v>0</v>
      </c>
      <c r="S162" s="795">
        <v>0</v>
      </c>
      <c r="T162" s="795">
        <v>0</v>
      </c>
      <c r="U162" s="795">
        <v>0</v>
      </c>
      <c r="V162" s="795">
        <v>0</v>
      </c>
      <c r="W162" s="795">
        <v>0</v>
      </c>
      <c r="X162" s="795">
        <v>0</v>
      </c>
      <c r="Y162" s="795">
        <v>0</v>
      </c>
      <c r="Z162" s="795">
        <v>0</v>
      </c>
      <c r="AA162" s="795">
        <v>0</v>
      </c>
      <c r="AB162" s="795">
        <v>0</v>
      </c>
      <c r="AC162" s="795">
        <v>0</v>
      </c>
      <c r="AD162" s="795">
        <v>0</v>
      </c>
      <c r="AE162" s="795">
        <v>0</v>
      </c>
      <c r="AF162" s="795">
        <v>0</v>
      </c>
      <c r="AG162" s="795">
        <v>0</v>
      </c>
      <c r="AJ162" s="108"/>
      <c r="AK162" s="108"/>
      <c r="AL162" s="108"/>
      <c r="AM162" s="108"/>
      <c r="AN162" s="108"/>
      <c r="AO162" s="108"/>
      <c r="AP162" s="108"/>
    </row>
    <row r="163" spans="1:42">
      <c r="A163" s="171" t="str">
        <f>Master!B43</f>
        <v>Adjusted EBITDA</v>
      </c>
      <c r="B163" s="180">
        <f>Master!C43</f>
        <v>84.518000000000001</v>
      </c>
      <c r="C163" s="180">
        <f>Master!D43</f>
        <v>146</v>
      </c>
      <c r="D163" s="180">
        <f>Master!E43</f>
        <v>177.6</v>
      </c>
      <c r="E163" s="180">
        <f>Master!F43</f>
        <v>668.61399999999992</v>
      </c>
      <c r="F163" s="180">
        <f>Master!G43</f>
        <v>819.01400000000001</v>
      </c>
      <c r="G163" s="180">
        <f>Master!H43</f>
        <v>926.39599999999996</v>
      </c>
      <c r="H163" s="180">
        <f>Master!I43</f>
        <v>1031.386</v>
      </c>
      <c r="I163" s="180">
        <f>Master!J43</f>
        <v>1132.5350000000001</v>
      </c>
      <c r="J163" s="180">
        <f>Master!K43</f>
        <v>928.35399999999993</v>
      </c>
      <c r="K163" s="180">
        <f>Master!L43</f>
        <v>998.65849699308114</v>
      </c>
      <c r="L163" s="180">
        <f>Master!M43</f>
        <v>1051.2963469177898</v>
      </c>
      <c r="M163" s="180">
        <f>Master!N43</f>
        <v>1136.8872381829219</v>
      </c>
      <c r="N163" s="180">
        <f>Master!O43</f>
        <v>1215.7125917450928</v>
      </c>
      <c r="O163" s="180">
        <f>Master!P43</f>
        <v>1299.9171313615789</v>
      </c>
      <c r="P163" s="180">
        <f>Master!Q43</f>
        <v>1387.4387083095012</v>
      </c>
      <c r="Q163" s="154"/>
      <c r="R163" s="795" t="s">
        <v>10</v>
      </c>
      <c r="S163" s="797">
        <v>84.518000000000001</v>
      </c>
      <c r="T163" s="797">
        <v>146</v>
      </c>
      <c r="U163" s="797">
        <v>177.6</v>
      </c>
      <c r="V163" s="797">
        <v>668.61399999999992</v>
      </c>
      <c r="W163" s="797">
        <v>819.01400000000001</v>
      </c>
      <c r="X163" s="797">
        <v>926.39599999999996</v>
      </c>
      <c r="Y163" s="797">
        <v>1031.386</v>
      </c>
      <c r="Z163" s="797">
        <v>1132.5350000000001</v>
      </c>
      <c r="AA163" s="797">
        <v>996.57233106268018</v>
      </c>
      <c r="AB163" s="797">
        <v>1096.6074587663193</v>
      </c>
      <c r="AC163" s="797">
        <v>1225.8932974495447</v>
      </c>
      <c r="AD163" s="797">
        <v>1343.3715637726259</v>
      </c>
      <c r="AE163" s="797">
        <v>1447.8478101814408</v>
      </c>
      <c r="AF163" s="797">
        <v>1544.9278017412919</v>
      </c>
      <c r="AG163" s="797">
        <v>1636.8261396025769</v>
      </c>
      <c r="AI163" t="str">
        <f>A163</f>
        <v>Adjusted EBITDA</v>
      </c>
      <c r="AJ163" s="108">
        <f t="shared" ref="AJ163:AP167" si="9">J163/AA163-1</f>
        <v>-6.8452965165043955E-2</v>
      </c>
      <c r="AK163" s="108">
        <f t="shared" si="9"/>
        <v>-8.9319985004871705E-2</v>
      </c>
      <c r="AL163" s="108">
        <f t="shared" si="9"/>
        <v>-0.14242426391840268</v>
      </c>
      <c r="AM163" s="108">
        <f t="shared" si="9"/>
        <v>-0.1537060416924626</v>
      </c>
      <c r="AN163" s="108">
        <f t="shared" si="9"/>
        <v>-0.16033122874099404</v>
      </c>
      <c r="AO163" s="108">
        <f t="shared" si="9"/>
        <v>-0.15859036914447455</v>
      </c>
      <c r="AP163" s="108">
        <f t="shared" si="9"/>
        <v>-0.15236036696825184</v>
      </c>
    </row>
    <row r="164" spans="1:42">
      <c r="A164" s="171" t="str">
        <f>Master!B44</f>
        <v>Depreciation</v>
      </c>
      <c r="B164" s="180">
        <f>Master!C44</f>
        <v>0</v>
      </c>
      <c r="C164" s="180">
        <f>Master!D44</f>
        <v>0</v>
      </c>
      <c r="D164" s="180">
        <f>Master!E44</f>
        <v>287.70800000000003</v>
      </c>
      <c r="E164" s="180">
        <f>Master!F44</f>
        <v>355.76</v>
      </c>
      <c r="F164" s="180">
        <f>Master!G44</f>
        <v>373.24700000000001</v>
      </c>
      <c r="G164" s="180">
        <f>Master!H44</f>
        <v>345.12299999999999</v>
      </c>
      <c r="H164" s="180">
        <f>Master!I44</f>
        <v>422.49099999999999</v>
      </c>
      <c r="I164" s="180">
        <f>Master!J44</f>
        <v>386.46499999999997</v>
      </c>
      <c r="J164" s="180">
        <f>Master!K44</f>
        <v>317.15699999999998</v>
      </c>
      <c r="K164" s="180">
        <f>Master!L44</f>
        <v>316.42947243316257</v>
      </c>
      <c r="L164" s="180">
        <f>Master!M44</f>
        <v>314.6262582830916</v>
      </c>
      <c r="M164" s="180">
        <f>Master!N44</f>
        <v>320.40456895759104</v>
      </c>
      <c r="N164" s="180">
        <f>Master!O44</f>
        <v>332.16689165620301</v>
      </c>
      <c r="O164" s="180">
        <f>Master!P44</f>
        <v>343.19591484150334</v>
      </c>
      <c r="P164" s="180">
        <f>Master!Q44</f>
        <v>352.8663963551241</v>
      </c>
      <c r="Q164" s="154"/>
      <c r="R164" s="795" t="s">
        <v>19</v>
      </c>
      <c r="S164" s="797">
        <v>0</v>
      </c>
      <c r="T164" s="797">
        <v>0</v>
      </c>
      <c r="U164" s="797">
        <v>287.70800000000003</v>
      </c>
      <c r="V164" s="797">
        <v>355.76</v>
      </c>
      <c r="W164" s="797">
        <v>373.24700000000001</v>
      </c>
      <c r="X164" s="797">
        <v>345.12299999999999</v>
      </c>
      <c r="Y164" s="797">
        <v>422.49099999999999</v>
      </c>
      <c r="Z164" s="797">
        <v>386.46499999999997</v>
      </c>
      <c r="AA164" s="797">
        <v>330.56555649611192</v>
      </c>
      <c r="AB164" s="797">
        <v>348.4833229580662</v>
      </c>
      <c r="AC164" s="797">
        <v>366.25446635091669</v>
      </c>
      <c r="AD164" s="797">
        <v>384.37427408616981</v>
      </c>
      <c r="AE164" s="797">
        <v>402.28637605864913</v>
      </c>
      <c r="AF164" s="797">
        <v>417.82234635495638</v>
      </c>
      <c r="AG164" s="797">
        <v>432.28941951704951</v>
      </c>
      <c r="AI164" t="str">
        <f>A164</f>
        <v>Depreciation</v>
      </c>
      <c r="AJ164" s="108">
        <f t="shared" si="9"/>
        <v>-4.0562473108929797E-2</v>
      </c>
      <c r="AK164" s="108">
        <f t="shared" si="9"/>
        <v>-9.1981017205694959E-2</v>
      </c>
      <c r="AL164" s="108">
        <f t="shared" si="9"/>
        <v>-0.14096267161520137</v>
      </c>
      <c r="AM164" s="108">
        <f t="shared" si="9"/>
        <v>-0.16642556341904902</v>
      </c>
      <c r="AN164" s="108">
        <f t="shared" si="9"/>
        <v>-0.17430240886960446</v>
      </c>
      <c r="AO164" s="108">
        <f t="shared" si="9"/>
        <v>-0.17860804278298459</v>
      </c>
      <c r="AP164" s="108">
        <f t="shared" si="9"/>
        <v>-0.18372650260711032</v>
      </c>
    </row>
    <row r="165" spans="1:42">
      <c r="A165" s="171" t="str">
        <f>Master!B45</f>
        <v>Amortisation</v>
      </c>
      <c r="B165" s="180">
        <f>Master!C45</f>
        <v>0</v>
      </c>
      <c r="C165" s="180">
        <f>Master!D45</f>
        <v>21.777999999999999</v>
      </c>
      <c r="D165" s="180">
        <f>Master!E45</f>
        <v>8.3729999999999993</v>
      </c>
      <c r="E165" s="180">
        <f>Master!F45</f>
        <v>28.747</v>
      </c>
      <c r="F165" s="180">
        <f>Master!G45</f>
        <v>35.414999999999999</v>
      </c>
      <c r="G165" s="180">
        <f>Master!H45</f>
        <v>38.165999999999997</v>
      </c>
      <c r="H165" s="180">
        <f>Master!I45</f>
        <v>47.33</v>
      </c>
      <c r="I165" s="180">
        <f>Master!J45</f>
        <v>50.383000000000003</v>
      </c>
      <c r="J165" s="180">
        <f>Master!K45</f>
        <v>46.768000000000001</v>
      </c>
      <c r="K165" s="180">
        <f>Master!L45</f>
        <v>48.593861018267759</v>
      </c>
      <c r="L165" s="180">
        <f>Master!M45</f>
        <v>50.092861660878981</v>
      </c>
      <c r="M165" s="180">
        <f>Master!N45</f>
        <v>54.549470910254826</v>
      </c>
      <c r="N165" s="180">
        <f>Master!O45</f>
        <v>59.057084860744347</v>
      </c>
      <c r="O165" s="180">
        <f>Master!P45</f>
        <v>62.413994456364705</v>
      </c>
      <c r="P165" s="180">
        <f>Master!Q45</f>
        <v>65.655916116962786</v>
      </c>
      <c r="Q165" s="154"/>
      <c r="R165" s="795" t="s">
        <v>20</v>
      </c>
      <c r="S165" s="797">
        <v>0</v>
      </c>
      <c r="T165" s="797">
        <v>21.777999999999999</v>
      </c>
      <c r="U165" s="797">
        <v>8.3729999999999993</v>
      </c>
      <c r="V165" s="797">
        <v>28.747</v>
      </c>
      <c r="W165" s="797">
        <v>35.414999999999999</v>
      </c>
      <c r="X165" s="797">
        <v>38.165999999999997</v>
      </c>
      <c r="Y165" s="797">
        <v>47.33</v>
      </c>
      <c r="Z165" s="797">
        <v>50.383000000000003</v>
      </c>
      <c r="AA165" s="797">
        <v>52.122263707846834</v>
      </c>
      <c r="AB165" s="797">
        <v>56.592655740773644</v>
      </c>
      <c r="AC165" s="797">
        <v>61.404402328274202</v>
      </c>
      <c r="AD165" s="797">
        <v>66.660243066739369</v>
      </c>
      <c r="AE165" s="797">
        <v>72.354522353498794</v>
      </c>
      <c r="AF165" s="797">
        <v>78.32282411869663</v>
      </c>
      <c r="AG165" s="797">
        <v>84.688742566869806</v>
      </c>
      <c r="AI165" t="str">
        <f>A165</f>
        <v>Amortisation</v>
      </c>
      <c r="AJ165" s="108">
        <f t="shared" si="9"/>
        <v>-0.10272507997462066</v>
      </c>
      <c r="AK165" s="108">
        <f t="shared" si="9"/>
        <v>-0.14133980138951041</v>
      </c>
      <c r="AL165" s="108">
        <f t="shared" si="9"/>
        <v>-0.18421383872320052</v>
      </c>
      <c r="AM165" s="108">
        <f t="shared" si="9"/>
        <v>-0.18167908785390108</v>
      </c>
      <c r="AN165" s="108">
        <f t="shared" si="9"/>
        <v>-0.18378170514052783</v>
      </c>
      <c r="AO165" s="108">
        <f t="shared" si="9"/>
        <v>-0.20311869293965223</v>
      </c>
      <c r="AP165" s="108">
        <f t="shared" si="9"/>
        <v>-0.22473856469032816</v>
      </c>
    </row>
    <row r="166" spans="1:42">
      <c r="A166" s="191" t="str">
        <f>Master!B46</f>
        <v>Other</v>
      </c>
      <c r="B166" s="180">
        <f>Master!C46</f>
        <v>-129.46299999999999</v>
      </c>
      <c r="C166" s="180">
        <f>Master!D46</f>
        <v>-148.19500000000002</v>
      </c>
      <c r="D166" s="180">
        <f>Master!E46</f>
        <v>121.78800000000003</v>
      </c>
      <c r="E166" s="180">
        <f>Master!F46</f>
        <v>-441.21099999999996</v>
      </c>
      <c r="F166" s="180">
        <f>Master!G46</f>
        <v>-78.406999999999996</v>
      </c>
      <c r="G166" s="180">
        <f>Master!H46</f>
        <v>-155.143</v>
      </c>
      <c r="H166" s="180">
        <f>Master!I46</f>
        <v>-249.78199999999998</v>
      </c>
      <c r="I166" s="180">
        <f>Master!J46</f>
        <v>-165.131</v>
      </c>
      <c r="J166" s="193">
        <f>Master!K46</f>
        <v>-86.474999999999994</v>
      </c>
      <c r="K166" s="193">
        <f>Master!L46</f>
        <v>-86.474999999999994</v>
      </c>
      <c r="L166" s="193">
        <f>Master!M46</f>
        <v>-86.474999999999994</v>
      </c>
      <c r="M166" s="193">
        <f>Master!N46</f>
        <v>-86.474999999999994</v>
      </c>
      <c r="N166" s="193">
        <f>Master!O46</f>
        <v>-86.474999999999994</v>
      </c>
      <c r="O166" s="193">
        <f>Master!P46</f>
        <v>-86.474999999999994</v>
      </c>
      <c r="P166" s="193">
        <f>Master!Q46</f>
        <v>-86.474999999999994</v>
      </c>
      <c r="Q166" s="154"/>
      <c r="R166" s="795" t="s">
        <v>21</v>
      </c>
      <c r="S166" s="797">
        <v>-129.46299999999999</v>
      </c>
      <c r="T166" s="797">
        <v>-148.19500000000002</v>
      </c>
      <c r="U166" s="797">
        <v>121.78800000000003</v>
      </c>
      <c r="V166" s="797">
        <v>-441.21099999999996</v>
      </c>
      <c r="W166" s="797">
        <v>-78.406999999999996</v>
      </c>
      <c r="X166" s="797">
        <v>-155.143</v>
      </c>
      <c r="Y166" s="797">
        <v>-249.78199999999998</v>
      </c>
      <c r="Z166" s="797">
        <v>-165.131</v>
      </c>
      <c r="AA166" s="797">
        <v>-165.131</v>
      </c>
      <c r="AB166" s="797">
        <v>-165.131</v>
      </c>
      <c r="AC166" s="797">
        <v>-165.131</v>
      </c>
      <c r="AD166" s="797">
        <v>-165.131</v>
      </c>
      <c r="AE166" s="797">
        <v>-165.131</v>
      </c>
      <c r="AF166" s="797">
        <v>-165.131</v>
      </c>
      <c r="AG166" s="797">
        <v>-165.131</v>
      </c>
      <c r="AI166" t="str">
        <f>A166</f>
        <v>Other</v>
      </c>
      <c r="AJ166" s="108">
        <f t="shared" si="9"/>
        <v>-0.47632485723455931</v>
      </c>
      <c r="AK166" s="108">
        <f t="shared" si="9"/>
        <v>-0.47632485723455931</v>
      </c>
      <c r="AL166" s="108">
        <f t="shared" si="9"/>
        <v>-0.47632485723455931</v>
      </c>
      <c r="AM166" s="108">
        <f t="shared" si="9"/>
        <v>-0.47632485723455931</v>
      </c>
      <c r="AN166" s="108">
        <f t="shared" si="9"/>
        <v>-0.47632485723455931</v>
      </c>
      <c r="AO166" s="108">
        <f t="shared" si="9"/>
        <v>-0.47632485723455931</v>
      </c>
      <c r="AP166" s="108">
        <f t="shared" si="9"/>
        <v>-0.47632485723455931</v>
      </c>
    </row>
    <row r="167" spans="1:42">
      <c r="A167" s="176" t="str">
        <f>Master!B47</f>
        <v>EBIT</v>
      </c>
      <c r="B167" s="182">
        <f>Master!C47</f>
        <v>-44.945</v>
      </c>
      <c r="C167" s="182">
        <f>Master!D47</f>
        <v>-23.972999999999999</v>
      </c>
      <c r="D167" s="182">
        <f>Master!E47</f>
        <v>3.3069999999999999</v>
      </c>
      <c r="E167" s="222">
        <f>Master!F47</f>
        <v>-157.10400000000004</v>
      </c>
      <c r="F167" s="222">
        <f>Master!G47</f>
        <v>331.94499999999999</v>
      </c>
      <c r="G167" s="222">
        <f>Master!H47</f>
        <v>387.96399999999994</v>
      </c>
      <c r="H167" s="222">
        <f>Master!I47</f>
        <v>311.78299999999996</v>
      </c>
      <c r="I167" s="222">
        <f>Master!J47</f>
        <v>530.55600000000015</v>
      </c>
      <c r="J167" s="222">
        <f>Master!K47</f>
        <v>477.95399999999984</v>
      </c>
      <c r="K167" s="222">
        <f>Master!L47</f>
        <v>547.16016354165083</v>
      </c>
      <c r="L167" s="222">
        <f>Master!M47</f>
        <v>600.10222697381926</v>
      </c>
      <c r="M167" s="222">
        <f>Master!N47</f>
        <v>675.45819831507606</v>
      </c>
      <c r="N167" s="222">
        <f>Master!O47</f>
        <v>738.01361522814545</v>
      </c>
      <c r="O167" s="222">
        <f>Master!P47</f>
        <v>807.8322220637109</v>
      </c>
      <c r="P167" s="222">
        <f>Master!Q47</f>
        <v>882.44139583741423</v>
      </c>
      <c r="Q167" s="154"/>
      <c r="R167" s="798" t="s">
        <v>22</v>
      </c>
      <c r="S167" s="821">
        <v>-44.945</v>
      </c>
      <c r="T167" s="821">
        <v>-23.972999999999999</v>
      </c>
      <c r="U167" s="821">
        <v>3.3069999999999999</v>
      </c>
      <c r="V167" s="799">
        <v>-157.10400000000004</v>
      </c>
      <c r="W167" s="799">
        <v>331.94499999999999</v>
      </c>
      <c r="X167" s="799">
        <v>387.96399999999994</v>
      </c>
      <c r="Y167" s="799">
        <v>311.78299999999996</v>
      </c>
      <c r="Z167" s="799">
        <v>530.55600000000015</v>
      </c>
      <c r="AA167" s="799">
        <v>448.75351085872148</v>
      </c>
      <c r="AB167" s="799">
        <v>526.40048006747941</v>
      </c>
      <c r="AC167" s="799">
        <v>633.10342877035384</v>
      </c>
      <c r="AD167" s="799">
        <v>727.20604661971674</v>
      </c>
      <c r="AE167" s="799">
        <v>808.0759117692927</v>
      </c>
      <c r="AF167" s="799">
        <v>883.65163126763889</v>
      </c>
      <c r="AG167" s="799">
        <v>954.71697751865747</v>
      </c>
      <c r="AI167" t="str">
        <f>A167</f>
        <v>EBIT</v>
      </c>
      <c r="AJ167" s="108">
        <f t="shared" si="9"/>
        <v>6.5070218805421964E-2</v>
      </c>
      <c r="AK167" s="108">
        <f t="shared" si="9"/>
        <v>3.9437052700845188E-2</v>
      </c>
      <c r="AL167" s="108">
        <f t="shared" si="9"/>
        <v>-5.2126082875007085E-2</v>
      </c>
      <c r="AM167" s="108">
        <f t="shared" si="9"/>
        <v>-7.115981577048347E-2</v>
      </c>
      <c r="AN167" s="108">
        <f t="shared" si="9"/>
        <v>-8.6702617316911423E-2</v>
      </c>
      <c r="AO167" s="108">
        <f t="shared" si="9"/>
        <v>-8.5802375643398654E-2</v>
      </c>
      <c r="AP167" s="108">
        <f t="shared" si="9"/>
        <v>-7.5703672798497768E-2</v>
      </c>
    </row>
    <row r="168" spans="1:42">
      <c r="A168" s="169" t="e">
        <f>Master!#REF!</f>
        <v>#REF!</v>
      </c>
      <c r="B168" s="183" t="e">
        <f>Master!#REF!</f>
        <v>#REF!</v>
      </c>
      <c r="C168" s="190" t="e">
        <f>Master!#REF!</f>
        <v>#REF!</v>
      </c>
      <c r="D168" s="200" t="e">
        <f>Master!#REF!</f>
        <v>#REF!</v>
      </c>
      <c r="E168" s="200" t="e">
        <f>Master!#REF!</f>
        <v>#REF!</v>
      </c>
      <c r="F168" s="200" t="e">
        <f>Master!#REF!</f>
        <v>#REF!</v>
      </c>
      <c r="G168" s="200" t="e">
        <f>Master!#REF!</f>
        <v>#REF!</v>
      </c>
      <c r="H168" s="200" t="e">
        <f>Master!#REF!</f>
        <v>#REF!</v>
      </c>
      <c r="I168" s="200" t="e">
        <f>Master!#REF!</f>
        <v>#REF!</v>
      </c>
      <c r="J168" s="200" t="e">
        <f>Master!#REF!</f>
        <v>#REF!</v>
      </c>
      <c r="K168" s="200" t="e">
        <f>Master!#REF!</f>
        <v>#REF!</v>
      </c>
      <c r="L168" s="200" t="e">
        <f>Master!#REF!</f>
        <v>#REF!</v>
      </c>
      <c r="M168" s="200" t="e">
        <f>Master!#REF!</f>
        <v>#REF!</v>
      </c>
      <c r="N168" s="200" t="e">
        <f>Master!#REF!</f>
        <v>#REF!</v>
      </c>
      <c r="O168" s="200" t="e">
        <f>Master!#REF!</f>
        <v>#REF!</v>
      </c>
      <c r="P168" s="200" t="e">
        <f>Master!#REF!</f>
        <v>#REF!</v>
      </c>
      <c r="Q168" s="154"/>
      <c r="R168" s="800">
        <v>0</v>
      </c>
      <c r="S168" s="801">
        <v>0</v>
      </c>
      <c r="T168" s="802">
        <v>0</v>
      </c>
      <c r="U168" s="801">
        <v>0</v>
      </c>
      <c r="V168" s="801">
        <v>0</v>
      </c>
      <c r="W168" s="801">
        <v>0</v>
      </c>
      <c r="X168" s="801">
        <v>0</v>
      </c>
      <c r="Y168" s="801">
        <v>0</v>
      </c>
      <c r="Z168" s="801">
        <v>0</v>
      </c>
      <c r="AA168" s="801">
        <v>0</v>
      </c>
      <c r="AB168" s="801">
        <v>0</v>
      </c>
      <c r="AC168" s="801">
        <v>0</v>
      </c>
      <c r="AD168" s="801">
        <v>0</v>
      </c>
      <c r="AE168" s="801">
        <v>0</v>
      </c>
      <c r="AF168" s="801">
        <v>0</v>
      </c>
      <c r="AG168" s="801">
        <v>0</v>
      </c>
      <c r="AJ168" s="108"/>
      <c r="AK168" s="108"/>
      <c r="AL168" s="108"/>
      <c r="AM168" s="108"/>
      <c r="AN168" s="108"/>
      <c r="AO168" s="108"/>
      <c r="AP168" s="108"/>
    </row>
    <row r="169" spans="1:42">
      <c r="A169" s="194"/>
      <c r="B169" s="195"/>
      <c r="C169" s="196"/>
      <c r="D169" s="195"/>
      <c r="E169" s="195"/>
      <c r="F169" s="195"/>
      <c r="G169" s="180"/>
      <c r="H169" s="180"/>
      <c r="I169" s="180"/>
      <c r="J169" s="197"/>
      <c r="K169" s="197"/>
      <c r="L169" s="197"/>
      <c r="M169" s="197"/>
      <c r="N169" s="197"/>
      <c r="O169" s="197"/>
      <c r="P169" s="197"/>
      <c r="Q169" s="154"/>
      <c r="R169" s="803" t="s">
        <v>487</v>
      </c>
      <c r="S169" s="804">
        <v>0</v>
      </c>
      <c r="T169" s="805">
        <v>0</v>
      </c>
      <c r="U169" s="804">
        <v>0</v>
      </c>
      <c r="V169" s="804">
        <v>0</v>
      </c>
      <c r="W169" s="804">
        <v>0</v>
      </c>
      <c r="X169" s="797">
        <v>0</v>
      </c>
      <c r="Y169" s="797">
        <v>0</v>
      </c>
      <c r="Z169" s="806">
        <v>0</v>
      </c>
      <c r="AA169" s="806">
        <v>20.825305896804249</v>
      </c>
      <c r="AB169" s="806">
        <v>26.35071361534553</v>
      </c>
      <c r="AC169" s="806">
        <v>35.691959516449216</v>
      </c>
      <c r="AD169" s="806">
        <v>52.420271722000514</v>
      </c>
      <c r="AE169" s="806">
        <v>74.150794464650133</v>
      </c>
      <c r="AF169" s="806">
        <v>101.04182622088084</v>
      </c>
      <c r="AG169" s="806">
        <v>132.6125826176405</v>
      </c>
      <c r="AJ169" s="108">
        <f t="shared" ref="AJ169:AJ205" si="10">J169/AA169-1</f>
        <v>-1</v>
      </c>
      <c r="AK169" s="108">
        <f t="shared" ref="AK169:AK205" si="11">K169/AB169-1</f>
        <v>-1</v>
      </c>
      <c r="AL169" s="108">
        <f t="shared" ref="AL169:AL205" si="12">L169/AC169-1</f>
        <v>-1</v>
      </c>
      <c r="AM169" s="108">
        <f t="shared" ref="AM169:AM205" si="13">M169/AD169-1</f>
        <v>-1</v>
      </c>
      <c r="AN169" s="108">
        <f t="shared" ref="AN169:AN205" si="14">N169/AE169-1</f>
        <v>-1</v>
      </c>
      <c r="AO169" s="108">
        <f t="shared" ref="AO169:AO205" si="15">O169/AF169-1</f>
        <v>-1</v>
      </c>
      <c r="AP169" s="108">
        <f t="shared" ref="AP169:AP205" si="16">P169/AG169-1</f>
        <v>-1</v>
      </c>
    </row>
    <row r="170" spans="1:42">
      <c r="A170" s="169" t="str">
        <f>Master!B49</f>
        <v>Interest income</v>
      </c>
      <c r="B170" s="180">
        <f>Master!C49</f>
        <v>0.216</v>
      </c>
      <c r="C170" s="180">
        <f>Master!D49</f>
        <v>0.70599999999999996</v>
      </c>
      <c r="D170" s="180">
        <f>Master!E49</f>
        <v>0.95099999999999996</v>
      </c>
      <c r="E170" s="180">
        <f>Master!F49</f>
        <v>14.731999999999999</v>
      </c>
      <c r="F170" s="180">
        <f>Master!G49</f>
        <v>5.101</v>
      </c>
      <c r="G170" s="180">
        <f>Master!H49</f>
        <v>7.798</v>
      </c>
      <c r="H170" s="180">
        <f>Master!I49</f>
        <v>15.17</v>
      </c>
      <c r="I170" s="180">
        <f>Master!J49</f>
        <v>25.007999999999999</v>
      </c>
      <c r="J170" s="198">
        <f>Master!K49</f>
        <v>18.66</v>
      </c>
      <c r="K170" s="198">
        <f>Master!L49</f>
        <v>30.137824547911556</v>
      </c>
      <c r="L170" s="198">
        <f>Master!M49</f>
        <v>35.373922568136365</v>
      </c>
      <c r="M170" s="198">
        <f>Master!N49</f>
        <v>34.911115662093643</v>
      </c>
      <c r="N170" s="198">
        <f>Master!O49</f>
        <v>34.787380697848278</v>
      </c>
      <c r="O170" s="198">
        <f>Master!P49</f>
        <v>34.586611066209343</v>
      </c>
      <c r="P170" s="198">
        <f>Master!Q49</f>
        <v>34.413686152879151</v>
      </c>
      <c r="Q170" s="154"/>
      <c r="R170" s="800" t="s">
        <v>586</v>
      </c>
      <c r="S170" s="797">
        <v>0.216</v>
      </c>
      <c r="T170" s="797">
        <v>0.70599999999999996</v>
      </c>
      <c r="U170" s="797">
        <v>0.95099999999999996</v>
      </c>
      <c r="V170" s="797">
        <v>14.731999999999999</v>
      </c>
      <c r="W170" s="797">
        <v>5.101</v>
      </c>
      <c r="X170" s="797">
        <v>7.798</v>
      </c>
      <c r="Y170" s="797">
        <v>15.17</v>
      </c>
      <c r="Z170" s="797">
        <v>25.007999999999999</v>
      </c>
      <c r="AA170" s="797">
        <v>20.827251496659887</v>
      </c>
      <c r="AB170" s="797">
        <v>26.358738842352292</v>
      </c>
      <c r="AC170" s="797">
        <v>35.710002843970862</v>
      </c>
      <c r="AD170" s="797">
        <v>52.454579591341492</v>
      </c>
      <c r="AE170" s="797">
        <v>74.207375102846271</v>
      </c>
      <c r="AF170" s="797">
        <v>101.12692620084967</v>
      </c>
      <c r="AG170" s="797">
        <v>132.73260414348081</v>
      </c>
      <c r="AI170" t="str">
        <f t="shared" ref="AI170:AI205" si="17">A170</f>
        <v>Interest income</v>
      </c>
      <c r="AJ170" s="108">
        <f t="shared" si="10"/>
        <v>-0.10405844943138343</v>
      </c>
      <c r="AK170" s="108">
        <f t="shared" si="11"/>
        <v>0.14337126401082445</v>
      </c>
      <c r="AL170" s="108">
        <f t="shared" si="12"/>
        <v>-9.4113763390876182E-3</v>
      </c>
      <c r="AM170" s="108">
        <f t="shared" si="13"/>
        <v>-0.33445056782313232</v>
      </c>
      <c r="AN170" s="108">
        <f t="shared" si="14"/>
        <v>-0.53121397098825573</v>
      </c>
      <c r="AO170" s="108">
        <f t="shared" si="15"/>
        <v>-0.65798811092590348</v>
      </c>
      <c r="AP170" s="108">
        <f t="shared" si="16"/>
        <v>-0.74072921739952635</v>
      </c>
    </row>
    <row r="171" spans="1:42">
      <c r="A171" s="169" t="str">
        <f>Master!B50</f>
        <v>Finance costs</v>
      </c>
      <c r="B171" s="180">
        <f>Master!C50</f>
        <v>60.027000000000001</v>
      </c>
      <c r="C171" s="180">
        <f>Master!D50</f>
        <v>102.75700000000001</v>
      </c>
      <c r="D171" s="180">
        <f>Master!E50</f>
        <v>107.005</v>
      </c>
      <c r="E171" s="180">
        <f>Master!F50</f>
        <v>209.31299999999999</v>
      </c>
      <c r="F171" s="180">
        <f>Master!G50</f>
        <v>209.63</v>
      </c>
      <c r="G171" s="180">
        <f>Master!H50</f>
        <v>212.10599999999999</v>
      </c>
      <c r="H171" s="180">
        <f>Master!I50</f>
        <v>308.44200000000001</v>
      </c>
      <c r="I171" s="180">
        <f>Master!J50</f>
        <v>423.99799999999999</v>
      </c>
      <c r="J171" s="180">
        <f>Master!K50</f>
        <v>427.99599999999998</v>
      </c>
      <c r="K171" s="180">
        <f>Master!L50</f>
        <v>416.65439179946821</v>
      </c>
      <c r="L171" s="180">
        <f>Master!M50</f>
        <v>416.65439179946821</v>
      </c>
      <c r="M171" s="180">
        <f>Master!N50</f>
        <v>416.65439179946821</v>
      </c>
      <c r="N171" s="180">
        <f>Master!O50</f>
        <v>416.65439179946821</v>
      </c>
      <c r="O171" s="180">
        <f>Master!P50</f>
        <v>416.65439179946821</v>
      </c>
      <c r="P171" s="180">
        <f>Master!Q50</f>
        <v>416.65439179946821</v>
      </c>
      <c r="Q171" s="154"/>
      <c r="R171" s="800" t="s">
        <v>138</v>
      </c>
      <c r="S171" s="797">
        <v>60.027000000000001</v>
      </c>
      <c r="T171" s="797">
        <v>102.75700000000001</v>
      </c>
      <c r="U171" s="797">
        <v>107.005</v>
      </c>
      <c r="V171" s="797">
        <v>209.31299999999999</v>
      </c>
      <c r="W171" s="797">
        <v>209.63</v>
      </c>
      <c r="X171" s="797">
        <v>212.10599999999999</v>
      </c>
      <c r="Y171" s="797">
        <v>308.44200000000001</v>
      </c>
      <c r="Z171" s="797">
        <v>423.99799999999999</v>
      </c>
      <c r="AA171" s="797">
        <v>432.56341271922753</v>
      </c>
      <c r="AB171" s="797">
        <v>411.99920771922751</v>
      </c>
      <c r="AC171" s="797">
        <v>391.4350027192275</v>
      </c>
      <c r="AD171" s="797">
        <v>391.4350027192275</v>
      </c>
      <c r="AE171" s="797">
        <v>391.4350027192275</v>
      </c>
      <c r="AF171" s="797">
        <v>391.4350027192275</v>
      </c>
      <c r="AG171" s="797">
        <v>391.4350027192275</v>
      </c>
      <c r="AI171" t="str">
        <f t="shared" si="17"/>
        <v>Finance costs</v>
      </c>
      <c r="AJ171" s="108">
        <f t="shared" si="10"/>
        <v>-1.0558943694556566E-2</v>
      </c>
      <c r="AK171" s="108">
        <f t="shared" si="11"/>
        <v>1.1299012214152526E-2</v>
      </c>
      <c r="AL171" s="108">
        <f t="shared" si="12"/>
        <v>6.4428037618113443E-2</v>
      </c>
      <c r="AM171" s="108">
        <f t="shared" si="13"/>
        <v>6.4428037618113443E-2</v>
      </c>
      <c r="AN171" s="108">
        <f t="shared" si="14"/>
        <v>6.4428037618113443E-2</v>
      </c>
      <c r="AO171" s="108">
        <f t="shared" si="15"/>
        <v>6.4428037618113443E-2</v>
      </c>
      <c r="AP171" s="108">
        <f t="shared" si="16"/>
        <v>6.4428037618113443E-2</v>
      </c>
    </row>
    <row r="172" spans="1:42">
      <c r="A172" s="169" t="str">
        <f>Master!B51</f>
        <v>Other one-off costs (FX losses etc.)</v>
      </c>
      <c r="B172" s="180">
        <f>Master!C51</f>
        <v>6.6820000000000004</v>
      </c>
      <c r="C172" s="180">
        <f>Master!D51</f>
        <v>21.797000000000001</v>
      </c>
      <c r="D172" s="180">
        <f>Master!E51</f>
        <v>-16.831</v>
      </c>
      <c r="E172" s="180">
        <f>Master!F51</f>
        <v>-57.748999999999995</v>
      </c>
      <c r="F172" s="180">
        <f>Master!G51</f>
        <v>-280.26899999999995</v>
      </c>
      <c r="G172" s="180">
        <f>Master!H51</f>
        <v>-192.20400000000001</v>
      </c>
      <c r="H172" s="180">
        <f>Master!I51</f>
        <v>-562.95200000000011</v>
      </c>
      <c r="I172" s="180">
        <f>Master!J51</f>
        <v>-2012.3119999999999</v>
      </c>
      <c r="J172" s="180">
        <f>Master!K51</f>
        <v>-1680.0550000000001</v>
      </c>
      <c r="K172" s="180">
        <f>Master!L51</f>
        <v>0</v>
      </c>
      <c r="L172" s="180">
        <f>Master!M51</f>
        <v>0</v>
      </c>
      <c r="M172" s="180">
        <f>Master!N51</f>
        <v>0</v>
      </c>
      <c r="N172" s="180">
        <f>Master!O51</f>
        <v>0</v>
      </c>
      <c r="O172" s="180">
        <f>Master!P51</f>
        <v>0</v>
      </c>
      <c r="P172" s="180">
        <f>Master!Q51</f>
        <v>0</v>
      </c>
      <c r="Q172" s="154"/>
      <c r="R172" s="800" t="s">
        <v>303</v>
      </c>
      <c r="S172" s="797">
        <v>6.6820000000000004</v>
      </c>
      <c r="T172" s="797">
        <v>21.797000000000001</v>
      </c>
      <c r="U172" s="797">
        <v>-16.831</v>
      </c>
      <c r="V172" s="797">
        <v>-57.748999999999995</v>
      </c>
      <c r="W172" s="797">
        <v>-280.26899999999995</v>
      </c>
      <c r="X172" s="797">
        <v>-192.20400000000001</v>
      </c>
      <c r="Y172" s="797">
        <v>-562.95200000000011</v>
      </c>
      <c r="Z172" s="797">
        <v>-2012.3119999999999</v>
      </c>
      <c r="AA172" s="797">
        <v>-804.9248</v>
      </c>
      <c r="AB172" s="797">
        <v>0</v>
      </c>
      <c r="AC172" s="797">
        <v>0</v>
      </c>
      <c r="AD172" s="797">
        <v>0</v>
      </c>
      <c r="AE172" s="797">
        <v>0</v>
      </c>
      <c r="AF172" s="797">
        <v>0</v>
      </c>
      <c r="AG172" s="797">
        <v>0</v>
      </c>
      <c r="AI172" t="str">
        <f t="shared" si="17"/>
        <v>Other one-off costs (FX losses etc.)</v>
      </c>
      <c r="AJ172" s="108"/>
      <c r="AK172" s="108"/>
      <c r="AL172" s="108"/>
      <c r="AM172" s="108"/>
      <c r="AN172" s="108"/>
      <c r="AO172" s="108"/>
      <c r="AP172" s="108"/>
    </row>
    <row r="173" spans="1:42">
      <c r="A173" s="176" t="str">
        <f>Master!B52</f>
        <v>PBT</v>
      </c>
      <c r="B173" s="222">
        <f>Master!C52</f>
        <v>-98.073999999999998</v>
      </c>
      <c r="C173" s="222">
        <f>Master!D52</f>
        <v>-104.227</v>
      </c>
      <c r="D173" s="222">
        <f>Master!E52</f>
        <v>-119.578</v>
      </c>
      <c r="E173" s="222">
        <f>Master!F52</f>
        <v>-409.43400000000008</v>
      </c>
      <c r="F173" s="222">
        <f>Master!G52</f>
        <v>-152.85299999999995</v>
      </c>
      <c r="G173" s="222">
        <f>Master!H52</f>
        <v>-8.5480000000000587</v>
      </c>
      <c r="H173" s="222">
        <f>Master!I52</f>
        <v>-544.44100000000014</v>
      </c>
      <c r="I173" s="222">
        <f>Master!J52</f>
        <v>-1880.7459999999996</v>
      </c>
      <c r="J173" s="222">
        <f>Master!K52</f>
        <v>-1611.4370000000001</v>
      </c>
      <c r="K173" s="222">
        <f>Master!L52</f>
        <v>160.64359629009419</v>
      </c>
      <c r="L173" s="222">
        <f>Master!M52</f>
        <v>218.82175774248736</v>
      </c>
      <c r="M173" s="222">
        <f>Master!N52</f>
        <v>293.71492217770145</v>
      </c>
      <c r="N173" s="222">
        <f>Master!O52</f>
        <v>356.14660412652546</v>
      </c>
      <c r="O173" s="222">
        <f>Master!P52</f>
        <v>425.76444133045203</v>
      </c>
      <c r="P173" s="222">
        <f>Master!Q52</f>
        <v>500.20069019082513</v>
      </c>
      <c r="Q173" s="154"/>
      <c r="R173" s="808" t="s">
        <v>23</v>
      </c>
      <c r="S173" s="809">
        <v>-98.073999999999998</v>
      </c>
      <c r="T173" s="809">
        <v>-104.227</v>
      </c>
      <c r="U173" s="809">
        <v>-119.578</v>
      </c>
      <c r="V173" s="809">
        <v>-409.43400000000008</v>
      </c>
      <c r="W173" s="809">
        <v>-152.85299999999995</v>
      </c>
      <c r="X173" s="809">
        <v>-8.5480000000000587</v>
      </c>
      <c r="Y173" s="809">
        <v>-544.44100000000014</v>
      </c>
      <c r="Z173" s="809">
        <v>-1880.7459999999996</v>
      </c>
      <c r="AA173" s="809">
        <v>-767.90745036384624</v>
      </c>
      <c r="AB173" s="809">
        <v>140.76001119060419</v>
      </c>
      <c r="AC173" s="809">
        <v>277.37842889509722</v>
      </c>
      <c r="AD173" s="809">
        <v>388.22562349183073</v>
      </c>
      <c r="AE173" s="809">
        <v>490.8482841529115</v>
      </c>
      <c r="AF173" s="809">
        <v>593.3435547492611</v>
      </c>
      <c r="AG173" s="809">
        <v>696.01457894291093</v>
      </c>
      <c r="AI173" t="str">
        <f t="shared" si="17"/>
        <v>PBT</v>
      </c>
      <c r="AJ173" s="108">
        <f t="shared" si="10"/>
        <v>1.0984781424330192</v>
      </c>
      <c r="AK173" s="108">
        <f t="shared" si="11"/>
        <v>0.14125876327592435</v>
      </c>
      <c r="AL173" s="108">
        <f t="shared" si="12"/>
        <v>-0.21110751613188927</v>
      </c>
      <c r="AM173" s="108">
        <f t="shared" si="13"/>
        <v>-0.24344271886041036</v>
      </c>
      <c r="AN173" s="108">
        <f t="shared" si="14"/>
        <v>-0.27442630314751815</v>
      </c>
      <c r="AO173" s="108">
        <f t="shared" si="15"/>
        <v>-0.28243184252608211</v>
      </c>
      <c r="AP173" s="108">
        <f t="shared" si="16"/>
        <v>-0.28133590110925966</v>
      </c>
    </row>
    <row r="174" spans="1:42">
      <c r="A174" s="169">
        <f>Master!B53</f>
        <v>0</v>
      </c>
      <c r="B174" s="183">
        <f>Master!C53</f>
        <v>0</v>
      </c>
      <c r="C174" s="183">
        <f>Master!D53</f>
        <v>0</v>
      </c>
      <c r="D174" s="183">
        <f>Master!E53</f>
        <v>0</v>
      </c>
      <c r="E174" s="183">
        <f>Master!F53</f>
        <v>0</v>
      </c>
      <c r="F174" s="183">
        <f>Master!G53</f>
        <v>0</v>
      </c>
      <c r="G174" s="183">
        <f>Master!H53</f>
        <v>0</v>
      </c>
      <c r="H174" s="183">
        <f>Master!I53</f>
        <v>0</v>
      </c>
      <c r="I174" s="183">
        <f>Master!J53</f>
        <v>0</v>
      </c>
      <c r="J174" s="183">
        <f>Master!K53</f>
        <v>0</v>
      </c>
      <c r="K174" s="183">
        <f>Master!L53</f>
        <v>0</v>
      </c>
      <c r="L174" s="183">
        <f>Master!M53</f>
        <v>0</v>
      </c>
      <c r="M174" s="183">
        <f>Master!N53</f>
        <v>0</v>
      </c>
      <c r="N174" s="183">
        <f>Master!O53</f>
        <v>0</v>
      </c>
      <c r="O174" s="183">
        <f>Master!P53</f>
        <v>0</v>
      </c>
      <c r="P174" s="183">
        <f>Master!Q53</f>
        <v>0</v>
      </c>
      <c r="Q174" s="154"/>
      <c r="R174" s="800">
        <v>0</v>
      </c>
      <c r="S174" s="801">
        <v>0</v>
      </c>
      <c r="T174" s="801">
        <v>0</v>
      </c>
      <c r="U174" s="801">
        <v>0</v>
      </c>
      <c r="V174" s="801">
        <v>0</v>
      </c>
      <c r="W174" s="801">
        <v>0</v>
      </c>
      <c r="X174" s="801">
        <v>0</v>
      </c>
      <c r="Y174" s="801">
        <v>0</v>
      </c>
      <c r="Z174" s="801">
        <v>0</v>
      </c>
      <c r="AA174" s="801">
        <v>0</v>
      </c>
      <c r="AB174" s="801">
        <v>0</v>
      </c>
      <c r="AC174" s="801">
        <v>0</v>
      </c>
      <c r="AD174" s="801">
        <v>0</v>
      </c>
      <c r="AE174" s="801">
        <v>0</v>
      </c>
      <c r="AF174" s="801">
        <v>0</v>
      </c>
      <c r="AG174" s="801">
        <v>0</v>
      </c>
      <c r="AJ174" s="108"/>
      <c r="AK174" s="108"/>
      <c r="AL174" s="108"/>
      <c r="AM174" s="108"/>
      <c r="AN174" s="108"/>
      <c r="AO174" s="108"/>
      <c r="AP174" s="108"/>
    </row>
    <row r="175" spans="1:42">
      <c r="A175" s="169" t="str">
        <f>Master!B54</f>
        <v>Tax</v>
      </c>
      <c r="B175" s="201">
        <f>Master!C54</f>
        <v>0</v>
      </c>
      <c r="C175" s="201">
        <f>Master!D54</f>
        <v>3.2069999999999999</v>
      </c>
      <c r="D175" s="201">
        <f>Master!E54</f>
        <v>4.3689999999999998</v>
      </c>
      <c r="E175" s="201">
        <f>Master!F54</f>
        <v>13.518000000000001</v>
      </c>
      <c r="F175" s="201">
        <f>Master!G54</f>
        <v>169.82900000000001</v>
      </c>
      <c r="G175" s="201">
        <f>Master!H54</f>
        <v>17.98</v>
      </c>
      <c r="H175" s="201">
        <f>Master!I54</f>
        <v>-75.013000000000005</v>
      </c>
      <c r="I175" s="201">
        <f>Master!J54</f>
        <v>107.52800000000001</v>
      </c>
      <c r="J175" s="201">
        <f>Master!K54</f>
        <v>33.957000000000001</v>
      </c>
      <c r="K175" s="201">
        <f>Master!L54</f>
        <v>44.980206961226379</v>
      </c>
      <c r="L175" s="201">
        <f>Master!M54</f>
        <v>65.646527322746209</v>
      </c>
      <c r="M175" s="201">
        <f>Master!N54</f>
        <v>88.114476653310433</v>
      </c>
      <c r="N175" s="201">
        <f>Master!O54</f>
        <v>106.84398123795764</v>
      </c>
      <c r="O175" s="201">
        <f>Master!P54</f>
        <v>127.7293323991356</v>
      </c>
      <c r="P175" s="201">
        <f>Master!Q54</f>
        <v>150.06020705724754</v>
      </c>
      <c r="Q175" s="154"/>
      <c r="R175" s="800" t="s">
        <v>24</v>
      </c>
      <c r="S175" s="796">
        <v>0</v>
      </c>
      <c r="T175" s="796">
        <v>3.2069999999999999</v>
      </c>
      <c r="U175" s="796">
        <v>4.3689999999999998</v>
      </c>
      <c r="V175" s="796">
        <v>13.518000000000001</v>
      </c>
      <c r="W175" s="796">
        <v>169.82900000000001</v>
      </c>
      <c r="X175" s="796">
        <v>17.98</v>
      </c>
      <c r="Y175" s="796">
        <v>-75.013000000000005</v>
      </c>
      <c r="Z175" s="796">
        <v>107.52800000000001</v>
      </c>
      <c r="AA175" s="796">
        <v>0</v>
      </c>
      <c r="AB175" s="796">
        <v>29.559602350026879</v>
      </c>
      <c r="AC175" s="796">
        <v>58.249470067970414</v>
      </c>
      <c r="AD175" s="796">
        <v>81.527380933284448</v>
      </c>
      <c r="AE175" s="796">
        <v>103.0781396721114</v>
      </c>
      <c r="AF175" s="796">
        <v>124.60214649734483</v>
      </c>
      <c r="AG175" s="796">
        <v>146.16306157801128</v>
      </c>
      <c r="AI175" t="str">
        <f t="shared" si="17"/>
        <v>Tax</v>
      </c>
      <c r="AJ175" s="108" t="e">
        <f t="shared" si="10"/>
        <v>#DIV/0!</v>
      </c>
      <c r="AK175" s="108">
        <f t="shared" si="11"/>
        <v>0.52167835103456595</v>
      </c>
      <c r="AL175" s="108">
        <f t="shared" si="12"/>
        <v>0.12698926266872945</v>
      </c>
      <c r="AM175" s="108">
        <f t="shared" si="13"/>
        <v>8.0796115913699396E-2</v>
      </c>
      <c r="AN175" s="108">
        <f t="shared" si="14"/>
        <v>3.6533852646402742E-2</v>
      </c>
      <c r="AO175" s="108">
        <f t="shared" si="15"/>
        <v>2.5097367819882699E-2</v>
      </c>
      <c r="AP175" s="108">
        <f t="shared" si="16"/>
        <v>2.6662998415343475E-2</v>
      </c>
    </row>
    <row r="176" spans="1:42">
      <c r="A176" s="169" t="str">
        <f>Master!B55</f>
        <v>Minority interest</v>
      </c>
      <c r="B176" s="201">
        <f>Master!C55</f>
        <v>0</v>
      </c>
      <c r="C176" s="201">
        <f>Master!D55</f>
        <v>0</v>
      </c>
      <c r="D176" s="201">
        <f>Master!E55</f>
        <v>0</v>
      </c>
      <c r="E176" s="180">
        <f>Master!F55</f>
        <v>0</v>
      </c>
      <c r="F176" s="180">
        <f>Master!G55</f>
        <v>-0.68799999999999994</v>
      </c>
      <c r="G176" s="180">
        <f>Master!H55</f>
        <v>-0.28899999999999998</v>
      </c>
      <c r="H176" s="180">
        <f>Master!I55</f>
        <v>-9.9589999999999996</v>
      </c>
      <c r="I176" s="234">
        <f>Master!J55</f>
        <v>-11.569000000000001</v>
      </c>
      <c r="J176" s="180">
        <f>Master!K55</f>
        <v>-12.176</v>
      </c>
      <c r="K176" s="180">
        <f>Master!L55</f>
        <v>-12.784800000000001</v>
      </c>
      <c r="L176" s="180">
        <f>Master!M55</f>
        <v>-13.424040000000002</v>
      </c>
      <c r="M176" s="180">
        <f>Master!N55</f>
        <v>-14.095242000000002</v>
      </c>
      <c r="N176" s="180">
        <f>Master!O55</f>
        <v>-14.800004100000002</v>
      </c>
      <c r="O176" s="180">
        <f>Master!P55</f>
        <v>-15.540004305000004</v>
      </c>
      <c r="P176" s="180">
        <f>Master!Q55</f>
        <v>-16.317004520250006</v>
      </c>
      <c r="Q176" s="154"/>
      <c r="R176" s="800" t="s">
        <v>25</v>
      </c>
      <c r="S176" s="796">
        <v>0</v>
      </c>
      <c r="T176" s="796">
        <v>0</v>
      </c>
      <c r="U176" s="796">
        <v>0</v>
      </c>
      <c r="V176" s="797">
        <v>0</v>
      </c>
      <c r="W176" s="797">
        <v>-0.68799999999999994</v>
      </c>
      <c r="X176" s="797">
        <v>-0.28899999999999998</v>
      </c>
      <c r="Y176" s="797">
        <v>-9.9589999999999996</v>
      </c>
      <c r="Z176" s="797">
        <v>-11.569000000000001</v>
      </c>
      <c r="AA176" s="797">
        <v>-13.304349999999999</v>
      </c>
      <c r="AB176" s="797">
        <v>-15.300002499999998</v>
      </c>
      <c r="AC176" s="797">
        <v>-17.595002874999995</v>
      </c>
      <c r="AD176" s="797">
        <v>-20.234253306249993</v>
      </c>
      <c r="AE176" s="797">
        <v>-23.26939130218749</v>
      </c>
      <c r="AF176" s="797">
        <v>-26.759799997515611</v>
      </c>
      <c r="AG176" s="797">
        <v>-30.773769997142949</v>
      </c>
      <c r="AI176" t="str">
        <f t="shared" si="17"/>
        <v>Minority interest</v>
      </c>
      <c r="AJ176" s="108">
        <f t="shared" si="10"/>
        <v>-8.4810607057090315E-2</v>
      </c>
      <c r="AK176" s="108">
        <f t="shared" si="11"/>
        <v>-0.16439229339995187</v>
      </c>
      <c r="AL176" s="108">
        <f t="shared" si="12"/>
        <v>-0.23705383310430372</v>
      </c>
      <c r="AM176" s="108">
        <f t="shared" si="13"/>
        <v>-0.30339697805175547</v>
      </c>
      <c r="AN176" s="108">
        <f t="shared" si="14"/>
        <v>-0.36397115387334189</v>
      </c>
      <c r="AO176" s="108">
        <f t="shared" si="15"/>
        <v>-0.41927801005826859</v>
      </c>
      <c r="AP176" s="108">
        <f t="shared" si="16"/>
        <v>-0.4697755744010278</v>
      </c>
    </row>
    <row r="177" spans="1:42" ht="15.75" thickBot="1">
      <c r="A177" s="202" t="str">
        <f>Master!B57</f>
        <v>Net income (owners)</v>
      </c>
      <c r="B177" s="203">
        <f>Master!C57</f>
        <v>-98.073999999999998</v>
      </c>
      <c r="C177" s="203">
        <f>Master!D57</f>
        <v>-107.434</v>
      </c>
      <c r="D177" s="203">
        <f>Master!E57</f>
        <v>-123.947</v>
      </c>
      <c r="E177" s="203">
        <f>Master!F57</f>
        <v>-422.95200000000011</v>
      </c>
      <c r="F177" s="203">
        <f>Master!G57</f>
        <v>-321.99399999999997</v>
      </c>
      <c r="G177" s="203">
        <f>Master!H57</f>
        <v>-26.239000000000058</v>
      </c>
      <c r="H177" s="203">
        <f>Master!I57</f>
        <v>-459.46900000000011</v>
      </c>
      <c r="I177" s="203">
        <f>Master!J57</f>
        <v>-1976.7049999999997</v>
      </c>
      <c r="J177" s="203">
        <f>Master!K57</f>
        <v>-1633.2180000000003</v>
      </c>
      <c r="K177" s="203">
        <f>Master!L57</f>
        <v>128.44818932886781</v>
      </c>
      <c r="L177" s="203">
        <f>Master!M57</f>
        <v>166.59927041974115</v>
      </c>
      <c r="M177" s="203">
        <f>Master!N57</f>
        <v>219.69568752439105</v>
      </c>
      <c r="N177" s="203">
        <f>Master!O57</f>
        <v>264.10262698856786</v>
      </c>
      <c r="O177" s="203">
        <f>Master!P57</f>
        <v>313.57511323631644</v>
      </c>
      <c r="P177" s="203">
        <f>Master!Q57</f>
        <v>366.45748765382763</v>
      </c>
      <c r="Q177" s="154"/>
      <c r="R177" s="810" t="s">
        <v>988</v>
      </c>
      <c r="S177" s="811">
        <v>-98.073999999999998</v>
      </c>
      <c r="T177" s="811">
        <v>-107.434</v>
      </c>
      <c r="U177" s="811">
        <v>-123.947</v>
      </c>
      <c r="V177" s="811">
        <v>-422.95200000000011</v>
      </c>
      <c r="W177" s="811">
        <v>-321.99399999999997</v>
      </c>
      <c r="X177" s="811">
        <v>-26.239000000000058</v>
      </c>
      <c r="Y177" s="811">
        <v>-459.46900000000011</v>
      </c>
      <c r="Z177" s="811">
        <v>-1976.7049999999997</v>
      </c>
      <c r="AA177" s="811">
        <v>-754.60310036384624</v>
      </c>
      <c r="AB177" s="811">
        <v>126.5004113405773</v>
      </c>
      <c r="AC177" s="811">
        <v>236.72396170212681</v>
      </c>
      <c r="AD177" s="811">
        <v>326.93249586479624</v>
      </c>
      <c r="AE177" s="811">
        <v>411.03953578298763</v>
      </c>
      <c r="AF177" s="811">
        <v>495.50120824943184</v>
      </c>
      <c r="AG177" s="811">
        <v>580.62528736204263</v>
      </c>
      <c r="AI177" t="str">
        <f t="shared" si="17"/>
        <v>Net income (owners)</v>
      </c>
      <c r="AJ177" s="108">
        <f t="shared" si="10"/>
        <v>1.1643404316951695</v>
      </c>
      <c r="AK177" s="108">
        <f t="shared" si="11"/>
        <v>1.53974043850853E-2</v>
      </c>
      <c r="AL177" s="108">
        <f t="shared" si="12"/>
        <v>-0.29622979768573066</v>
      </c>
      <c r="AM177" s="108">
        <f t="shared" si="13"/>
        <v>-0.32800902234188811</v>
      </c>
      <c r="AN177" s="108">
        <f t="shared" si="14"/>
        <v>-0.35747633987207628</v>
      </c>
      <c r="AO177" s="108">
        <f t="shared" si="15"/>
        <v>-0.36715570413207765</v>
      </c>
      <c r="AP177" s="108">
        <f t="shared" si="16"/>
        <v>-0.36885716893462306</v>
      </c>
    </row>
    <row r="178" spans="1:42" ht="15.75" thickTop="1">
      <c r="A178" s="365" t="str">
        <f>Master!B58</f>
        <v>Consensus</v>
      </c>
      <c r="B178" s="366">
        <f>Master!C58</f>
        <v>0</v>
      </c>
      <c r="C178" s="366">
        <f>Master!D58</f>
        <v>0</v>
      </c>
      <c r="D178" s="366">
        <f>Master!E58</f>
        <v>0</v>
      </c>
      <c r="E178" s="366">
        <f>Master!F58</f>
        <v>0</v>
      </c>
      <c r="F178" s="366">
        <f>Master!G58</f>
        <v>0</v>
      </c>
      <c r="G178" s="366">
        <f>Master!H58</f>
        <v>0</v>
      </c>
      <c r="H178" s="366">
        <f>Master!I58</f>
        <v>0</v>
      </c>
      <c r="I178" s="366">
        <f>Master!J58</f>
        <v>0</v>
      </c>
      <c r="J178" s="366">
        <f>Master!K58</f>
        <v>0</v>
      </c>
      <c r="K178" s="366">
        <f>Master!L58</f>
        <v>105.333774955104</v>
      </c>
      <c r="L178" s="366">
        <f>Master!M58</f>
        <v>115.68565094873399</v>
      </c>
      <c r="M178" s="184">
        <f>Master!N58</f>
        <v>178.03434379358899</v>
      </c>
      <c r="N178" s="184">
        <f>Master!O58</f>
        <v>255.48584599314401</v>
      </c>
      <c r="O178" s="184">
        <f>Master!P58</f>
        <v>357.72222515356202</v>
      </c>
      <c r="P178" s="184">
        <f>Master!Q58</f>
        <v>0</v>
      </c>
      <c r="Q178" s="154"/>
      <c r="R178" s="795" t="s">
        <v>637</v>
      </c>
      <c r="S178" s="797">
        <v>0</v>
      </c>
      <c r="T178" s="797">
        <v>0</v>
      </c>
      <c r="U178" s="797">
        <v>0</v>
      </c>
      <c r="V178" s="797">
        <v>0</v>
      </c>
      <c r="W178" s="797">
        <v>0</v>
      </c>
      <c r="X178" s="797">
        <v>0</v>
      </c>
      <c r="Y178" s="797">
        <v>0</v>
      </c>
      <c r="Z178" s="797">
        <v>0</v>
      </c>
      <c r="AA178" s="797">
        <v>69</v>
      </c>
      <c r="AB178" s="797">
        <v>66</v>
      </c>
      <c r="AC178" s="809">
        <v>91</v>
      </c>
      <c r="AD178" s="809">
        <v>0</v>
      </c>
      <c r="AE178" s="809">
        <v>0</v>
      </c>
      <c r="AF178" s="809">
        <v>0</v>
      </c>
      <c r="AG178" s="809">
        <v>0</v>
      </c>
      <c r="AJ178" s="108"/>
      <c r="AK178" s="108"/>
      <c r="AL178" s="108"/>
      <c r="AM178" s="108"/>
      <c r="AN178" s="108"/>
      <c r="AO178" s="108"/>
      <c r="AP178" s="108"/>
    </row>
    <row r="179" spans="1:42">
      <c r="A179" s="169">
        <f>Master!B59</f>
        <v>0</v>
      </c>
      <c r="B179" s="183">
        <f>Master!C59</f>
        <v>0</v>
      </c>
      <c r="C179" s="183">
        <f>Master!D59</f>
        <v>0</v>
      </c>
      <c r="D179" s="183">
        <f>Master!E59</f>
        <v>0</v>
      </c>
      <c r="E179" s="183">
        <f>Master!F59</f>
        <v>0</v>
      </c>
      <c r="F179" s="183">
        <f>Master!G59</f>
        <v>0</v>
      </c>
      <c r="G179" s="183">
        <f>Master!H59</f>
        <v>0</v>
      </c>
      <c r="H179" s="200">
        <f>Master!I59</f>
        <v>0</v>
      </c>
      <c r="I179" s="183">
        <f>Master!J59</f>
        <v>0</v>
      </c>
      <c r="J179" s="183">
        <f>Master!K59</f>
        <v>0</v>
      </c>
      <c r="K179" s="183">
        <f>Master!L59</f>
        <v>0</v>
      </c>
      <c r="L179" s="183">
        <f>Master!M59</f>
        <v>0</v>
      </c>
      <c r="M179" s="183">
        <f>Master!N59</f>
        <v>0</v>
      </c>
      <c r="N179" s="183">
        <f>Master!O59</f>
        <v>0</v>
      </c>
      <c r="O179" s="183">
        <f>Master!P59</f>
        <v>0</v>
      </c>
      <c r="P179" s="183">
        <f>Master!Q59</f>
        <v>0</v>
      </c>
      <c r="Q179" s="154"/>
      <c r="R179" s="800">
        <v>0</v>
      </c>
      <c r="S179" s="801">
        <v>0</v>
      </c>
      <c r="T179" s="801">
        <v>0</v>
      </c>
      <c r="U179" s="801">
        <v>0</v>
      </c>
      <c r="V179" s="801">
        <v>0</v>
      </c>
      <c r="W179" s="801">
        <v>0</v>
      </c>
      <c r="X179" s="801">
        <v>0</v>
      </c>
      <c r="Y179" s="801">
        <v>-469.42800000000011</v>
      </c>
      <c r="Z179" s="801">
        <v>0</v>
      </c>
      <c r="AA179" s="801">
        <v>0</v>
      </c>
      <c r="AB179" s="801">
        <v>0</v>
      </c>
      <c r="AC179" s="801">
        <v>0</v>
      </c>
      <c r="AD179" s="801">
        <v>0</v>
      </c>
      <c r="AE179" s="801">
        <v>0</v>
      </c>
      <c r="AF179" s="801">
        <v>0</v>
      </c>
      <c r="AG179" s="801">
        <v>0</v>
      </c>
      <c r="AJ179" s="108"/>
      <c r="AK179" s="108"/>
      <c r="AL179" s="108"/>
      <c r="AM179" s="108"/>
      <c r="AN179" s="108"/>
      <c r="AO179" s="108"/>
      <c r="AP179" s="108"/>
    </row>
    <row r="180" spans="1:42">
      <c r="A180" s="169">
        <f>Master!B60</f>
        <v>0</v>
      </c>
      <c r="B180" s="183">
        <f>Master!C60</f>
        <v>0</v>
      </c>
      <c r="C180" s="183">
        <f>Master!D60</f>
        <v>0</v>
      </c>
      <c r="D180" s="183">
        <f>Master!E60</f>
        <v>0</v>
      </c>
      <c r="E180" s="183">
        <f>Master!F60</f>
        <v>0</v>
      </c>
      <c r="F180" s="183">
        <f>Master!G60</f>
        <v>0</v>
      </c>
      <c r="G180" s="183">
        <f>Master!H60</f>
        <v>0</v>
      </c>
      <c r="H180" s="183">
        <f>Master!I60</f>
        <v>0</v>
      </c>
      <c r="I180" s="183">
        <f>Master!J60</f>
        <v>0</v>
      </c>
      <c r="J180" s="183">
        <f>Master!K60</f>
        <v>0</v>
      </c>
      <c r="K180" s="183">
        <f>Master!L60</f>
        <v>0</v>
      </c>
      <c r="L180" s="183">
        <f>Master!M60</f>
        <v>0</v>
      </c>
      <c r="M180" s="183">
        <f>Master!N60</f>
        <v>0</v>
      </c>
      <c r="N180" s="183">
        <f>Master!O60</f>
        <v>0</v>
      </c>
      <c r="O180" s="183">
        <f>Master!P60</f>
        <v>0</v>
      </c>
      <c r="P180" s="183">
        <f>Master!Q60</f>
        <v>0</v>
      </c>
      <c r="Q180" s="154"/>
      <c r="R180" s="800">
        <v>0</v>
      </c>
      <c r="S180" s="801">
        <v>0</v>
      </c>
      <c r="T180" s="801">
        <v>0</v>
      </c>
      <c r="U180" s="801">
        <v>0</v>
      </c>
      <c r="V180" s="801">
        <v>0</v>
      </c>
      <c r="W180" s="801">
        <v>0</v>
      </c>
      <c r="X180" s="801">
        <v>0</v>
      </c>
      <c r="Y180" s="801">
        <v>0</v>
      </c>
      <c r="Z180" s="801">
        <v>0</v>
      </c>
      <c r="AA180" s="801">
        <v>0</v>
      </c>
      <c r="AB180" s="801">
        <v>0</v>
      </c>
      <c r="AC180" s="801">
        <v>0</v>
      </c>
      <c r="AD180" s="801">
        <v>0</v>
      </c>
      <c r="AE180" s="801">
        <v>0</v>
      </c>
      <c r="AF180" s="801">
        <v>0</v>
      </c>
      <c r="AG180" s="801">
        <v>0</v>
      </c>
      <c r="AJ180" s="108"/>
      <c r="AK180" s="108"/>
      <c r="AL180" s="108"/>
      <c r="AM180" s="108"/>
      <c r="AN180" s="108"/>
      <c r="AO180" s="108"/>
      <c r="AP180" s="108"/>
    </row>
    <row r="181" spans="1:42">
      <c r="A181" s="204" t="str">
        <f>Master!B61</f>
        <v>Reported EPS</v>
      </c>
      <c r="B181" s="205">
        <f>Master!C61</f>
        <v>0</v>
      </c>
      <c r="C181" s="205">
        <f>Master!D61</f>
        <v>0</v>
      </c>
      <c r="D181" s="205">
        <f>Master!E61</f>
        <v>0</v>
      </c>
      <c r="E181" s="206">
        <f>Master!F61</f>
        <v>-2.8762266152559328</v>
      </c>
      <c r="F181" s="206">
        <f>Master!G61</f>
        <v>-1.0948341227393124</v>
      </c>
      <c r="G181" s="206">
        <f>Master!H61</f>
        <v>-8.7119212444179014E-2</v>
      </c>
      <c r="H181" s="206">
        <f>Master!I61</f>
        <v>-1.3882790523411985</v>
      </c>
      <c r="I181" s="206">
        <f>Master!J61</f>
        <v>-5.9329153360386098</v>
      </c>
      <c r="J181" s="206">
        <f>Master!K61</f>
        <v>-4.9036308446149839</v>
      </c>
      <c r="K181" s="206">
        <f>Master!L61</f>
        <v>0.39327529413666434</v>
      </c>
      <c r="L181" s="206">
        <f>Master!M61</f>
        <v>0.52299766723061625</v>
      </c>
      <c r="M181" s="206">
        <f>Master!N61</f>
        <v>0.71128979048316188</v>
      </c>
      <c r="N181" s="206">
        <f>Master!O61</f>
        <v>0.88750386442571627</v>
      </c>
      <c r="O181" s="206">
        <f>Master!P61</f>
        <v>1.1015161792165702</v>
      </c>
      <c r="P181" s="207">
        <f>Master!Q61</f>
        <v>1.3564472680943589</v>
      </c>
      <c r="Q181" s="154"/>
      <c r="R181" s="812" t="s">
        <v>26</v>
      </c>
      <c r="S181" s="822">
        <v>0</v>
      </c>
      <c r="T181" s="822">
        <v>0</v>
      </c>
      <c r="U181" s="822">
        <v>0</v>
      </c>
      <c r="V181" s="813">
        <v>-2.8762266152559328</v>
      </c>
      <c r="W181" s="813">
        <v>-1.0948341227393124</v>
      </c>
      <c r="X181" s="813">
        <v>-8.7119212444179014E-2</v>
      </c>
      <c r="Y181" s="813">
        <v>-1.3882790523411985</v>
      </c>
      <c r="Z181" s="813">
        <v>-5.9329153360386098</v>
      </c>
      <c r="AA181" s="813">
        <v>-2.2924001153299338</v>
      </c>
      <c r="AB181" s="813">
        <v>0.38723509330522382</v>
      </c>
      <c r="AC181" s="813">
        <v>0.7246444847559258</v>
      </c>
      <c r="AD181" s="813">
        <v>1.000785168989446</v>
      </c>
      <c r="AE181" s="813">
        <v>1.2582483432605629</v>
      </c>
      <c r="AF181" s="813">
        <v>1.5167970963567323</v>
      </c>
      <c r="AG181" s="814">
        <v>1.7773735669655641</v>
      </c>
      <c r="AI181" t="str">
        <f t="shared" si="17"/>
        <v>Reported EPS</v>
      </c>
      <c r="AJ181" s="108">
        <f t="shared" si="10"/>
        <v>1.1390815729867594</v>
      </c>
      <c r="AK181" s="108">
        <f t="shared" si="11"/>
        <v>1.5598278502820362E-2</v>
      </c>
      <c r="AL181" s="108">
        <f t="shared" si="12"/>
        <v>-0.27826999551818588</v>
      </c>
      <c r="AM181" s="108">
        <f t="shared" si="13"/>
        <v>-0.28926825404357792</v>
      </c>
      <c r="AN181" s="108">
        <f t="shared" si="14"/>
        <v>-0.29465127517999956</v>
      </c>
      <c r="AO181" s="108">
        <f t="shared" si="15"/>
        <v>-0.2737880486042894</v>
      </c>
      <c r="AP181" s="108">
        <f t="shared" si="16"/>
        <v>-0.23682488965436521</v>
      </c>
    </row>
    <row r="182" spans="1:42">
      <c r="A182" s="209" t="str">
        <f>Master!B62</f>
        <v>Clean EPS</v>
      </c>
      <c r="B182" s="210">
        <f>Master!C62</f>
        <v>0</v>
      </c>
      <c r="C182" s="210">
        <f>Master!D62</f>
        <v>0</v>
      </c>
      <c r="D182" s="210">
        <f>Master!E62</f>
        <v>0</v>
      </c>
      <c r="E182" s="211">
        <f>Master!F62</f>
        <v>0.50960543011109238</v>
      </c>
      <c r="F182" s="211">
        <f>Master!G62</f>
        <v>0.11342087102842603</v>
      </c>
      <c r="G182" s="211">
        <f>Master!H62</f>
        <v>0.99785697400997786</v>
      </c>
      <c r="H182" s="211">
        <f>Master!I62</f>
        <v>1.0216041851413198</v>
      </c>
      <c r="I182" s="211">
        <f>Master!J62</f>
        <v>0.56442074735347147</v>
      </c>
      <c r="J182" s="211">
        <f>Master!K62</f>
        <v>0.36146728216207158</v>
      </c>
      <c r="K182" s="211">
        <f>Master!L62</f>
        <v>0.61501669224814537</v>
      </c>
      <c r="L182" s="211">
        <f>Master!M62</f>
        <v>0.74748937755564759</v>
      </c>
      <c r="M182" s="211">
        <f>Master!N62</f>
        <v>0.93936243096075467</v>
      </c>
      <c r="N182" s="211">
        <f>Master!O62</f>
        <v>1.1206067244055409</v>
      </c>
      <c r="O182" s="211">
        <f>Master!P62</f>
        <v>1.3409904536039639</v>
      </c>
      <c r="P182" s="212">
        <f>Master!Q62</f>
        <v>1.6039080350685464</v>
      </c>
      <c r="Q182" s="154"/>
      <c r="R182" s="815" t="s">
        <v>27</v>
      </c>
      <c r="S182" s="823">
        <v>0</v>
      </c>
      <c r="T182" s="823">
        <v>0</v>
      </c>
      <c r="U182" s="823">
        <v>0</v>
      </c>
      <c r="V182" s="816">
        <v>0.50960543011109238</v>
      </c>
      <c r="W182" s="816">
        <v>0.11342087102842603</v>
      </c>
      <c r="X182" s="816">
        <v>0.99785697400997786</v>
      </c>
      <c r="Y182" s="816">
        <v>1.0216041851413198</v>
      </c>
      <c r="Z182" s="816">
        <v>0.56442074735347147</v>
      </c>
      <c r="AA182" s="816">
        <v>0.60676200949794745</v>
      </c>
      <c r="AB182" s="816">
        <v>0.89787449377471007</v>
      </c>
      <c r="AC182" s="816">
        <v>1.1620594076611497</v>
      </c>
      <c r="AD182" s="816">
        <v>1.4268452249141259</v>
      </c>
      <c r="AE182" s="816">
        <v>1.6719628975206977</v>
      </c>
      <c r="AF182" s="816">
        <v>1.916757319606925</v>
      </c>
      <c r="AG182" s="817">
        <v>2.1619522882967774</v>
      </c>
      <c r="AI182" t="str">
        <f t="shared" si="17"/>
        <v>Clean EPS</v>
      </c>
      <c r="AJ182" s="108">
        <f t="shared" si="10"/>
        <v>-0.40426843391009248</v>
      </c>
      <c r="AK182" s="108">
        <f t="shared" si="11"/>
        <v>-0.31503044522115342</v>
      </c>
      <c r="AL182" s="108">
        <f t="shared" si="12"/>
        <v>-0.35675459221133765</v>
      </c>
      <c r="AM182" s="108">
        <f t="shared" si="13"/>
        <v>-0.34165078695393203</v>
      </c>
      <c r="AN182" s="108">
        <f t="shared" si="14"/>
        <v>-0.32976579440413778</v>
      </c>
      <c r="AO182" s="108">
        <f t="shared" si="15"/>
        <v>-0.30038589659385539</v>
      </c>
      <c r="AP182" s="108">
        <f t="shared" si="16"/>
        <v>-0.25812052201571378</v>
      </c>
    </row>
    <row r="183" spans="1:42">
      <c r="A183" s="209" t="str">
        <f>Master!B63</f>
        <v>DPS</v>
      </c>
      <c r="B183" s="210">
        <f>Master!C63</f>
        <v>0</v>
      </c>
      <c r="C183" s="210">
        <f>Master!D63</f>
        <v>0</v>
      </c>
      <c r="D183" s="210">
        <f>Master!E63</f>
        <v>0</v>
      </c>
      <c r="E183" s="211">
        <f>Master!F63</f>
        <v>0</v>
      </c>
      <c r="F183" s="211">
        <f>Master!G63</f>
        <v>0</v>
      </c>
      <c r="G183" s="211">
        <f>Master!H63</f>
        <v>0</v>
      </c>
      <c r="H183" s="211">
        <f>Master!I63</f>
        <v>0</v>
      </c>
      <c r="I183" s="211">
        <f>Master!J63</f>
        <v>0</v>
      </c>
      <c r="J183" s="211">
        <f>Master!K63</f>
        <v>0</v>
      </c>
      <c r="K183" s="211">
        <f>Master!L63</f>
        <v>0</v>
      </c>
      <c r="L183" s="211">
        <f>Master!M63</f>
        <v>0.18154846251900655</v>
      </c>
      <c r="M183" s="211">
        <f>Master!N63</f>
        <v>0.24796112017531449</v>
      </c>
      <c r="N183" s="211">
        <f>Master!O63</f>
        <v>0.34545508314547091</v>
      </c>
      <c r="O183" s="211">
        <f>Master!P63</f>
        <v>0.43787096143999876</v>
      </c>
      <c r="P183" s="212">
        <f>Master!Q63</f>
        <v>0.5515904612760697</v>
      </c>
      <c r="Q183" s="154"/>
      <c r="R183" s="815" t="s">
        <v>28</v>
      </c>
      <c r="S183" s="823">
        <v>0</v>
      </c>
      <c r="T183" s="823">
        <v>0</v>
      </c>
      <c r="U183" s="823">
        <v>0</v>
      </c>
      <c r="V183" s="816">
        <v>0</v>
      </c>
      <c r="W183" s="816">
        <v>0</v>
      </c>
      <c r="X183" s="816">
        <v>0</v>
      </c>
      <c r="Y183" s="816">
        <v>0</v>
      </c>
      <c r="Z183" s="816">
        <v>0</v>
      </c>
      <c r="AA183" s="816">
        <v>0</v>
      </c>
      <c r="AB183" s="816">
        <v>0</v>
      </c>
      <c r="AC183" s="816">
        <v>0</v>
      </c>
      <c r="AD183" s="816">
        <v>0</v>
      </c>
      <c r="AE183" s="816">
        <v>0</v>
      </c>
      <c r="AF183" s="816">
        <v>0</v>
      </c>
      <c r="AG183" s="817">
        <v>0</v>
      </c>
      <c r="AI183" t="str">
        <f t="shared" si="17"/>
        <v>DPS</v>
      </c>
      <c r="AJ183" s="108"/>
      <c r="AK183" s="108"/>
      <c r="AL183" s="108"/>
      <c r="AM183" s="108"/>
      <c r="AN183" s="108"/>
      <c r="AO183" s="108"/>
      <c r="AP183" s="108"/>
    </row>
    <row r="184" spans="1:42">
      <c r="A184" s="213" t="str">
        <f>Master!B64</f>
        <v>EFCF/ share</v>
      </c>
      <c r="B184" s="214">
        <f>Master!C64</f>
        <v>0</v>
      </c>
      <c r="C184" s="214">
        <f>Master!D64</f>
        <v>0</v>
      </c>
      <c r="D184" s="214">
        <f>Master!E64</f>
        <v>0</v>
      </c>
      <c r="E184" s="215">
        <f>Master!F64</f>
        <v>0</v>
      </c>
      <c r="F184" s="215">
        <f>Master!G64</f>
        <v>0</v>
      </c>
      <c r="G184" s="215">
        <f>Master!H64</f>
        <v>0</v>
      </c>
      <c r="H184" s="215">
        <f>Master!I64</f>
        <v>0</v>
      </c>
      <c r="I184" s="215">
        <f>Master!J64</f>
        <v>0</v>
      </c>
      <c r="J184" s="215">
        <f>Master!K64</f>
        <v>0</v>
      </c>
      <c r="K184" s="215">
        <f>Master!L64</f>
        <v>0.38346375055846688</v>
      </c>
      <c r="L184" s="215">
        <f>Master!M64</f>
        <v>0.48967071220947883</v>
      </c>
      <c r="M184" s="215">
        <f>Master!N64</f>
        <v>0.72889119207771147</v>
      </c>
      <c r="N184" s="215">
        <f>Master!O64</f>
        <v>0.87576355908825221</v>
      </c>
      <c r="O184" s="215">
        <f>Master!P64</f>
        <v>1.0825998584514829</v>
      </c>
      <c r="P184" s="216">
        <f>Master!Q64</f>
        <v>1.2878321742909389</v>
      </c>
      <c r="Q184" s="154"/>
      <c r="R184" s="818" t="s">
        <v>29</v>
      </c>
      <c r="S184" s="824">
        <v>0</v>
      </c>
      <c r="T184" s="824">
        <v>0</v>
      </c>
      <c r="U184" s="824">
        <v>0</v>
      </c>
      <c r="V184" s="819">
        <v>0</v>
      </c>
      <c r="W184" s="819">
        <v>0</v>
      </c>
      <c r="X184" s="819">
        <v>0</v>
      </c>
      <c r="Y184" s="819">
        <v>0</v>
      </c>
      <c r="Z184" s="819">
        <v>0</v>
      </c>
      <c r="AA184" s="819">
        <v>0</v>
      </c>
      <c r="AB184" s="819">
        <v>0</v>
      </c>
      <c r="AC184" s="819">
        <v>0</v>
      </c>
      <c r="AD184" s="819">
        <v>0</v>
      </c>
      <c r="AE184" s="819">
        <v>0</v>
      </c>
      <c r="AF184" s="819">
        <v>0</v>
      </c>
      <c r="AG184" s="820">
        <v>0</v>
      </c>
      <c r="AI184" t="str">
        <f t="shared" si="17"/>
        <v>EFCF/ share</v>
      </c>
      <c r="AJ184" s="108"/>
      <c r="AK184" s="108"/>
      <c r="AL184" s="108"/>
      <c r="AM184" s="108"/>
      <c r="AN184" s="108"/>
      <c r="AO184" s="108"/>
      <c r="AP184" s="108"/>
    </row>
    <row r="185" spans="1:42">
      <c r="A185" s="154"/>
      <c r="B185" s="154"/>
      <c r="C185" s="154"/>
      <c r="D185" s="154"/>
      <c r="E185" s="154"/>
      <c r="F185" s="154"/>
      <c r="G185" s="154"/>
      <c r="H185" s="154"/>
      <c r="I185" s="154"/>
      <c r="J185" s="154"/>
      <c r="K185" s="154"/>
      <c r="L185" s="154"/>
      <c r="M185" s="154"/>
      <c r="N185" s="154"/>
      <c r="O185" s="154"/>
      <c r="P185" s="154"/>
      <c r="Q185" s="154"/>
      <c r="AJ185" s="108"/>
      <c r="AK185" s="108"/>
      <c r="AL185" s="108"/>
      <c r="AM185" s="108"/>
      <c r="AN185" s="108"/>
      <c r="AO185" s="108"/>
      <c r="AP185" s="108"/>
    </row>
    <row r="186" spans="1:42">
      <c r="A186" s="154"/>
      <c r="B186" s="154"/>
      <c r="C186" s="154"/>
      <c r="D186" s="154"/>
      <c r="E186" s="154"/>
      <c r="F186" s="154"/>
      <c r="G186" s="154"/>
      <c r="H186" s="154"/>
      <c r="I186" s="154"/>
      <c r="J186" s="154"/>
      <c r="K186" s="154"/>
      <c r="L186" s="154"/>
      <c r="M186" s="154"/>
      <c r="N186" s="154"/>
      <c r="O186" s="154"/>
      <c r="P186" s="154"/>
      <c r="Q186" s="154"/>
      <c r="AJ186" s="108"/>
      <c r="AK186" s="108"/>
      <c r="AL186" s="108"/>
      <c r="AM186" s="108"/>
      <c r="AN186" s="108"/>
      <c r="AO186" s="108"/>
      <c r="AP186" s="108"/>
    </row>
    <row r="187" spans="1:42">
      <c r="A187" s="154"/>
      <c r="B187" s="154"/>
      <c r="C187" s="154"/>
      <c r="D187" s="154"/>
      <c r="E187" s="154"/>
      <c r="F187" s="154"/>
      <c r="G187" s="154"/>
      <c r="H187" s="154"/>
      <c r="I187" s="154"/>
      <c r="J187" s="154"/>
      <c r="K187" s="154"/>
      <c r="L187" s="154"/>
      <c r="M187" s="154"/>
      <c r="N187" s="154"/>
      <c r="O187" s="154"/>
      <c r="P187" s="154"/>
      <c r="Q187" s="154"/>
      <c r="AJ187" s="108"/>
      <c r="AK187" s="108"/>
      <c r="AL187" s="108"/>
      <c r="AM187" s="108"/>
      <c r="AN187" s="108"/>
      <c r="AO187" s="108"/>
      <c r="AP187" s="108"/>
    </row>
    <row r="188" spans="1:42">
      <c r="A188" s="154"/>
      <c r="B188" s="154"/>
      <c r="C188" s="154"/>
      <c r="D188" s="154"/>
      <c r="E188" s="154"/>
      <c r="F188" s="154"/>
      <c r="G188" s="154"/>
      <c r="H188" s="154"/>
      <c r="I188" s="154"/>
      <c r="J188" s="154"/>
      <c r="K188" s="154"/>
      <c r="L188" s="154"/>
      <c r="M188" s="154"/>
      <c r="N188" s="154"/>
      <c r="O188" s="154"/>
      <c r="P188" s="154"/>
      <c r="Q188" s="154"/>
      <c r="AJ188" s="108"/>
      <c r="AK188" s="108"/>
      <c r="AL188" s="108"/>
      <c r="AM188" s="108"/>
      <c r="AN188" s="108"/>
      <c r="AO188" s="108"/>
      <c r="AP188" s="108"/>
    </row>
    <row r="189" spans="1:42">
      <c r="A189" s="154"/>
      <c r="B189" s="154"/>
      <c r="C189" s="154"/>
      <c r="D189" s="154"/>
      <c r="E189" s="154"/>
      <c r="F189" s="154"/>
      <c r="G189" s="154"/>
      <c r="H189" s="154"/>
      <c r="I189" s="154"/>
      <c r="J189" s="154"/>
      <c r="K189" s="154"/>
      <c r="L189" s="154"/>
      <c r="M189" s="154"/>
      <c r="N189" s="154"/>
      <c r="O189" s="154"/>
      <c r="P189" s="154"/>
      <c r="Q189" s="154"/>
      <c r="AJ189" s="108"/>
      <c r="AK189" s="108"/>
      <c r="AL189" s="108"/>
      <c r="AM189" s="108"/>
      <c r="AN189" s="108"/>
      <c r="AO189" s="108"/>
      <c r="AP189" s="108"/>
    </row>
    <row r="190" spans="1:42">
      <c r="A190" s="186" t="str">
        <f>Master!B109</f>
        <v>Cash flow statement</v>
      </c>
      <c r="B190" s="187">
        <f>Master!C109</f>
        <v>2016</v>
      </c>
      <c r="C190" s="187">
        <f>Master!D109</f>
        <v>2017</v>
      </c>
      <c r="D190" s="187">
        <f>Master!E109</f>
        <v>2018</v>
      </c>
      <c r="E190" s="187">
        <f>Master!F109</f>
        <v>2019</v>
      </c>
      <c r="F190" s="187">
        <f>Master!G109</f>
        <v>2020</v>
      </c>
      <c r="G190" s="187">
        <f>Master!H109</f>
        <v>2021</v>
      </c>
      <c r="H190" s="187">
        <f>Master!I109</f>
        <v>2022</v>
      </c>
      <c r="I190" s="187">
        <f>Master!J109</f>
        <v>2023</v>
      </c>
      <c r="J190" s="187">
        <f>Master!K109</f>
        <v>2024</v>
      </c>
      <c r="K190" s="187">
        <f>Master!L109</f>
        <v>2025</v>
      </c>
      <c r="L190" s="187">
        <f>Master!M109</f>
        <v>2026</v>
      </c>
      <c r="M190" s="187">
        <f>Master!N109</f>
        <v>2027</v>
      </c>
      <c r="N190" s="187">
        <f>Master!O109</f>
        <v>2028</v>
      </c>
      <c r="O190" s="187">
        <f>Master!P109</f>
        <v>2029</v>
      </c>
      <c r="P190" s="187">
        <f>Master!Q109</f>
        <v>2030</v>
      </c>
      <c r="Q190" s="154"/>
      <c r="R190" s="793" t="s">
        <v>56</v>
      </c>
      <c r="S190" s="794">
        <v>2016</v>
      </c>
      <c r="T190" s="794">
        <v>2017</v>
      </c>
      <c r="U190" s="794">
        <v>2018</v>
      </c>
      <c r="V190" s="794">
        <v>2019</v>
      </c>
      <c r="W190" s="794">
        <v>2020</v>
      </c>
      <c r="X190" s="794">
        <v>2021</v>
      </c>
      <c r="Y190" s="794">
        <v>2022</v>
      </c>
      <c r="Z190" s="794">
        <v>2023</v>
      </c>
      <c r="AA190" s="794">
        <v>2024</v>
      </c>
      <c r="AB190" s="794">
        <v>2025</v>
      </c>
      <c r="AC190" s="794">
        <v>2026</v>
      </c>
      <c r="AD190" s="794">
        <v>2027</v>
      </c>
      <c r="AE190" s="794">
        <v>2028</v>
      </c>
      <c r="AF190" s="794">
        <v>2029</v>
      </c>
      <c r="AG190" s="794">
        <v>2030</v>
      </c>
      <c r="AJ190" s="108"/>
      <c r="AK190" s="108"/>
      <c r="AL190" s="108"/>
      <c r="AM190" s="108"/>
      <c r="AN190" s="108"/>
      <c r="AO190" s="108"/>
      <c r="AP190" s="108"/>
    </row>
    <row r="191" spans="1:42">
      <c r="A191" s="173" t="str">
        <f>Master!B110</f>
        <v>OpFCF</v>
      </c>
      <c r="B191" s="184">
        <f>Master!C110</f>
        <v>0</v>
      </c>
      <c r="C191" s="184">
        <f>Master!D110</f>
        <v>0</v>
      </c>
      <c r="D191" s="184">
        <f>Master!E110</f>
        <v>0</v>
      </c>
      <c r="E191" s="184">
        <f>Master!F110</f>
        <v>409.61399999999992</v>
      </c>
      <c r="F191" s="184">
        <f>Master!G110</f>
        <v>590.01400000000001</v>
      </c>
      <c r="G191" s="184">
        <f>Master!H110</f>
        <v>524.39599999999996</v>
      </c>
      <c r="H191" s="184">
        <f>Master!I110</f>
        <v>397.38599999999997</v>
      </c>
      <c r="I191" s="184">
        <f>Master!J110</f>
        <v>546.53500000000008</v>
      </c>
      <c r="J191" s="184">
        <f>Master!K110</f>
        <v>671.35399999999993</v>
      </c>
      <c r="K191" s="184">
        <f>Master!L110</f>
        <v>739.86683591510814</v>
      </c>
      <c r="L191" s="184">
        <f>Master!M110</f>
        <v>781.89486860196962</v>
      </c>
      <c r="M191" s="184">
        <f>Master!N110</f>
        <v>858.68016569403994</v>
      </c>
      <c r="N191" s="184">
        <f>Master!O110</f>
        <v>920.65980627022805</v>
      </c>
      <c r="O191" s="184">
        <f>Master!P110</f>
        <v>997.79439935551204</v>
      </c>
      <c r="P191" s="184">
        <f>Master!Q110</f>
        <v>1067.524691326495</v>
      </c>
      <c r="Q191" s="154"/>
      <c r="R191" s="808" t="s">
        <v>57</v>
      </c>
      <c r="S191" s="809">
        <v>0</v>
      </c>
      <c r="T191" s="809">
        <v>0</v>
      </c>
      <c r="U191" s="809">
        <v>0</v>
      </c>
      <c r="V191" s="809">
        <v>409.61399999999992</v>
      </c>
      <c r="W191" s="809">
        <v>590.01400000000001</v>
      </c>
      <c r="X191" s="809">
        <v>524.39599999999996</v>
      </c>
      <c r="Y191" s="809">
        <v>397.38599999999997</v>
      </c>
      <c r="Z191" s="809">
        <v>546.53500000000008</v>
      </c>
      <c r="AA191" s="809">
        <v>645.99741265063687</v>
      </c>
      <c r="AB191" s="809">
        <v>743.10725638040867</v>
      </c>
      <c r="AC191" s="809">
        <v>855.10692697684487</v>
      </c>
      <c r="AD191" s="809">
        <v>962.96337882944181</v>
      </c>
      <c r="AE191" s="809">
        <v>1090.7051417805437</v>
      </c>
      <c r="AF191" s="809">
        <v>1192.5280946931171</v>
      </c>
      <c r="AG191" s="809">
        <v>1293.4534608901486</v>
      </c>
      <c r="AI191" t="str">
        <f t="shared" si="17"/>
        <v>OpFCF</v>
      </c>
      <c r="AJ191" s="108">
        <f t="shared" si="10"/>
        <v>3.9251840414221917E-2</v>
      </c>
      <c r="AK191" s="108">
        <f t="shared" si="11"/>
        <v>-4.3606362843020552E-3</v>
      </c>
      <c r="AL191" s="108">
        <f t="shared" si="12"/>
        <v>-8.5617431066439931E-2</v>
      </c>
      <c r="AM191" s="108">
        <f t="shared" si="13"/>
        <v>-0.10829405918028401</v>
      </c>
      <c r="AN191" s="108">
        <f t="shared" si="14"/>
        <v>-0.15590403766935734</v>
      </c>
      <c r="AO191" s="108">
        <f t="shared" si="15"/>
        <v>-0.16329484915633574</v>
      </c>
      <c r="AP191" s="108">
        <f t="shared" si="16"/>
        <v>-0.17467096914965186</v>
      </c>
    </row>
    <row r="192" spans="1:42">
      <c r="A192" s="171" t="str">
        <f>Master!B111</f>
        <v>Less: Interest payments (net)</v>
      </c>
      <c r="B192" s="180">
        <f>Master!C111</f>
        <v>-59.811</v>
      </c>
      <c r="C192" s="198">
        <f>Master!D111</f>
        <v>-50.929000000000002</v>
      </c>
      <c r="D192" s="198">
        <f>Master!E111</f>
        <v>-68.924000000000007</v>
      </c>
      <c r="E192" s="198">
        <f>Master!F111</f>
        <v>-168.785</v>
      </c>
      <c r="F192" s="198">
        <f>Master!G111</f>
        <v>-182.07599999999999</v>
      </c>
      <c r="G192" s="198">
        <f>Master!H111</f>
        <v>-193.41</v>
      </c>
      <c r="H192" s="198">
        <f>Master!I111</f>
        <v>-255.57500000000002</v>
      </c>
      <c r="I192" s="198">
        <f>Master!J111</f>
        <v>-332.464</v>
      </c>
      <c r="J192" s="180">
        <f>Master!K111</f>
        <v>-374.36499999999995</v>
      </c>
      <c r="K192" s="180">
        <f>Master!L111</f>
        <v>-386.51656725155664</v>
      </c>
      <c r="L192" s="180">
        <f>Master!M111</f>
        <v>-381.28046923133184</v>
      </c>
      <c r="M192" s="180">
        <f>Master!N111</f>
        <v>-381.74327613737455</v>
      </c>
      <c r="N192" s="180">
        <f>Master!O111</f>
        <v>-381.86701110161994</v>
      </c>
      <c r="O192" s="180">
        <f>Master!P111</f>
        <v>-382.06778073325887</v>
      </c>
      <c r="P192" s="180">
        <f>Master!Q111</f>
        <v>-382.24070564658905</v>
      </c>
      <c r="Q192" s="154"/>
      <c r="R192" s="795" t="s">
        <v>675</v>
      </c>
      <c r="S192" s="797">
        <v>-59.811</v>
      </c>
      <c r="T192" s="807">
        <v>-50.929000000000002</v>
      </c>
      <c r="U192" s="807">
        <v>-68.924000000000007</v>
      </c>
      <c r="V192" s="807">
        <v>-168.785</v>
      </c>
      <c r="W192" s="807">
        <v>-182.07599999999999</v>
      </c>
      <c r="X192" s="807">
        <v>-193.41</v>
      </c>
      <c r="Y192" s="807">
        <v>-255.57500000000002</v>
      </c>
      <c r="Z192" s="797">
        <v>-332.464</v>
      </c>
      <c r="AA192" s="797">
        <v>-411.73616122256766</v>
      </c>
      <c r="AB192" s="797">
        <v>-385.64046887687522</v>
      </c>
      <c r="AC192" s="797">
        <v>-355.72499987525663</v>
      </c>
      <c r="AD192" s="797">
        <v>-338.98042312788601</v>
      </c>
      <c r="AE192" s="797">
        <v>-317.22762761638126</v>
      </c>
      <c r="AF192" s="797">
        <v>-290.30807651837785</v>
      </c>
      <c r="AG192" s="797">
        <v>-258.70239857574666</v>
      </c>
      <c r="AI192" t="str">
        <f t="shared" si="17"/>
        <v>Less: Interest payments (net)</v>
      </c>
      <c r="AJ192" s="108">
        <f t="shared" si="10"/>
        <v>-9.0764826464601933E-2</v>
      </c>
      <c r="AK192" s="108">
        <f t="shared" si="11"/>
        <v>2.2718009269953043E-3</v>
      </c>
      <c r="AL192" s="108">
        <f t="shared" si="12"/>
        <v>7.184052109083372E-2</v>
      </c>
      <c r="AM192" s="108">
        <f t="shared" si="13"/>
        <v>0.12615139427492994</v>
      </c>
      <c r="AN192" s="108">
        <f t="shared" si="14"/>
        <v>0.20376341105890727</v>
      </c>
      <c r="AO192" s="108">
        <f t="shared" si="15"/>
        <v>0.31607699418955781</v>
      </c>
      <c r="AP192" s="108">
        <f t="shared" si="16"/>
        <v>0.4775305824413183</v>
      </c>
    </row>
    <row r="193" spans="1:42">
      <c r="A193" s="171" t="str">
        <f>Master!B112</f>
        <v>Less: Tax paid</v>
      </c>
      <c r="B193" s="180">
        <f>Master!C112</f>
        <v>0</v>
      </c>
      <c r="C193" s="198">
        <f>Master!D112</f>
        <v>-1.2509999999999999</v>
      </c>
      <c r="D193" s="198">
        <f>Master!E112</f>
        <v>-2.9409999999999998</v>
      </c>
      <c r="E193" s="198">
        <f>Master!F112</f>
        <v>-13.396000000000001</v>
      </c>
      <c r="F193" s="198">
        <f>Master!G112</f>
        <v>-14.54</v>
      </c>
      <c r="G193" s="198">
        <f>Master!H112</f>
        <v>-29.146999999999998</v>
      </c>
      <c r="H193" s="198">
        <f>Master!I112</f>
        <v>-51.244999999999997</v>
      </c>
      <c r="I193" s="198">
        <f>Master!J112</f>
        <v>-45.411000000000001</v>
      </c>
      <c r="J193" s="180">
        <f>Master!K112</f>
        <v>-38.628999999999998</v>
      </c>
      <c r="K193" s="180">
        <f>Master!L112</f>
        <v>-44.980206961226379</v>
      </c>
      <c r="L193" s="180">
        <f>Master!M112</f>
        <v>-65.646527322746209</v>
      </c>
      <c r="M193" s="180">
        <f>Master!N112</f>
        <v>-88.114476653310433</v>
      </c>
      <c r="N193" s="180">
        <f>Master!O112</f>
        <v>-106.84398123795764</v>
      </c>
      <c r="O193" s="180">
        <f>Master!P112</f>
        <v>-127.7293323991356</v>
      </c>
      <c r="P193" s="180">
        <f>Master!Q112</f>
        <v>-150.06020705724754</v>
      </c>
      <c r="Q193" s="154"/>
      <c r="R193" s="795" t="s">
        <v>59</v>
      </c>
      <c r="S193" s="797">
        <v>0</v>
      </c>
      <c r="T193" s="807">
        <v>-1.2509999999999999</v>
      </c>
      <c r="U193" s="807">
        <v>-2.9409999999999998</v>
      </c>
      <c r="V193" s="807">
        <v>-13.396000000000001</v>
      </c>
      <c r="W193" s="807">
        <v>-14.54</v>
      </c>
      <c r="X193" s="807">
        <v>-29.146999999999998</v>
      </c>
      <c r="Y193" s="807">
        <v>-51.244999999999997</v>
      </c>
      <c r="Z193" s="797">
        <v>-45.411000000000001</v>
      </c>
      <c r="AA193" s="797">
        <v>0</v>
      </c>
      <c r="AB193" s="797">
        <v>-29.559602350026879</v>
      </c>
      <c r="AC193" s="797">
        <v>-58.249470067970414</v>
      </c>
      <c r="AD193" s="797">
        <v>-81.527380933284448</v>
      </c>
      <c r="AE193" s="797">
        <v>-103.0781396721114</v>
      </c>
      <c r="AF193" s="797">
        <v>-124.60214649734483</v>
      </c>
      <c r="AG193" s="797">
        <v>-146.16306157801128</v>
      </c>
      <c r="AI193" t="str">
        <f t="shared" si="17"/>
        <v>Less: Tax paid</v>
      </c>
      <c r="AJ193" s="108" t="e">
        <f t="shared" si="10"/>
        <v>#DIV/0!</v>
      </c>
      <c r="AK193" s="108">
        <f t="shared" si="11"/>
        <v>0.52167835103456595</v>
      </c>
      <c r="AL193" s="108">
        <f t="shared" si="12"/>
        <v>0.12698926266872945</v>
      </c>
      <c r="AM193" s="108">
        <f t="shared" si="13"/>
        <v>8.0796115913699396E-2</v>
      </c>
      <c r="AN193" s="108">
        <f t="shared" si="14"/>
        <v>3.6533852646402742E-2</v>
      </c>
      <c r="AO193" s="108">
        <f t="shared" si="15"/>
        <v>2.5097367819882699E-2</v>
      </c>
      <c r="AP193" s="108">
        <f t="shared" si="16"/>
        <v>2.6662998415343475E-2</v>
      </c>
    </row>
    <row r="194" spans="1:42">
      <c r="A194" s="171" t="str">
        <f>Master!B113</f>
        <v>Less: Change in WC</v>
      </c>
      <c r="B194" s="180">
        <f>Master!C113</f>
        <v>0</v>
      </c>
      <c r="C194" s="198">
        <f>Master!D113</f>
        <v>-6.5150000000000006</v>
      </c>
      <c r="D194" s="198">
        <f>Master!E113</f>
        <v>-16.7</v>
      </c>
      <c r="E194" s="198">
        <f>Master!F113</f>
        <v>-18</v>
      </c>
      <c r="F194" s="198">
        <f>Master!G113</f>
        <v>-157.76499999999999</v>
      </c>
      <c r="G194" s="198">
        <f>Master!H113</f>
        <v>-69.826999999999998</v>
      </c>
      <c r="H194" s="198">
        <f>Master!I113</f>
        <v>-46.24</v>
      </c>
      <c r="I194" s="198">
        <f>Master!J113</f>
        <v>-224.982</v>
      </c>
      <c r="J194" s="180">
        <f>Master!K113</f>
        <v>-158.667</v>
      </c>
      <c r="K194" s="180">
        <f>Master!L113</f>
        <v>-135.15493423109282</v>
      </c>
      <c r="L194" s="180">
        <f>Master!M113</f>
        <v>-125.57690886901644</v>
      </c>
      <c r="M194" s="180">
        <f>Master!N113</f>
        <v>-104.27030912083694</v>
      </c>
      <c r="N194" s="180">
        <f>Master!O113</f>
        <v>-105.27322557897782</v>
      </c>
      <c r="O194" s="180">
        <f>Master!P113</f>
        <v>-106.39389916131162</v>
      </c>
      <c r="P194" s="180">
        <f>Master!Q113</f>
        <v>-105.7717050242818</v>
      </c>
      <c r="Q194" s="154"/>
      <c r="R194" s="795" t="s">
        <v>60</v>
      </c>
      <c r="S194" s="797">
        <v>0</v>
      </c>
      <c r="T194" s="807">
        <v>-6.5150000000000006</v>
      </c>
      <c r="U194" s="807">
        <v>-16.7</v>
      </c>
      <c r="V194" s="807">
        <v>-18</v>
      </c>
      <c r="W194" s="807">
        <v>-157.76499999999999</v>
      </c>
      <c r="X194" s="807">
        <v>-69.826999999999998</v>
      </c>
      <c r="Y194" s="807">
        <v>-46.24</v>
      </c>
      <c r="Z194" s="797">
        <v>-224.982</v>
      </c>
      <c r="AA194" s="797">
        <v>-55.19230141631094</v>
      </c>
      <c r="AB194" s="797">
        <v>-51.588299113891381</v>
      </c>
      <c r="AC194" s="797">
        <v>-63.215658768182905</v>
      </c>
      <c r="AD194" s="797">
        <v>-72.208344732155837</v>
      </c>
      <c r="AE194" s="797">
        <v>-79.387587870195816</v>
      </c>
      <c r="AF194" s="797">
        <v>-86.140184920374622</v>
      </c>
      <c r="AG194" s="797">
        <v>-92.630056408477273</v>
      </c>
      <c r="AI194" t="str">
        <f t="shared" si="17"/>
        <v>Less: Change in WC</v>
      </c>
      <c r="AJ194" s="108">
        <f t="shared" si="10"/>
        <v>1.8748031143544464</v>
      </c>
      <c r="AK194" s="108">
        <f t="shared" si="11"/>
        <v>1.6198757577316427</v>
      </c>
      <c r="AL194" s="108">
        <f t="shared" si="12"/>
        <v>0.98648422425711702</v>
      </c>
      <c r="AM194" s="108">
        <f t="shared" si="13"/>
        <v>0.44402020995785629</v>
      </c>
      <c r="AN194" s="108">
        <f t="shared" si="14"/>
        <v>0.3260665603180537</v>
      </c>
      <c r="AO194" s="108">
        <f t="shared" si="15"/>
        <v>0.23512503786309402</v>
      </c>
      <c r="AP194" s="108">
        <f t="shared" si="16"/>
        <v>0.1418724021699056</v>
      </c>
    </row>
    <row r="195" spans="1:42">
      <c r="A195" s="171" t="str">
        <f>Master!B114</f>
        <v>Less: Restructuring payments</v>
      </c>
      <c r="B195" s="180">
        <f>Master!C114</f>
        <v>-129.46299999999999</v>
      </c>
      <c r="C195" s="180">
        <f>Master!D114</f>
        <v>-148.19500000000002</v>
      </c>
      <c r="D195" s="180">
        <f>Master!E114</f>
        <v>121.78800000000003</v>
      </c>
      <c r="E195" s="198">
        <f>Master!F114</f>
        <v>0</v>
      </c>
      <c r="F195" s="198">
        <f>Master!G114</f>
        <v>0</v>
      </c>
      <c r="G195" s="198">
        <f>Master!H114</f>
        <v>0</v>
      </c>
      <c r="H195" s="198">
        <f>Master!I114</f>
        <v>0</v>
      </c>
      <c r="I195" s="198">
        <f>Master!J114</f>
        <v>0</v>
      </c>
      <c r="J195" s="193">
        <f>Master!K114</f>
        <v>0</v>
      </c>
      <c r="K195" s="193">
        <f>Master!L114</f>
        <v>0</v>
      </c>
      <c r="L195" s="193">
        <f>Master!M114</f>
        <v>0</v>
      </c>
      <c r="M195" s="193">
        <f>Master!N114</f>
        <v>0</v>
      </c>
      <c r="N195" s="193">
        <f>Master!O114</f>
        <v>0</v>
      </c>
      <c r="O195" s="193">
        <f>Master!P114</f>
        <v>0</v>
      </c>
      <c r="P195" s="193">
        <f>Master!Q114</f>
        <v>0</v>
      </c>
      <c r="Q195" s="154"/>
      <c r="R195" s="795" t="s">
        <v>61</v>
      </c>
      <c r="S195" s="797">
        <v>-129.46299999999999</v>
      </c>
      <c r="T195" s="797">
        <v>-148.19500000000002</v>
      </c>
      <c r="U195" s="797">
        <v>121.78800000000003</v>
      </c>
      <c r="V195" s="807">
        <v>0</v>
      </c>
      <c r="W195" s="807">
        <v>0</v>
      </c>
      <c r="X195" s="807">
        <v>0</v>
      </c>
      <c r="Y195" s="807">
        <v>0</v>
      </c>
      <c r="Z195" s="797">
        <v>0</v>
      </c>
      <c r="AA195" s="797">
        <v>0</v>
      </c>
      <c r="AB195" s="797">
        <v>0</v>
      </c>
      <c r="AC195" s="797">
        <v>0</v>
      </c>
      <c r="AD195" s="797">
        <v>0</v>
      </c>
      <c r="AE195" s="797">
        <v>0</v>
      </c>
      <c r="AF195" s="797">
        <v>0</v>
      </c>
      <c r="AG195" s="797">
        <v>0</v>
      </c>
      <c r="AI195" t="str">
        <f t="shared" si="17"/>
        <v>Less: Restructuring payments</v>
      </c>
      <c r="AJ195" s="108"/>
      <c r="AK195" s="108"/>
      <c r="AL195" s="108"/>
      <c r="AM195" s="108"/>
      <c r="AN195" s="108"/>
      <c r="AO195" s="108"/>
      <c r="AP195" s="108"/>
    </row>
    <row r="196" spans="1:42">
      <c r="A196" s="171" t="str">
        <f>Master!B115</f>
        <v>Less: Lease fee payments</v>
      </c>
      <c r="B196" s="180">
        <f>Master!C115</f>
        <v>0</v>
      </c>
      <c r="C196" s="198">
        <f>Master!D115</f>
        <v>-11.675000000000001</v>
      </c>
      <c r="D196" s="198">
        <f>Master!E115</f>
        <v>-10.422000000000001</v>
      </c>
      <c r="E196" s="198">
        <f>Master!F115</f>
        <v>-58.33</v>
      </c>
      <c r="F196" s="198">
        <f>Master!G115</f>
        <v>-39.152999999999999</v>
      </c>
      <c r="G196" s="198">
        <f>Master!H115</f>
        <v>-63.323999999999998</v>
      </c>
      <c r="H196" s="198">
        <f>Master!I115</f>
        <v>-76.629000000000005</v>
      </c>
      <c r="I196" s="198">
        <f>Master!J115</f>
        <v>-72.853999999999999</v>
      </c>
      <c r="J196" s="193">
        <f>Master!K115</f>
        <v>-55.232999999999997</v>
      </c>
      <c r="K196" s="193">
        <f>Master!L115</f>
        <v>-60.756300000000003</v>
      </c>
      <c r="L196" s="193">
        <f>Master!M115</f>
        <v>-66.831930000000014</v>
      </c>
      <c r="M196" s="193">
        <f>Master!N115</f>
        <v>-73.515123000000017</v>
      </c>
      <c r="N196" s="193">
        <f>Master!O115</f>
        <v>-80.866635300000027</v>
      </c>
      <c r="O196" s="193">
        <f>Master!P115</f>
        <v>-88.953298830000037</v>
      </c>
      <c r="P196" s="193">
        <f>Master!Q115</f>
        <v>-97.848628713000053</v>
      </c>
      <c r="Q196" s="154"/>
      <c r="R196" s="795" t="s">
        <v>211</v>
      </c>
      <c r="S196" s="797">
        <v>0</v>
      </c>
      <c r="T196" s="807">
        <v>-11.675000000000001</v>
      </c>
      <c r="U196" s="807">
        <v>-10.422000000000001</v>
      </c>
      <c r="V196" s="807">
        <v>-58.33</v>
      </c>
      <c r="W196" s="807">
        <v>-39.152999999999999</v>
      </c>
      <c r="X196" s="807">
        <v>-63.323999999999998</v>
      </c>
      <c r="Y196" s="807">
        <v>-76.629000000000005</v>
      </c>
      <c r="Z196" s="797">
        <v>-72.853999999999999</v>
      </c>
      <c r="AA196" s="797">
        <v>-80.139400000000009</v>
      </c>
      <c r="AB196" s="797">
        <v>-88.153340000000014</v>
      </c>
      <c r="AC196" s="797">
        <v>-96.968674000000021</v>
      </c>
      <c r="AD196" s="797">
        <v>-106.66554140000004</v>
      </c>
      <c r="AE196" s="797">
        <v>-117.33209554000005</v>
      </c>
      <c r="AF196" s="797">
        <v>-129.06530509400008</v>
      </c>
      <c r="AG196" s="797">
        <v>-141.97183560340011</v>
      </c>
      <c r="AI196" t="str">
        <f t="shared" si="17"/>
        <v>Less: Lease fee payments</v>
      </c>
      <c r="AJ196" s="108">
        <f t="shared" si="10"/>
        <v>-0.31078845112391673</v>
      </c>
      <c r="AK196" s="108">
        <f t="shared" si="11"/>
        <v>-0.31078845112391662</v>
      </c>
      <c r="AL196" s="108">
        <f t="shared" si="12"/>
        <v>-0.31078845112391662</v>
      </c>
      <c r="AM196" s="108">
        <f t="shared" si="13"/>
        <v>-0.31078845112391662</v>
      </c>
      <c r="AN196" s="108">
        <f t="shared" si="14"/>
        <v>-0.31078845112391662</v>
      </c>
      <c r="AO196" s="108">
        <f t="shared" si="15"/>
        <v>-0.31078845112391673</v>
      </c>
      <c r="AP196" s="108">
        <f t="shared" si="16"/>
        <v>-0.31078845112391673</v>
      </c>
    </row>
    <row r="197" spans="1:42">
      <c r="A197" s="171" t="str">
        <f>Master!B116</f>
        <v>Less: Disposals/acquis.</v>
      </c>
      <c r="B197" s="180">
        <f>Master!C116</f>
        <v>0</v>
      </c>
      <c r="C197" s="180">
        <f>Master!D116</f>
        <v>0</v>
      </c>
      <c r="D197" s="180">
        <f>Master!E116</f>
        <v>0</v>
      </c>
      <c r="E197" s="180">
        <f>Master!F116</f>
        <v>0</v>
      </c>
      <c r="F197" s="198">
        <f>Master!G116</f>
        <v>-540.678</v>
      </c>
      <c r="G197" s="198">
        <f>Master!H116</f>
        <v>-396.29699999999997</v>
      </c>
      <c r="H197" s="198">
        <f>Master!I116</f>
        <v>-733.91399999999999</v>
      </c>
      <c r="I197" s="198">
        <f>Master!J116</f>
        <v>-1.5669999999999997</v>
      </c>
      <c r="J197" s="193">
        <f>Master!K116</f>
        <v>145.666</v>
      </c>
      <c r="K197" s="193">
        <f>Master!L116</f>
        <v>180</v>
      </c>
      <c r="L197" s="193">
        <f>Master!M116</f>
        <v>70</v>
      </c>
      <c r="M197" s="193">
        <f>Master!N116</f>
        <v>24.5</v>
      </c>
      <c r="N197" s="193">
        <f>Master!O116</f>
        <v>0</v>
      </c>
      <c r="O197" s="193">
        <f>Master!P116</f>
        <v>0</v>
      </c>
      <c r="P197" s="193">
        <f>Master!Q116</f>
        <v>0</v>
      </c>
      <c r="Q197" s="154"/>
      <c r="R197" s="795" t="s">
        <v>62</v>
      </c>
      <c r="S197" s="797">
        <v>0</v>
      </c>
      <c r="T197" s="797">
        <v>0</v>
      </c>
      <c r="U197" s="797">
        <v>0</v>
      </c>
      <c r="V197" s="797">
        <v>0</v>
      </c>
      <c r="W197" s="797">
        <v>-540.678</v>
      </c>
      <c r="X197" s="807">
        <v>-396.29699999999997</v>
      </c>
      <c r="Y197" s="807">
        <v>-733.91399999999999</v>
      </c>
      <c r="Z197" s="797">
        <v>-1.5669999999999997</v>
      </c>
      <c r="AA197" s="797">
        <v>6.2005799999999995</v>
      </c>
      <c r="AB197" s="797">
        <v>0</v>
      </c>
      <c r="AC197" s="797">
        <v>0</v>
      </c>
      <c r="AD197" s="797">
        <v>0</v>
      </c>
      <c r="AE197" s="797">
        <v>0</v>
      </c>
      <c r="AF197" s="797">
        <v>0</v>
      </c>
      <c r="AG197" s="797">
        <v>0</v>
      </c>
      <c r="AI197" t="str">
        <f t="shared" si="17"/>
        <v>Less: Disposals/acquis.</v>
      </c>
      <c r="AJ197" s="108"/>
      <c r="AK197" s="108"/>
      <c r="AL197" s="108"/>
      <c r="AM197" s="108"/>
      <c r="AN197" s="108"/>
      <c r="AO197" s="108"/>
      <c r="AP197" s="108"/>
    </row>
    <row r="198" spans="1:42">
      <c r="A198" s="171" t="str">
        <f>Master!B117</f>
        <v>Less: Dividends paid</v>
      </c>
      <c r="B198" s="180">
        <f>Master!C117</f>
        <v>0</v>
      </c>
      <c r="C198" s="180">
        <f>Master!D117</f>
        <v>0</v>
      </c>
      <c r="D198" s="180">
        <f>Master!E117</f>
        <v>0</v>
      </c>
      <c r="E198" s="180">
        <f>Master!F117</f>
        <v>0</v>
      </c>
      <c r="F198" s="180">
        <f>Master!G117</f>
        <v>0</v>
      </c>
      <c r="G198" s="180">
        <f>Master!H117</f>
        <v>0</v>
      </c>
      <c r="H198" s="180">
        <f>Master!I117</f>
        <v>0</v>
      </c>
      <c r="I198" s="180">
        <f>Master!J117</f>
        <v>0</v>
      </c>
      <c r="J198" s="180">
        <f>Master!K117</f>
        <v>0</v>
      </c>
      <c r="K198" s="180">
        <f>Master!L117</f>
        <v>0</v>
      </c>
      <c r="L198" s="180">
        <f>Master!M117</f>
        <v>-57.831694664433911</v>
      </c>
      <c r="M198" s="180">
        <f>Master!N117</f>
        <v>-76.587615209870577</v>
      </c>
      <c r="N198" s="180">
        <f>Master!O117</f>
        <v>-102.80022276219552</v>
      </c>
      <c r="O198" s="180">
        <f>Master!P117</f>
        <v>-124.65131144428392</v>
      </c>
      <c r="P198" s="180">
        <f>Master!Q117</f>
        <v>-149.01755446565821</v>
      </c>
      <c r="Q198" s="154"/>
      <c r="R198" s="795" t="s">
        <v>63</v>
      </c>
      <c r="S198" s="797">
        <v>0</v>
      </c>
      <c r="T198" s="797">
        <v>0</v>
      </c>
      <c r="U198" s="797">
        <v>0</v>
      </c>
      <c r="V198" s="797">
        <v>0</v>
      </c>
      <c r="W198" s="797">
        <v>0</v>
      </c>
      <c r="X198" s="797">
        <v>0</v>
      </c>
      <c r="Y198" s="797">
        <v>0</v>
      </c>
      <c r="Z198" s="797">
        <v>0</v>
      </c>
      <c r="AA198" s="797">
        <v>0</v>
      </c>
      <c r="AB198" s="797">
        <v>0</v>
      </c>
      <c r="AC198" s="797">
        <v>0</v>
      </c>
      <c r="AD198" s="797">
        <v>0</v>
      </c>
      <c r="AE198" s="797">
        <v>0</v>
      </c>
      <c r="AF198" s="797">
        <v>0</v>
      </c>
      <c r="AG198" s="797">
        <v>0</v>
      </c>
      <c r="AI198" t="str">
        <f t="shared" si="17"/>
        <v>Less: Dividends paid</v>
      </c>
      <c r="AJ198" s="108"/>
      <c r="AK198" s="108"/>
      <c r="AL198" s="108"/>
      <c r="AM198" s="108"/>
      <c r="AN198" s="108"/>
      <c r="AO198" s="108"/>
      <c r="AP198" s="108"/>
    </row>
    <row r="199" spans="1:42">
      <c r="A199" s="171" t="str">
        <f>Master!B118</f>
        <v>Less: Share buyback</v>
      </c>
      <c r="B199" s="180">
        <f>Master!C118</f>
        <v>0</v>
      </c>
      <c r="C199" s="180">
        <f>Master!D118</f>
        <v>0</v>
      </c>
      <c r="D199" s="180">
        <f>Master!E118</f>
        <v>0</v>
      </c>
      <c r="E199" s="180">
        <f>Master!F118</f>
        <v>0</v>
      </c>
      <c r="F199" s="180">
        <f>Master!G118</f>
        <v>0</v>
      </c>
      <c r="G199" s="180">
        <f>Master!H118</f>
        <v>0</v>
      </c>
      <c r="H199" s="180">
        <f>Master!I118</f>
        <v>0</v>
      </c>
      <c r="I199" s="198">
        <f>Master!J118</f>
        <v>-10.037000000000001</v>
      </c>
      <c r="J199" s="193">
        <f>Master!K118</f>
        <v>0</v>
      </c>
      <c r="K199" s="193">
        <f>Master!L118</f>
        <v>-40</v>
      </c>
      <c r="L199" s="193">
        <f>Master!M118</f>
        <v>-50</v>
      </c>
      <c r="M199" s="193">
        <f>Master!N118</f>
        <v>-60</v>
      </c>
      <c r="N199" s="193">
        <f>Master!O118</f>
        <v>-70</v>
      </c>
      <c r="O199" s="193">
        <f>Master!P118</f>
        <v>-80</v>
      </c>
      <c r="P199" s="193">
        <f>Master!Q118</f>
        <v>-90</v>
      </c>
      <c r="Q199" s="154"/>
      <c r="R199" s="795" t="s">
        <v>949</v>
      </c>
      <c r="S199" s="797">
        <v>0</v>
      </c>
      <c r="T199" s="797">
        <v>0</v>
      </c>
      <c r="U199" s="797">
        <v>0</v>
      </c>
      <c r="V199" s="797">
        <v>0</v>
      </c>
      <c r="W199" s="797">
        <v>0</v>
      </c>
      <c r="X199" s="797">
        <v>0</v>
      </c>
      <c r="Y199" s="797">
        <v>0</v>
      </c>
      <c r="Z199" s="797">
        <v>-10.037000000000001</v>
      </c>
      <c r="AA199" s="826">
        <v>-20</v>
      </c>
      <c r="AB199" s="826">
        <v>-20</v>
      </c>
      <c r="AC199" s="797">
        <v>0</v>
      </c>
      <c r="AD199" s="797">
        <v>0</v>
      </c>
      <c r="AE199" s="797">
        <v>0</v>
      </c>
      <c r="AF199" s="797">
        <v>0</v>
      </c>
      <c r="AG199" s="797">
        <v>0</v>
      </c>
      <c r="AI199" t="str">
        <f t="shared" si="17"/>
        <v>Less: Share buyback</v>
      </c>
      <c r="AJ199" s="108">
        <f t="shared" si="10"/>
        <v>-1</v>
      </c>
      <c r="AK199" s="108">
        <f t="shared" si="11"/>
        <v>1</v>
      </c>
      <c r="AL199" s="108" t="e">
        <f t="shared" si="12"/>
        <v>#DIV/0!</v>
      </c>
      <c r="AM199" s="108" t="e">
        <f t="shared" si="13"/>
        <v>#DIV/0!</v>
      </c>
      <c r="AN199" s="108" t="e">
        <f t="shared" si="14"/>
        <v>#DIV/0!</v>
      </c>
      <c r="AO199" s="108" t="e">
        <f t="shared" si="15"/>
        <v>#DIV/0!</v>
      </c>
      <c r="AP199" s="108" t="e">
        <f t="shared" si="16"/>
        <v>#DIV/0!</v>
      </c>
    </row>
    <row r="200" spans="1:42">
      <c r="A200" s="171" t="str">
        <f>Master!B119</f>
        <v>Other</v>
      </c>
      <c r="B200" s="227">
        <f>Master!C119</f>
        <v>0</v>
      </c>
      <c r="C200" s="227">
        <f>Master!D119</f>
        <v>1.8190000000000452</v>
      </c>
      <c r="D200" s="227">
        <f>Master!E119</f>
        <v>-84.934000000000054</v>
      </c>
      <c r="E200" s="227">
        <f>Master!F119</f>
        <v>-835.3370000000001</v>
      </c>
      <c r="F200" s="227">
        <f>Master!G119</f>
        <v>-246.77199999999982</v>
      </c>
      <c r="G200" s="227">
        <f>Master!H119</f>
        <v>91.445999999999515</v>
      </c>
      <c r="H200" s="227">
        <f>Master!I119</f>
        <v>-600.96199999999908</v>
      </c>
      <c r="I200" s="227">
        <f>Master!J119</f>
        <v>-242.35600000000093</v>
      </c>
      <c r="J200" s="228">
        <f>Master!K119</f>
        <v>306.35500000000025</v>
      </c>
      <c r="K200" s="228">
        <f>Master!L119</f>
        <v>0</v>
      </c>
      <c r="L200" s="228">
        <f>Master!M119</f>
        <v>0</v>
      </c>
      <c r="M200" s="228">
        <f>Master!N119</f>
        <v>0</v>
      </c>
      <c r="N200" s="228">
        <f>Master!O119</f>
        <v>0</v>
      </c>
      <c r="O200" s="228">
        <f>Master!P119</f>
        <v>0</v>
      </c>
      <c r="P200" s="228">
        <f>Master!Q119</f>
        <v>0</v>
      </c>
      <c r="Q200" s="154"/>
      <c r="R200" s="795" t="s">
        <v>21</v>
      </c>
      <c r="S200" s="825">
        <v>0</v>
      </c>
      <c r="T200" s="825">
        <v>1.8190000000000452</v>
      </c>
      <c r="U200" s="825">
        <v>-84.934000000000054</v>
      </c>
      <c r="V200" s="825">
        <v>-835.3370000000001</v>
      </c>
      <c r="W200" s="825">
        <v>-246.77199999999982</v>
      </c>
      <c r="X200" s="825">
        <v>91.445999999999515</v>
      </c>
      <c r="Y200" s="825">
        <v>-600.96199999999908</v>
      </c>
      <c r="Z200" s="826">
        <v>-242.35600000000093</v>
      </c>
      <c r="AA200" s="826">
        <v>0</v>
      </c>
      <c r="AB200" s="826">
        <v>0</v>
      </c>
      <c r="AC200" s="826">
        <v>0</v>
      </c>
      <c r="AD200" s="826">
        <v>0</v>
      </c>
      <c r="AE200" s="826">
        <v>0</v>
      </c>
      <c r="AF200" s="826">
        <v>0</v>
      </c>
      <c r="AG200" s="826">
        <v>0</v>
      </c>
      <c r="AI200" t="str">
        <f t="shared" si="17"/>
        <v>Other</v>
      </c>
      <c r="AJ200" s="108"/>
      <c r="AK200" s="108"/>
      <c r="AL200" s="108"/>
      <c r="AM200" s="108"/>
      <c r="AN200" s="108"/>
      <c r="AO200" s="108"/>
      <c r="AP200" s="108"/>
    </row>
    <row r="201" spans="1:42" ht="15.75" thickBot="1">
      <c r="A201" s="173" t="str">
        <f>Master!B120</f>
        <v>Change in net debt</v>
      </c>
      <c r="B201" s="229">
        <f>Master!C120</f>
        <v>-189.274</v>
      </c>
      <c r="C201" s="229">
        <f>Master!D120</f>
        <v>-216.74599999999998</v>
      </c>
      <c r="D201" s="229">
        <f>Master!E120</f>
        <v>-62.133000000000038</v>
      </c>
      <c r="E201" s="229">
        <f>Master!F120</f>
        <v>-684.23400000000015</v>
      </c>
      <c r="F201" s="229">
        <f>Master!G120</f>
        <v>-590.9699999999998</v>
      </c>
      <c r="G201" s="229">
        <f>Master!H120</f>
        <v>-136.16300000000047</v>
      </c>
      <c r="H201" s="229">
        <f>Master!I120</f>
        <v>-1367.1789999999992</v>
      </c>
      <c r="I201" s="229">
        <f>Master!J120</f>
        <v>-383.13600000000088</v>
      </c>
      <c r="J201" s="229">
        <f>Master!K120</f>
        <v>496.48100000000022</v>
      </c>
      <c r="K201" s="229">
        <f>Master!L120</f>
        <v>252.45882747123233</v>
      </c>
      <c r="L201" s="229">
        <f>Master!M120</f>
        <v>104.72733851444119</v>
      </c>
      <c r="M201" s="229">
        <f>Master!N120</f>
        <v>98.949365572647423</v>
      </c>
      <c r="N201" s="229">
        <f>Master!O120</f>
        <v>73.008730289477114</v>
      </c>
      <c r="O201" s="229">
        <f>Master!P120</f>
        <v>87.99877678752199</v>
      </c>
      <c r="P201" s="229">
        <f>Master!Q120</f>
        <v>92.585890419718368</v>
      </c>
      <c r="Q201" s="154"/>
      <c r="R201" s="808" t="s">
        <v>55</v>
      </c>
      <c r="S201" s="827">
        <v>-189.274</v>
      </c>
      <c r="T201" s="827">
        <v>-216.74599999999998</v>
      </c>
      <c r="U201" s="827">
        <v>-62.133000000000038</v>
      </c>
      <c r="V201" s="827">
        <v>-684.23400000000015</v>
      </c>
      <c r="W201" s="827">
        <v>-590.9699999999998</v>
      </c>
      <c r="X201" s="827">
        <v>-136.16300000000047</v>
      </c>
      <c r="Y201" s="827">
        <v>-1367.1789999999992</v>
      </c>
      <c r="Z201" s="827">
        <v>-383.13600000000088</v>
      </c>
      <c r="AA201" s="827">
        <v>85.130130011758254</v>
      </c>
      <c r="AB201" s="827">
        <v>168.16554603961521</v>
      </c>
      <c r="AC201" s="827">
        <v>280.9481242654349</v>
      </c>
      <c r="AD201" s="827">
        <v>363.58168863611536</v>
      </c>
      <c r="AE201" s="827">
        <v>473.67969108185514</v>
      </c>
      <c r="AF201" s="827">
        <v>562.41238166301957</v>
      </c>
      <c r="AG201" s="827">
        <v>653.98610872451331</v>
      </c>
      <c r="AI201" t="str">
        <f t="shared" si="17"/>
        <v>Change in net debt</v>
      </c>
      <c r="AJ201" s="108">
        <f t="shared" si="10"/>
        <v>4.8320244539909174</v>
      </c>
      <c r="AK201" s="108">
        <f t="shared" si="11"/>
        <v>0.50125179275283838</v>
      </c>
      <c r="AL201" s="108">
        <f t="shared" si="12"/>
        <v>-0.62723602875705042</v>
      </c>
      <c r="AM201" s="108">
        <f t="shared" si="13"/>
        <v>-0.72784832496974494</v>
      </c>
      <c r="AN201" s="108">
        <f t="shared" si="14"/>
        <v>-0.84586898770616559</v>
      </c>
      <c r="AO201" s="108">
        <f t="shared" si="15"/>
        <v>-0.84353335798313167</v>
      </c>
      <c r="AP201" s="108">
        <f t="shared" si="16"/>
        <v>-0.85842835316442556</v>
      </c>
    </row>
    <row r="202" spans="1:42">
      <c r="A202" s="224" t="str">
        <f>Master!B121</f>
        <v>Net debt (cash)</v>
      </c>
      <c r="B202" s="184">
        <f>Master!C121</f>
        <v>378.45699999999999</v>
      </c>
      <c r="C202" s="184">
        <f>Master!D121</f>
        <v>595.20299999999997</v>
      </c>
      <c r="D202" s="184">
        <f>Master!E121</f>
        <v>657.33600000000001</v>
      </c>
      <c r="E202" s="184">
        <f>Master!F121</f>
        <v>1341.5700000000002</v>
      </c>
      <c r="F202" s="184">
        <f>Master!G121</f>
        <v>1932.54</v>
      </c>
      <c r="G202" s="184">
        <f>Master!H121</f>
        <v>2068.7030000000004</v>
      </c>
      <c r="H202" s="184">
        <f>Master!I121</f>
        <v>3435.8819999999996</v>
      </c>
      <c r="I202" s="184">
        <f>Master!J121</f>
        <v>3819.0180000000005</v>
      </c>
      <c r="J202" s="184">
        <f>Master!K121</f>
        <v>3322.5370000000003</v>
      </c>
      <c r="K202" s="184">
        <f>Master!L121</f>
        <v>3070.0781725287679</v>
      </c>
      <c r="L202" s="184">
        <f>Master!M121</f>
        <v>2965.3508340143267</v>
      </c>
      <c r="M202" s="184">
        <f>Master!N121</f>
        <v>2866.4014684416793</v>
      </c>
      <c r="N202" s="184">
        <f>Master!O121</f>
        <v>2793.3927381522021</v>
      </c>
      <c r="O202" s="184">
        <f>Master!P121</f>
        <v>2705.3939613646803</v>
      </c>
      <c r="P202" s="184">
        <f>Master!Q121</f>
        <v>2612.8080709449619</v>
      </c>
      <c r="Q202" s="154"/>
      <c r="R202" s="828" t="s">
        <v>64</v>
      </c>
      <c r="S202" s="809">
        <v>378.45699999999999</v>
      </c>
      <c r="T202" s="809">
        <v>595.20299999999997</v>
      </c>
      <c r="U202" s="809">
        <v>657.33600000000001</v>
      </c>
      <c r="V202" s="809">
        <v>1341.5700000000002</v>
      </c>
      <c r="W202" s="809">
        <v>1932.54</v>
      </c>
      <c r="X202" s="809">
        <v>2068.7030000000004</v>
      </c>
      <c r="Y202" s="809">
        <v>3435.8819999999996</v>
      </c>
      <c r="Z202" s="809">
        <v>3819.0180000000005</v>
      </c>
      <c r="AA202" s="809">
        <v>3733.8878699882421</v>
      </c>
      <c r="AB202" s="809">
        <v>3565.722323948627</v>
      </c>
      <c r="AC202" s="809">
        <v>3284.7741996831919</v>
      </c>
      <c r="AD202" s="809">
        <v>2921.1925110470766</v>
      </c>
      <c r="AE202" s="809">
        <v>2447.5128199652213</v>
      </c>
      <c r="AF202" s="809">
        <v>1885.1004383022018</v>
      </c>
      <c r="AG202" s="809">
        <v>1231.1143295776885</v>
      </c>
      <c r="AI202" t="str">
        <f t="shared" si="17"/>
        <v>Net debt (cash)</v>
      </c>
      <c r="AJ202" s="108">
        <f t="shared" si="10"/>
        <v>-0.1101669049289199</v>
      </c>
      <c r="AK202" s="108">
        <f t="shared" si="11"/>
        <v>-0.13900245346950912</v>
      </c>
      <c r="AL202" s="108">
        <f t="shared" si="12"/>
        <v>-9.724362962290467E-2</v>
      </c>
      <c r="AM202" s="108">
        <f t="shared" si="13"/>
        <v>-1.8756395683678484E-2</v>
      </c>
      <c r="AN202" s="108">
        <f t="shared" si="14"/>
        <v>0.14131894034038028</v>
      </c>
      <c r="AO202" s="108">
        <f t="shared" si="15"/>
        <v>0.43514579191402025</v>
      </c>
      <c r="AP202" s="108">
        <f t="shared" si="16"/>
        <v>1.1223114768237963</v>
      </c>
    </row>
    <row r="203" spans="1:42">
      <c r="A203" s="171" t="str">
        <f>Master!B122</f>
        <v>Difference</v>
      </c>
      <c r="B203" s="190">
        <f>Master!C122</f>
        <v>0</v>
      </c>
      <c r="C203" s="190">
        <f>Master!D122</f>
        <v>0</v>
      </c>
      <c r="D203" s="190">
        <f>Master!E122</f>
        <v>0</v>
      </c>
      <c r="E203" s="190">
        <f>Master!F122</f>
        <v>0</v>
      </c>
      <c r="F203" s="190">
        <f>Master!G122</f>
        <v>0</v>
      </c>
      <c r="G203" s="190">
        <f>Master!H122</f>
        <v>0</v>
      </c>
      <c r="H203" s="190">
        <f>Master!I122</f>
        <v>0</v>
      </c>
      <c r="I203" s="190">
        <f>Master!J122</f>
        <v>0</v>
      </c>
      <c r="J203" s="190">
        <f>Master!K122</f>
        <v>0</v>
      </c>
      <c r="K203" s="190">
        <f>Master!L122</f>
        <v>0</v>
      </c>
      <c r="L203" s="190">
        <f>Master!M122</f>
        <v>0</v>
      </c>
      <c r="M203" s="190">
        <f>Master!N122</f>
        <v>0</v>
      </c>
      <c r="N203" s="190">
        <f>Master!O122</f>
        <v>0</v>
      </c>
      <c r="O203" s="190">
        <f>Master!P122</f>
        <v>0</v>
      </c>
      <c r="P203" s="190">
        <f>Master!Q122</f>
        <v>0</v>
      </c>
      <c r="Q203" s="154"/>
      <c r="R203" s="795" t="s">
        <v>65</v>
      </c>
      <c r="S203" s="802">
        <v>0</v>
      </c>
      <c r="T203" s="802">
        <v>0</v>
      </c>
      <c r="U203" s="802">
        <v>0</v>
      </c>
      <c r="V203" s="802">
        <v>0</v>
      </c>
      <c r="W203" s="802">
        <v>0</v>
      </c>
      <c r="X203" s="802">
        <v>0</v>
      </c>
      <c r="Y203" s="802">
        <v>0</v>
      </c>
      <c r="Z203" s="802">
        <v>0</v>
      </c>
      <c r="AA203" s="802">
        <v>0</v>
      </c>
      <c r="AB203" s="802">
        <v>0</v>
      </c>
      <c r="AC203" s="802">
        <v>0</v>
      </c>
      <c r="AD203" s="802">
        <v>0</v>
      </c>
      <c r="AE203" s="802">
        <v>0</v>
      </c>
      <c r="AF203" s="802">
        <v>0</v>
      </c>
      <c r="AG203" s="802">
        <v>0</v>
      </c>
      <c r="AJ203" s="108"/>
      <c r="AK203" s="108"/>
      <c r="AL203" s="108"/>
      <c r="AM203" s="108"/>
      <c r="AN203" s="108"/>
      <c r="AO203" s="108"/>
      <c r="AP203" s="108"/>
    </row>
    <row r="204" spans="1:42">
      <c r="A204" s="173">
        <f>Master!B123</f>
        <v>0</v>
      </c>
      <c r="B204" s="190">
        <f>Master!C123</f>
        <v>0</v>
      </c>
      <c r="C204" s="190">
        <f>Master!D123</f>
        <v>0</v>
      </c>
      <c r="D204" s="190">
        <f>Master!E123</f>
        <v>0</v>
      </c>
      <c r="E204" s="190">
        <f>Master!F123</f>
        <v>0</v>
      </c>
      <c r="F204" s="190">
        <f>Master!G123</f>
        <v>0</v>
      </c>
      <c r="G204" s="190">
        <f>Master!H123</f>
        <v>0</v>
      </c>
      <c r="H204" s="190">
        <f>Master!I123</f>
        <v>0</v>
      </c>
      <c r="I204" s="190">
        <f>Master!J123</f>
        <v>0</v>
      </c>
      <c r="J204" s="190">
        <f>Master!K123</f>
        <v>0</v>
      </c>
      <c r="K204" s="190">
        <f>Master!L123</f>
        <v>0</v>
      </c>
      <c r="L204" s="190">
        <f>Master!M123</f>
        <v>0</v>
      </c>
      <c r="M204" s="190">
        <f>Master!N123</f>
        <v>0</v>
      </c>
      <c r="N204" s="190">
        <f>Master!O123</f>
        <v>0</v>
      </c>
      <c r="O204" s="190">
        <f>Master!P123</f>
        <v>0</v>
      </c>
      <c r="P204" s="190">
        <f>Master!Q123</f>
        <v>0</v>
      </c>
      <c r="Q204" s="154"/>
      <c r="R204" s="808">
        <v>0</v>
      </c>
      <c r="S204" s="802">
        <v>0</v>
      </c>
      <c r="T204" s="802">
        <v>0</v>
      </c>
      <c r="U204" s="802">
        <v>0</v>
      </c>
      <c r="V204" s="802">
        <v>0</v>
      </c>
      <c r="W204" s="802">
        <v>0</v>
      </c>
      <c r="X204" s="802">
        <v>0</v>
      </c>
      <c r="Y204" s="802">
        <v>0</v>
      </c>
      <c r="Z204" s="802">
        <v>0</v>
      </c>
      <c r="AA204" s="802">
        <v>0</v>
      </c>
      <c r="AB204" s="802">
        <v>0</v>
      </c>
      <c r="AC204" s="802">
        <v>0</v>
      </c>
      <c r="AD204" s="802">
        <v>0</v>
      </c>
      <c r="AE204" s="802">
        <v>0</v>
      </c>
      <c r="AF204" s="802">
        <v>0</v>
      </c>
      <c r="AG204" s="802">
        <v>0</v>
      </c>
      <c r="AJ204" s="108"/>
      <c r="AK204" s="108"/>
      <c r="AL204" s="108"/>
      <c r="AM204" s="108"/>
      <c r="AN204" s="108"/>
      <c r="AO204" s="108"/>
      <c r="AP204" s="108"/>
    </row>
    <row r="205" spans="1:42">
      <c r="A205" s="173" t="str">
        <f>Master!B124</f>
        <v>Net Debt/EBITDA</v>
      </c>
      <c r="B205" s="230">
        <f>Master!C124</f>
        <v>4.4778272084053103</v>
      </c>
      <c r="C205" s="230">
        <f>Master!D124</f>
        <v>4.0767328767123283</v>
      </c>
      <c r="D205" s="230">
        <f>Master!E124</f>
        <v>3.7012162162162165</v>
      </c>
      <c r="E205" s="230">
        <f>Master!F124</f>
        <v>2.0064940309356376</v>
      </c>
      <c r="F205" s="230">
        <f>Master!G124</f>
        <v>2.3595933647043883</v>
      </c>
      <c r="G205" s="230">
        <f>Master!H124</f>
        <v>2.2330655572778819</v>
      </c>
      <c r="H205" s="230">
        <f>Master!I124</f>
        <v>3.3313250325290431</v>
      </c>
      <c r="I205" s="230">
        <f>Master!J124</f>
        <v>3.3720971095816026</v>
      </c>
      <c r="J205" s="230">
        <f>Master!K124</f>
        <v>3.578954795261291</v>
      </c>
      <c r="K205" s="230">
        <f>Master!L124</f>
        <v>3.0742022240562159</v>
      </c>
      <c r="L205" s="230">
        <f>Master!M124</f>
        <v>2.8206612176558945</v>
      </c>
      <c r="M205" s="230">
        <f>Master!N124</f>
        <v>2.5212715669348409</v>
      </c>
      <c r="N205" s="230">
        <f>Master!O124</f>
        <v>2.2977410591284824</v>
      </c>
      <c r="O205" s="230">
        <f>Master!P124</f>
        <v>2.0812049446036269</v>
      </c>
      <c r="P205" s="230">
        <f>Master!Q124</f>
        <v>1.8831881043080376</v>
      </c>
      <c r="Q205" s="154"/>
      <c r="R205" s="808" t="s">
        <v>66</v>
      </c>
      <c r="S205" s="829">
        <v>4.4778272084053103</v>
      </c>
      <c r="T205" s="829">
        <v>4.0767328767123283</v>
      </c>
      <c r="U205" s="829">
        <v>3.7012162162162165</v>
      </c>
      <c r="V205" s="829">
        <v>2.0064940309356376</v>
      </c>
      <c r="W205" s="829">
        <v>2.3595933647043883</v>
      </c>
      <c r="X205" s="829">
        <v>2.2330655572778819</v>
      </c>
      <c r="Y205" s="829">
        <v>3.3313250325290431</v>
      </c>
      <c r="Z205" s="829">
        <v>3.3720971095816026</v>
      </c>
      <c r="AA205" s="829">
        <v>3.7467304214704273</v>
      </c>
      <c r="AB205" s="829">
        <v>3.2515940826811955</v>
      </c>
      <c r="AC205" s="829">
        <v>2.6794943789293266</v>
      </c>
      <c r="AD205" s="829">
        <v>2.1745231102282783</v>
      </c>
      <c r="AE205" s="829">
        <v>1.690448956550554</v>
      </c>
      <c r="AF205" s="829">
        <v>1.2201867531786925</v>
      </c>
      <c r="AG205" s="829">
        <v>0.75213506174614508</v>
      </c>
      <c r="AI205" t="str">
        <f t="shared" si="17"/>
        <v>Net Debt/EBITDA</v>
      </c>
      <c r="AJ205" s="108">
        <f t="shared" si="10"/>
        <v>-4.4779209426893285E-2</v>
      </c>
      <c r="AK205" s="108">
        <f t="shared" si="11"/>
        <v>-5.4555351656534579E-2</v>
      </c>
      <c r="AL205" s="108">
        <f t="shared" si="12"/>
        <v>5.2684133184476067E-2</v>
      </c>
      <c r="AM205" s="108">
        <f t="shared" si="13"/>
        <v>0.15945954084165215</v>
      </c>
      <c r="AN205" s="108">
        <f t="shared" si="14"/>
        <v>0.3592490031861939</v>
      </c>
      <c r="AO205" s="108">
        <f t="shared" si="15"/>
        <v>0.70564459840422566</v>
      </c>
      <c r="AP205" s="108">
        <f t="shared" si="16"/>
        <v>1.5037898112821084</v>
      </c>
    </row>
    <row r="206" spans="1:42">
      <c r="A206" s="530" t="str">
        <f>Master!B125</f>
        <v>Guidance</v>
      </c>
      <c r="B206" s="530">
        <f>Master!C125</f>
        <v>0</v>
      </c>
      <c r="C206" s="530">
        <f>Master!D125</f>
        <v>0</v>
      </c>
      <c r="D206" s="530">
        <f>Master!E125</f>
        <v>0</v>
      </c>
      <c r="E206" s="530">
        <f>Master!F125</f>
        <v>0</v>
      </c>
      <c r="F206" s="530">
        <f>Master!G125</f>
        <v>0</v>
      </c>
      <c r="G206" s="531">
        <f>Master!H125</f>
        <v>0</v>
      </c>
      <c r="H206" s="531">
        <f>Master!I125</f>
        <v>0</v>
      </c>
      <c r="I206" s="531">
        <f>Master!J125</f>
        <v>0</v>
      </c>
      <c r="J206" s="562">
        <f>Master!K125</f>
        <v>0</v>
      </c>
      <c r="K206" s="562" t="str">
        <f>Master!L125</f>
        <v>3x-4x</v>
      </c>
      <c r="L206" s="531">
        <f>Master!M125</f>
        <v>0</v>
      </c>
      <c r="M206" s="190">
        <f>Master!N125</f>
        <v>0</v>
      </c>
      <c r="N206" s="190">
        <f>Master!O125</f>
        <v>0</v>
      </c>
      <c r="O206" s="190">
        <f>Master!P125</f>
        <v>0</v>
      </c>
      <c r="P206" s="190">
        <f>Master!Q125</f>
        <v>0</v>
      </c>
      <c r="Q206" s="154"/>
      <c r="AJ206" s="108"/>
      <c r="AK206" s="108"/>
      <c r="AL206" s="108"/>
      <c r="AM206" s="108"/>
      <c r="AN206" s="108"/>
      <c r="AO206" s="108"/>
      <c r="AP206" s="108"/>
    </row>
    <row r="207" spans="1:42">
      <c r="A207" s="154"/>
      <c r="B207" s="154"/>
      <c r="C207" s="154"/>
      <c r="D207" s="154"/>
      <c r="E207" s="154"/>
      <c r="F207" s="154"/>
      <c r="G207" s="154"/>
      <c r="H207" s="154"/>
      <c r="I207" s="154"/>
      <c r="J207" s="154"/>
      <c r="K207" s="154"/>
      <c r="L207" s="154"/>
      <c r="M207" s="154"/>
      <c r="N207" s="154"/>
      <c r="O207" s="154"/>
      <c r="P207" s="154"/>
      <c r="Q207" s="154"/>
    </row>
    <row r="208" spans="1:42">
      <c r="A208" s="154"/>
      <c r="B208" s="154"/>
      <c r="C208" s="154"/>
      <c r="D208" s="154"/>
      <c r="E208" s="154"/>
      <c r="F208" s="154"/>
      <c r="G208" s="154"/>
      <c r="H208" s="154"/>
      <c r="I208" s="154"/>
      <c r="J208" s="154"/>
      <c r="K208" s="154"/>
      <c r="L208" s="154"/>
      <c r="M208" s="154"/>
      <c r="N208" s="154"/>
      <c r="O208" s="154"/>
      <c r="P208" s="154"/>
      <c r="Q208" s="154"/>
    </row>
    <row r="209" spans="1:17">
      <c r="A209" s="154"/>
      <c r="B209" s="154"/>
      <c r="C209" s="154"/>
      <c r="D209" s="154"/>
      <c r="E209" s="154"/>
      <c r="F209" s="154"/>
      <c r="G209" s="154"/>
      <c r="H209" s="154"/>
      <c r="I209" s="154"/>
      <c r="J209" s="154"/>
      <c r="K209" s="154"/>
      <c r="L209" s="154"/>
      <c r="M209" s="154"/>
      <c r="N209" s="154"/>
      <c r="O209" s="154"/>
      <c r="P209" s="154"/>
      <c r="Q209" s="154"/>
    </row>
    <row r="210" spans="1:17">
      <c r="A210" s="154"/>
      <c r="B210" s="154"/>
      <c r="C210" s="154"/>
      <c r="D210" s="154"/>
      <c r="E210" s="154"/>
      <c r="F210" s="154"/>
      <c r="G210" s="154"/>
      <c r="H210" s="154"/>
      <c r="I210" s="154"/>
      <c r="J210" s="154"/>
      <c r="K210" s="154"/>
      <c r="L210" s="154"/>
      <c r="M210" s="154"/>
      <c r="N210" s="154"/>
      <c r="O210" s="154"/>
      <c r="P210" s="154"/>
      <c r="Q210" s="154"/>
    </row>
    <row r="211" spans="1:17">
      <c r="A211" s="154"/>
      <c r="B211" s="154"/>
      <c r="C211" s="154"/>
      <c r="D211" s="154"/>
      <c r="E211" s="154"/>
      <c r="F211" s="154"/>
      <c r="G211" s="154"/>
      <c r="H211" s="154"/>
      <c r="I211" s="154"/>
      <c r="J211" s="154"/>
      <c r="K211" s="154"/>
      <c r="L211" s="154"/>
      <c r="M211" s="154"/>
      <c r="N211" s="154"/>
      <c r="O211" s="154"/>
      <c r="P211" s="154"/>
      <c r="Q211" s="154"/>
    </row>
    <row r="212" spans="1:17">
      <c r="A212" s="154"/>
      <c r="B212" s="154"/>
      <c r="C212" s="154"/>
      <c r="D212" s="154"/>
      <c r="E212" s="154"/>
      <c r="F212" s="154"/>
      <c r="G212" s="154"/>
      <c r="H212" s="154"/>
      <c r="I212" s="154"/>
      <c r="J212" s="154"/>
      <c r="K212" s="154"/>
      <c r="L212" s="154"/>
      <c r="M212" s="154"/>
      <c r="N212" s="154"/>
      <c r="O212" s="154"/>
      <c r="P212" s="154"/>
      <c r="Q212" s="153"/>
    </row>
    <row r="213" spans="1:17">
      <c r="A213" s="154"/>
      <c r="B213" s="154"/>
      <c r="C213" s="154"/>
      <c r="D213" s="154"/>
      <c r="E213" s="154"/>
      <c r="F213" s="154"/>
      <c r="G213" s="154"/>
      <c r="H213" s="154"/>
      <c r="I213" s="154"/>
      <c r="J213" s="154"/>
      <c r="K213" s="154"/>
      <c r="L213" s="154"/>
      <c r="M213" s="154"/>
      <c r="N213" s="154"/>
      <c r="O213" s="154"/>
      <c r="P213" s="154"/>
      <c r="Q213" s="153"/>
    </row>
    <row r="214" spans="1:17">
      <c r="A214" s="153"/>
      <c r="B214" s="153"/>
      <c r="C214" s="153"/>
      <c r="D214" s="153"/>
      <c r="E214" s="153"/>
      <c r="F214" s="153"/>
      <c r="G214" s="153"/>
      <c r="H214" s="153"/>
      <c r="I214" s="153"/>
      <c r="J214" s="153"/>
      <c r="K214" s="153"/>
      <c r="O214" s="153"/>
      <c r="P214" s="153"/>
      <c r="Q214" s="153"/>
    </row>
    <row r="215" spans="1:17">
      <c r="H215" s="153"/>
      <c r="I215" s="153"/>
      <c r="J215" s="153"/>
      <c r="K215" s="153"/>
      <c r="L215" s="153"/>
      <c r="M215" s="153"/>
      <c r="N215" s="153"/>
      <c r="O215" s="153"/>
      <c r="P215" s="153"/>
      <c r="Q215" s="153"/>
    </row>
    <row r="216" spans="1:17">
      <c r="H216" s="153"/>
      <c r="I216" s="153"/>
      <c r="J216" s="153"/>
      <c r="K216" s="153"/>
      <c r="L216" s="153"/>
      <c r="M216" s="153"/>
      <c r="N216" s="153"/>
      <c r="O216" s="153"/>
      <c r="P216" s="153"/>
      <c r="Q216" s="153"/>
    </row>
    <row r="217" spans="1:17">
      <c r="H217" s="153"/>
      <c r="I217" s="153"/>
      <c r="J217" s="153"/>
      <c r="K217" s="153"/>
      <c r="L217" s="153"/>
      <c r="M217" s="153"/>
      <c r="N217" s="153"/>
      <c r="O217" s="153"/>
      <c r="P217" s="153"/>
      <c r="Q217" s="153"/>
    </row>
    <row r="218" spans="1:17">
      <c r="H218" s="153"/>
      <c r="I218" s="153"/>
      <c r="J218" s="153"/>
      <c r="K218" s="153"/>
      <c r="L218" s="153"/>
      <c r="M218" s="153"/>
      <c r="N218" s="153"/>
      <c r="O218" s="153"/>
      <c r="P218" s="153"/>
      <c r="Q218" s="153"/>
    </row>
    <row r="219" spans="1:17">
      <c r="H219" s="153"/>
      <c r="I219" s="153"/>
      <c r="J219" s="153"/>
      <c r="K219" s="153"/>
      <c r="L219" s="153"/>
      <c r="M219" s="153"/>
      <c r="N219" s="153"/>
      <c r="O219" s="153"/>
      <c r="P219" s="153"/>
      <c r="Q219" s="153"/>
    </row>
    <row r="220" spans="1:17">
      <c r="H220" s="153"/>
      <c r="I220" s="153"/>
      <c r="J220" s="153"/>
      <c r="K220" s="153"/>
      <c r="L220" s="153"/>
      <c r="M220" s="153"/>
      <c r="N220" s="153"/>
      <c r="O220" s="153"/>
      <c r="P220" s="153"/>
      <c r="Q220" s="153"/>
    </row>
    <row r="221" spans="1:17">
      <c r="A221" s="153"/>
      <c r="B221" s="153"/>
      <c r="C221" s="153"/>
      <c r="D221" s="153"/>
      <c r="E221" s="153"/>
      <c r="F221" s="153"/>
      <c r="G221" s="153"/>
      <c r="H221" s="153"/>
      <c r="I221" s="153"/>
      <c r="J221" s="153"/>
      <c r="K221" s="153"/>
      <c r="L221" s="153"/>
      <c r="M221" s="153"/>
      <c r="N221" s="153"/>
      <c r="O221" s="153"/>
      <c r="P221" s="153"/>
      <c r="Q221" s="153"/>
    </row>
    <row r="222" spans="1:17">
      <c r="A222" s="153"/>
      <c r="B222" s="153"/>
      <c r="C222" s="153"/>
      <c r="D222" s="153"/>
      <c r="E222" s="153"/>
      <c r="F222" s="153"/>
      <c r="G222" s="153"/>
      <c r="H222" s="153"/>
      <c r="I222" s="153"/>
      <c r="J222" s="153"/>
      <c r="K222" s="153"/>
      <c r="L222" s="153"/>
      <c r="M222" s="153"/>
      <c r="N222" s="153"/>
      <c r="O222" s="153"/>
      <c r="P222" s="153"/>
      <c r="Q222" s="153"/>
    </row>
    <row r="223" spans="1:17">
      <c r="A223" s="153"/>
      <c r="B223" s="153"/>
      <c r="C223" s="153"/>
      <c r="D223" s="153"/>
      <c r="E223" s="153"/>
      <c r="F223" s="153"/>
      <c r="G223" s="153"/>
      <c r="H223" s="153"/>
      <c r="I223" s="153"/>
      <c r="J223" s="153"/>
      <c r="K223" s="153"/>
      <c r="L223" s="153"/>
      <c r="M223" s="153"/>
      <c r="N223" s="153"/>
      <c r="O223" s="153"/>
      <c r="P223" s="153"/>
      <c r="Q223" s="153"/>
    </row>
    <row r="224" spans="1:17">
      <c r="A224" s="153"/>
      <c r="B224" s="153"/>
      <c r="C224" s="153"/>
      <c r="D224" s="153"/>
      <c r="E224" s="153"/>
      <c r="F224" s="153"/>
      <c r="G224" s="153"/>
      <c r="H224" s="153"/>
      <c r="I224" s="153"/>
      <c r="J224" s="153"/>
      <c r="K224" s="153"/>
      <c r="L224" s="153"/>
      <c r="M224" s="153"/>
      <c r="N224" s="153"/>
      <c r="O224" s="153"/>
      <c r="P224" s="153"/>
      <c r="Q224" s="153"/>
    </row>
    <row r="225" spans="1:17">
      <c r="A225" s="153"/>
      <c r="B225" s="153"/>
      <c r="C225" s="153"/>
      <c r="D225" s="153"/>
      <c r="E225" s="153"/>
      <c r="F225" s="153"/>
      <c r="G225" s="153"/>
      <c r="H225" s="153"/>
      <c r="I225" s="153"/>
      <c r="J225" s="153"/>
      <c r="K225" s="153"/>
      <c r="L225" s="153"/>
      <c r="M225" s="153"/>
      <c r="N225" s="153"/>
      <c r="O225" s="153"/>
      <c r="P225" s="153"/>
      <c r="Q225" s="153"/>
    </row>
    <row r="226" spans="1:17">
      <c r="A226" s="153"/>
      <c r="B226" s="153"/>
      <c r="C226" s="153"/>
      <c r="D226" s="153"/>
      <c r="E226" s="153"/>
      <c r="F226" s="153"/>
      <c r="G226" s="153"/>
      <c r="H226" s="153"/>
      <c r="I226" s="153"/>
      <c r="J226" s="153"/>
      <c r="K226" s="153"/>
      <c r="L226" s="153"/>
      <c r="M226" s="153"/>
      <c r="N226" s="153"/>
      <c r="O226" s="153"/>
      <c r="P226" s="153"/>
      <c r="Q226" s="153"/>
    </row>
    <row r="227" spans="1:17">
      <c r="A227" s="153"/>
      <c r="B227" s="153"/>
      <c r="C227" s="153"/>
      <c r="D227" s="153"/>
      <c r="E227" s="153"/>
      <c r="F227" s="153"/>
      <c r="G227" s="153"/>
      <c r="H227" s="153"/>
      <c r="I227" s="153"/>
      <c r="J227" s="153"/>
      <c r="K227" s="153"/>
      <c r="L227" s="153"/>
      <c r="M227" s="153"/>
      <c r="N227" s="153"/>
      <c r="O227" s="153"/>
      <c r="P227" s="153"/>
      <c r="Q227" s="153"/>
    </row>
    <row r="228" spans="1:17">
      <c r="A228" s="153"/>
      <c r="B228" s="153"/>
      <c r="C228" s="153"/>
      <c r="D228" s="153"/>
      <c r="E228" s="153"/>
      <c r="F228" s="153"/>
      <c r="G228" s="153"/>
      <c r="H228" s="153"/>
      <c r="I228" s="153"/>
      <c r="J228" s="153"/>
      <c r="K228" s="153"/>
      <c r="L228" s="153"/>
      <c r="M228" s="153"/>
      <c r="N228" s="153"/>
      <c r="O228" s="153"/>
      <c r="P228" s="153"/>
      <c r="Q228" s="153"/>
    </row>
    <row r="229" spans="1:17">
      <c r="A229" s="153"/>
      <c r="B229" s="153"/>
      <c r="C229" s="153"/>
      <c r="D229" s="153"/>
      <c r="E229" s="153"/>
      <c r="F229" s="153"/>
      <c r="G229" s="153"/>
      <c r="H229" s="153"/>
      <c r="I229" s="153"/>
      <c r="J229" s="153"/>
      <c r="K229" s="153"/>
      <c r="L229" s="153"/>
      <c r="M229" s="153"/>
      <c r="N229" s="153"/>
      <c r="O229" s="153"/>
      <c r="P229" s="153"/>
      <c r="Q229" s="153"/>
    </row>
    <row r="230" spans="1:17">
      <c r="A230" s="153"/>
      <c r="B230" s="153"/>
      <c r="C230" s="153"/>
      <c r="D230" s="153"/>
      <c r="E230" s="153"/>
      <c r="F230" s="153"/>
      <c r="G230" s="153"/>
      <c r="H230" s="153"/>
      <c r="I230" s="153"/>
      <c r="J230" s="153"/>
      <c r="K230" s="153"/>
      <c r="L230" s="153"/>
      <c r="M230" s="153"/>
      <c r="N230" s="153"/>
      <c r="O230" s="153"/>
      <c r="P230" s="153"/>
      <c r="Q230" s="153"/>
    </row>
    <row r="231" spans="1:17">
      <c r="A231" s="153"/>
      <c r="B231" s="153"/>
      <c r="C231" s="153"/>
      <c r="D231" s="153"/>
      <c r="E231" s="153"/>
      <c r="F231" s="153"/>
      <c r="G231" s="153"/>
      <c r="H231" s="153"/>
      <c r="I231" s="153"/>
      <c r="J231" s="153"/>
      <c r="K231" s="153"/>
      <c r="L231" s="153"/>
      <c r="M231" s="153"/>
      <c r="N231" s="153"/>
      <c r="O231" s="153"/>
      <c r="P231" s="153"/>
      <c r="Q231" s="153"/>
    </row>
    <row r="232" spans="1:17">
      <c r="A232" s="153"/>
      <c r="B232" s="153"/>
      <c r="C232" s="153"/>
      <c r="D232" s="153"/>
      <c r="E232" s="153"/>
      <c r="F232" s="153"/>
      <c r="G232" s="153"/>
      <c r="H232" s="153"/>
      <c r="I232" s="153"/>
      <c r="J232" s="153"/>
      <c r="K232" s="153"/>
      <c r="L232" s="153"/>
      <c r="M232" s="153"/>
      <c r="N232" s="153"/>
      <c r="O232" s="153"/>
      <c r="P232" s="153"/>
      <c r="Q232" s="153"/>
    </row>
    <row r="233" spans="1:17">
      <c r="A233" s="153"/>
      <c r="B233" s="153"/>
      <c r="C233" s="153"/>
      <c r="D233" s="153"/>
      <c r="E233" s="153"/>
      <c r="F233" s="153"/>
      <c r="G233" s="153"/>
      <c r="H233" s="153"/>
      <c r="I233" s="153"/>
      <c r="J233" s="153"/>
      <c r="K233" s="153"/>
      <c r="L233" s="153"/>
      <c r="M233" s="153"/>
      <c r="N233" s="153"/>
      <c r="O233" s="153"/>
      <c r="P233" s="153"/>
      <c r="Q233" s="153"/>
    </row>
    <row r="234" spans="1:17">
      <c r="A234" s="153"/>
      <c r="B234" s="153"/>
      <c r="C234" s="153"/>
      <c r="D234" s="153"/>
      <c r="E234" s="153"/>
      <c r="F234" s="153"/>
      <c r="G234" s="153"/>
      <c r="H234" s="153"/>
      <c r="I234" s="153"/>
      <c r="J234" s="153"/>
      <c r="K234" s="153"/>
      <c r="L234" s="153"/>
      <c r="M234" s="153"/>
      <c r="N234" s="153"/>
      <c r="O234" s="153"/>
      <c r="P234" s="153"/>
      <c r="Q234" s="153"/>
    </row>
    <row r="235" spans="1:17">
      <c r="A235" s="153"/>
      <c r="B235" s="153"/>
      <c r="C235" s="153"/>
      <c r="D235" s="153"/>
      <c r="E235" s="153"/>
      <c r="F235" s="153"/>
      <c r="G235" s="153"/>
      <c r="H235" s="153"/>
      <c r="I235" s="153"/>
      <c r="J235" s="153"/>
      <c r="K235" s="153"/>
      <c r="L235" s="153"/>
      <c r="M235" s="153"/>
      <c r="N235" s="153"/>
      <c r="O235" s="153"/>
      <c r="P235" s="153"/>
      <c r="Q235" s="153"/>
    </row>
    <row r="236" spans="1:17">
      <c r="A236" s="153"/>
      <c r="B236" s="153"/>
      <c r="C236" s="153"/>
      <c r="D236" s="153"/>
      <c r="E236" s="153"/>
      <c r="F236" s="153"/>
      <c r="G236" s="153"/>
      <c r="H236" s="153"/>
      <c r="I236" s="153"/>
      <c r="J236" s="153"/>
      <c r="K236" s="153"/>
      <c r="L236" s="153"/>
      <c r="M236" s="153"/>
      <c r="N236" s="153"/>
      <c r="O236" s="153"/>
      <c r="P236" s="153"/>
      <c r="Q236" s="153"/>
    </row>
    <row r="237" spans="1:17">
      <c r="A237" s="153"/>
      <c r="B237" s="153"/>
      <c r="C237" s="153"/>
      <c r="D237" s="153"/>
      <c r="E237" s="153"/>
      <c r="F237" s="153"/>
      <c r="G237" s="153"/>
      <c r="H237" s="153"/>
      <c r="I237" s="153"/>
      <c r="J237" s="153"/>
      <c r="K237" s="153"/>
      <c r="L237" s="153"/>
      <c r="M237" s="153"/>
      <c r="N237" s="153"/>
      <c r="O237" s="153"/>
      <c r="P237" s="153"/>
      <c r="Q237" s="153"/>
    </row>
    <row r="238" spans="1:17">
      <c r="A238" s="153"/>
      <c r="B238" s="153"/>
      <c r="C238" s="153"/>
      <c r="D238" s="153"/>
      <c r="E238" s="153"/>
      <c r="F238" s="153"/>
      <c r="G238" s="153"/>
      <c r="H238" s="153"/>
      <c r="I238" s="153"/>
      <c r="J238" s="153"/>
      <c r="K238" s="153"/>
      <c r="L238" s="153"/>
      <c r="M238" s="153"/>
      <c r="N238" s="153"/>
      <c r="O238" s="153"/>
      <c r="P238" s="153"/>
      <c r="Q238" s="153"/>
    </row>
    <row r="239" spans="1:17">
      <c r="A239" s="153"/>
      <c r="B239" s="153"/>
      <c r="C239" s="153"/>
      <c r="D239" s="153"/>
      <c r="E239" s="153"/>
      <c r="F239" s="153"/>
      <c r="G239" s="153"/>
      <c r="H239" s="153"/>
      <c r="I239" s="153"/>
      <c r="J239" s="153"/>
      <c r="K239" s="153"/>
      <c r="L239" s="153"/>
      <c r="M239" s="153"/>
      <c r="N239" s="153"/>
      <c r="O239" s="153"/>
      <c r="P239" s="153"/>
      <c r="Q239" s="153"/>
    </row>
    <row r="240" spans="1:17">
      <c r="A240" s="153"/>
      <c r="B240" s="153"/>
      <c r="C240" s="153"/>
      <c r="D240" s="153"/>
      <c r="E240" s="153"/>
      <c r="F240" s="153"/>
      <c r="G240" s="153"/>
      <c r="H240" s="153"/>
      <c r="I240" s="153"/>
      <c r="J240" s="153"/>
      <c r="K240" s="153"/>
      <c r="L240" s="153"/>
      <c r="M240" s="153"/>
      <c r="N240" s="153"/>
      <c r="O240" s="153"/>
      <c r="P240" s="153"/>
      <c r="Q240" s="153"/>
    </row>
    <row r="241" spans="1:17">
      <c r="A241" s="153"/>
      <c r="B241" s="153"/>
      <c r="C241" s="153"/>
      <c r="D241" s="153"/>
      <c r="E241" s="153"/>
      <c r="F241" s="153"/>
      <c r="G241" s="153"/>
      <c r="H241" s="153"/>
      <c r="I241" s="153"/>
      <c r="J241" s="153"/>
      <c r="K241" s="153"/>
      <c r="L241" s="153"/>
      <c r="M241" s="153"/>
      <c r="N241" s="153"/>
      <c r="O241" s="153"/>
      <c r="P241" s="153"/>
      <c r="Q241" s="153"/>
    </row>
    <row r="242" spans="1:17">
      <c r="A242" s="153"/>
      <c r="B242" s="153"/>
      <c r="C242" s="153"/>
      <c r="D242" s="153"/>
      <c r="E242" s="153"/>
      <c r="F242" s="153"/>
      <c r="G242" s="153"/>
      <c r="H242" s="153"/>
      <c r="I242" s="153"/>
      <c r="J242" s="153"/>
      <c r="K242" s="153"/>
      <c r="L242" s="153"/>
      <c r="M242" s="153"/>
      <c r="N242" s="153"/>
      <c r="O242" s="153"/>
      <c r="P242" s="153"/>
      <c r="Q242" s="153"/>
    </row>
    <row r="243" spans="1:17">
      <c r="A243" s="153"/>
      <c r="B243" s="153"/>
      <c r="C243" s="153"/>
      <c r="D243" s="153"/>
      <c r="E243" s="153"/>
      <c r="F243" s="153"/>
      <c r="G243" s="153"/>
      <c r="H243" s="153"/>
      <c r="I243" s="153"/>
      <c r="J243" s="153"/>
      <c r="K243" s="153"/>
      <c r="L243" s="153"/>
      <c r="M243" s="153"/>
      <c r="N243" s="153"/>
      <c r="O243" s="153"/>
      <c r="P243" s="153"/>
      <c r="Q243" s="153"/>
    </row>
    <row r="244" spans="1:17">
      <c r="A244" s="153"/>
      <c r="B244" s="153"/>
      <c r="C244" s="153"/>
      <c r="D244" s="153"/>
      <c r="E244" s="153"/>
      <c r="F244" s="153"/>
      <c r="G244" s="153"/>
      <c r="H244" s="153"/>
      <c r="I244" s="153"/>
      <c r="J244" s="153"/>
      <c r="K244" s="153"/>
      <c r="L244" s="153"/>
      <c r="M244" s="153"/>
      <c r="N244" s="153"/>
      <c r="O244" s="153"/>
      <c r="P244" s="153"/>
      <c r="Q244" s="153"/>
    </row>
    <row r="245" spans="1:17">
      <c r="A245" s="153"/>
      <c r="B245" s="153"/>
      <c r="C245" s="153"/>
      <c r="D245" s="153"/>
      <c r="E245" s="153"/>
      <c r="F245" s="153"/>
      <c r="G245" s="153"/>
      <c r="H245" s="153"/>
      <c r="I245" s="153"/>
      <c r="J245" s="153"/>
      <c r="K245" s="153"/>
      <c r="L245" s="153"/>
      <c r="M245" s="153"/>
      <c r="N245" s="153"/>
      <c r="O245" s="153"/>
      <c r="P245" s="153"/>
      <c r="Q245" s="153"/>
    </row>
    <row r="246" spans="1:17">
      <c r="A246" s="153"/>
      <c r="B246" s="153"/>
      <c r="C246" s="153"/>
      <c r="D246" s="153"/>
      <c r="E246" s="153"/>
      <c r="F246" s="153"/>
      <c r="G246" s="153"/>
      <c r="H246" s="153"/>
      <c r="I246" s="153"/>
      <c r="J246" s="153"/>
      <c r="K246" s="153"/>
      <c r="L246" s="153"/>
      <c r="M246" s="153"/>
      <c r="N246" s="153"/>
      <c r="O246" s="153"/>
      <c r="P246" s="153"/>
      <c r="Q246" s="153"/>
    </row>
    <row r="247" spans="1:17">
      <c r="A247" s="153"/>
      <c r="B247" s="153"/>
      <c r="C247" s="153"/>
      <c r="D247" s="153"/>
      <c r="E247" s="153"/>
      <c r="F247" s="153"/>
      <c r="G247" s="153"/>
      <c r="H247" s="153"/>
      <c r="I247" s="153"/>
      <c r="J247" s="153"/>
      <c r="K247" s="153"/>
      <c r="L247" s="153"/>
      <c r="M247" s="153"/>
      <c r="N247" s="153"/>
      <c r="O247" s="153"/>
      <c r="P247" s="153"/>
      <c r="Q247" s="153"/>
    </row>
    <row r="248" spans="1:17">
      <c r="A248" s="153"/>
      <c r="B248" s="153"/>
      <c r="C248" s="153"/>
      <c r="D248" s="153"/>
      <c r="E248" s="153"/>
      <c r="F248" s="153"/>
      <c r="G248" s="153"/>
      <c r="H248" s="153"/>
      <c r="I248" s="153"/>
      <c r="J248" s="153"/>
      <c r="K248" s="153"/>
      <c r="L248" s="153"/>
      <c r="M248" s="153"/>
      <c r="N248" s="153"/>
      <c r="O248" s="153"/>
      <c r="P248" s="153"/>
      <c r="Q248" s="153"/>
    </row>
  </sheetData>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644A5-1591-410A-A198-4CC334DE5F67}">
  <sheetPr codeName="Sheet15"/>
  <dimension ref="A1:Q77"/>
  <sheetViews>
    <sheetView showGridLines="0" zoomScale="72" zoomScaleNormal="72" workbookViewId="0">
      <selection activeCell="AD53" sqref="AD53"/>
    </sheetView>
  </sheetViews>
  <sheetFormatPr defaultRowHeight="15"/>
  <cols>
    <col min="1" max="1" width="25.5703125" customWidth="1"/>
    <col min="2" max="2" width="10.85546875" customWidth="1"/>
    <col min="3" max="3" width="10.140625" customWidth="1"/>
    <col min="4" max="4" width="9" customWidth="1"/>
    <col min="5" max="5" width="8.5703125" customWidth="1"/>
    <col min="6" max="6" width="10.140625" customWidth="1"/>
    <col min="7" max="7" width="8" customWidth="1"/>
    <col min="8" max="8" width="12.42578125" customWidth="1"/>
    <col min="9" max="9" width="8.42578125" customWidth="1"/>
    <col min="10" max="10" width="8.85546875" customWidth="1"/>
    <col min="11" max="11" width="15.5703125" customWidth="1"/>
    <col min="17" max="17" width="12.42578125" customWidth="1"/>
  </cols>
  <sheetData>
    <row r="1" spans="1:17" ht="15.75" thickBot="1">
      <c r="A1" t="s">
        <v>920</v>
      </c>
    </row>
    <row r="2" spans="1:17" ht="15" customHeight="1">
      <c r="A2" s="893"/>
      <c r="B2" s="894"/>
      <c r="C2" s="895" t="s">
        <v>9</v>
      </c>
      <c r="D2" s="894" t="s">
        <v>9</v>
      </c>
      <c r="E2" s="894" t="s">
        <v>1022</v>
      </c>
      <c r="F2" s="894" t="s">
        <v>1024</v>
      </c>
      <c r="G2" s="894" t="s">
        <v>1014</v>
      </c>
      <c r="H2" s="894" t="s">
        <v>1014</v>
      </c>
      <c r="I2" s="1135" t="s">
        <v>1017</v>
      </c>
      <c r="J2" s="1136"/>
      <c r="K2" s="1137"/>
      <c r="L2" s="896"/>
      <c r="M2" s="897"/>
      <c r="N2" s="897"/>
      <c r="O2" s="897"/>
      <c r="P2" s="897"/>
      <c r="Q2" s="898"/>
    </row>
    <row r="3" spans="1:17" ht="15" customHeight="1">
      <c r="A3" s="899"/>
      <c r="B3" s="900"/>
      <c r="C3" s="834" t="s">
        <v>1011</v>
      </c>
      <c r="D3" s="900" t="s">
        <v>921</v>
      </c>
      <c r="E3" s="900" t="s">
        <v>1021</v>
      </c>
      <c r="F3" s="900" t="s">
        <v>1023</v>
      </c>
      <c r="G3" s="900" t="s">
        <v>1015</v>
      </c>
      <c r="H3" s="900" t="s">
        <v>1025</v>
      </c>
      <c r="I3" s="901"/>
      <c r="J3" s="900" t="s">
        <v>1019</v>
      </c>
      <c r="K3" s="902" t="s">
        <v>1020</v>
      </c>
      <c r="L3" s="903"/>
      <c r="M3" s="904"/>
      <c r="N3" s="904"/>
      <c r="O3" s="904"/>
      <c r="P3" s="904"/>
      <c r="Q3" s="905"/>
    </row>
    <row r="4" spans="1:17" s="675" customFormat="1" ht="15" customHeight="1" thickBot="1">
      <c r="A4" s="906"/>
      <c r="B4" s="907" t="s">
        <v>162</v>
      </c>
      <c r="C4" s="908" t="s">
        <v>874</v>
      </c>
      <c r="D4" s="908" t="s">
        <v>874</v>
      </c>
      <c r="E4" s="907" t="s">
        <v>1012</v>
      </c>
      <c r="F4" s="907" t="s">
        <v>1013</v>
      </c>
      <c r="G4" s="908" t="s">
        <v>874</v>
      </c>
      <c r="H4" s="907" t="s">
        <v>1016</v>
      </c>
      <c r="I4" s="909" t="s">
        <v>162</v>
      </c>
      <c r="J4" s="907" t="s">
        <v>1018</v>
      </c>
      <c r="K4" s="910" t="s">
        <v>1016</v>
      </c>
      <c r="L4" s="911" t="s">
        <v>930</v>
      </c>
      <c r="M4" s="912"/>
      <c r="N4" s="912"/>
      <c r="O4" s="912"/>
      <c r="P4" s="912"/>
      <c r="Q4" s="913"/>
    </row>
    <row r="5" spans="1:17">
      <c r="A5" s="914" t="s">
        <v>931</v>
      </c>
      <c r="B5" s="915">
        <f>SUM(B6:B10)</f>
        <v>13850</v>
      </c>
      <c r="C5" s="915">
        <v>257</v>
      </c>
      <c r="D5" s="915">
        <v>295</v>
      </c>
      <c r="E5" s="916"/>
      <c r="F5" s="915"/>
      <c r="G5" s="915"/>
      <c r="H5" s="917"/>
      <c r="I5" s="918"/>
      <c r="J5" s="917"/>
      <c r="K5" s="919"/>
      <c r="L5" s="920"/>
      <c r="M5" s="154"/>
      <c r="N5" s="154"/>
      <c r="O5" s="154"/>
      <c r="P5" s="154"/>
      <c r="Q5" s="921"/>
    </row>
    <row r="6" spans="1:17">
      <c r="A6" s="922" t="s">
        <v>278</v>
      </c>
      <c r="B6" s="915">
        <f>SSA!I48</f>
        <v>2699</v>
      </c>
      <c r="C6" s="915">
        <f>(C$5-C$10)*$B6/($B$5-$B$10)</f>
        <v>61.85966417453119</v>
      </c>
      <c r="D6" s="915">
        <f>(D$5-D$10)*$B6/($B$5-$B$10)</f>
        <v>72.776075499448467</v>
      </c>
      <c r="E6" s="916">
        <v>6.4299999999999996E-2</v>
      </c>
      <c r="F6" s="923">
        <v>6</v>
      </c>
      <c r="G6" s="915">
        <f>F6*D6</f>
        <v>436.6564529966908</v>
      </c>
      <c r="H6" s="915">
        <f>G6*1000/B6</f>
        <v>161.78453241818852</v>
      </c>
      <c r="I6" s="918">
        <v>931</v>
      </c>
      <c r="J6" s="917">
        <v>141</v>
      </c>
      <c r="K6" s="924">
        <f>1000*J6/I6</f>
        <v>151.4500537056928</v>
      </c>
      <c r="L6" s="920" t="s">
        <v>925</v>
      </c>
      <c r="M6" s="154"/>
      <c r="N6" s="154"/>
      <c r="O6" s="154"/>
      <c r="P6" s="154"/>
      <c r="Q6" s="921"/>
    </row>
    <row r="7" spans="1:17">
      <c r="A7" s="922" t="s">
        <v>279</v>
      </c>
      <c r="B7" s="915">
        <f>SSA!I49</f>
        <v>2279</v>
      </c>
      <c r="C7" s="915">
        <f t="shared" ref="C7:D9" si="0">(C$5-C$10)*$B7/($B$5-$B$10)</f>
        <v>52.233484495648973</v>
      </c>
      <c r="D7" s="915">
        <f t="shared" si="0"/>
        <v>61.451158230175267</v>
      </c>
      <c r="E7" s="916">
        <v>0.10199999999999999</v>
      </c>
      <c r="F7" s="923">
        <v>5</v>
      </c>
      <c r="G7" s="915">
        <f t="shared" ref="G7:G11" si="1">F7*D7</f>
        <v>307.25579115087635</v>
      </c>
      <c r="H7" s="915">
        <f t="shared" ref="H7:H14" si="2">G7*1000/B7</f>
        <v>134.82044368182375</v>
      </c>
      <c r="I7" s="918">
        <v>827</v>
      </c>
      <c r="J7" s="917">
        <v>143</v>
      </c>
      <c r="K7" s="924">
        <f>1000*J7/I7</f>
        <v>172.91414752116083</v>
      </c>
      <c r="L7" s="920" t="s">
        <v>925</v>
      </c>
      <c r="M7" s="154"/>
      <c r="N7" s="154"/>
      <c r="O7" s="154"/>
      <c r="P7" s="154"/>
      <c r="Q7" s="921"/>
    </row>
    <row r="8" spans="1:17">
      <c r="A8" s="922" t="s">
        <v>202</v>
      </c>
      <c r="B8" s="915">
        <f>SSA!I50</f>
        <v>1862</v>
      </c>
      <c r="C8" s="915">
        <f t="shared" si="0"/>
        <v>42.676063243044489</v>
      </c>
      <c r="D8" s="915">
        <f t="shared" si="0"/>
        <v>50.207133227111164</v>
      </c>
      <c r="E8" s="916">
        <v>0.252</v>
      </c>
      <c r="F8" s="923"/>
      <c r="G8" s="915"/>
      <c r="H8" s="915"/>
      <c r="I8" s="918"/>
      <c r="J8" s="917"/>
      <c r="K8" s="924"/>
      <c r="L8" s="920" t="s">
        <v>926</v>
      </c>
      <c r="M8" s="154"/>
      <c r="N8" s="154"/>
      <c r="O8" s="154"/>
      <c r="P8" s="154"/>
      <c r="Q8" s="921"/>
    </row>
    <row r="9" spans="1:17">
      <c r="A9" s="922" t="s">
        <v>206</v>
      </c>
      <c r="B9" s="915">
        <f>SSA!I51</f>
        <v>1319</v>
      </c>
      <c r="C9" s="915">
        <f t="shared" si="0"/>
        <v>30.230788086775341</v>
      </c>
      <c r="D9" s="915">
        <f t="shared" si="0"/>
        <v>35.565633043265109</v>
      </c>
      <c r="E9" s="916">
        <v>0.1295</v>
      </c>
      <c r="F9" s="923"/>
      <c r="G9" s="915"/>
      <c r="H9" s="915"/>
      <c r="I9" s="918"/>
      <c r="J9" s="917"/>
      <c r="K9" s="924"/>
      <c r="L9" s="920" t="s">
        <v>926</v>
      </c>
      <c r="M9" s="154"/>
      <c r="N9" s="154"/>
      <c r="O9" s="154"/>
      <c r="P9" s="154"/>
      <c r="Q9" s="921"/>
    </row>
    <row r="10" spans="1:17">
      <c r="A10" s="922" t="s">
        <v>137</v>
      </c>
      <c r="B10" s="915">
        <f>SSA!I52</f>
        <v>5691</v>
      </c>
      <c r="C10" s="915">
        <v>70</v>
      </c>
      <c r="D10" s="915">
        <v>75</v>
      </c>
      <c r="E10" s="916">
        <v>0.108</v>
      </c>
      <c r="F10" s="923">
        <v>6</v>
      </c>
      <c r="G10" s="915">
        <f t="shared" si="1"/>
        <v>450</v>
      </c>
      <c r="H10" s="915">
        <f t="shared" si="2"/>
        <v>79.072219293621501</v>
      </c>
      <c r="I10" s="918">
        <v>5701</v>
      </c>
      <c r="J10" s="917">
        <v>412</v>
      </c>
      <c r="K10" s="924">
        <f t="shared" ref="K10:K14" si="3">1000*J10/I10</f>
        <v>72.268023153832658</v>
      </c>
      <c r="L10" s="920" t="s">
        <v>1010</v>
      </c>
      <c r="M10" s="154"/>
      <c r="N10" s="154"/>
      <c r="O10" s="154"/>
      <c r="P10" s="154"/>
      <c r="Q10" s="921"/>
    </row>
    <row r="11" spans="1:17">
      <c r="A11" s="925" t="s">
        <v>203</v>
      </c>
      <c r="B11" s="915">
        <v>16395</v>
      </c>
      <c r="C11" s="915">
        <v>807</v>
      </c>
      <c r="D11" s="915">
        <v>633</v>
      </c>
      <c r="E11" s="916">
        <v>0.19409999999999999</v>
      </c>
      <c r="F11" s="923">
        <v>3</v>
      </c>
      <c r="G11" s="915">
        <f t="shared" si="1"/>
        <v>1899</v>
      </c>
      <c r="H11" s="915">
        <f t="shared" si="2"/>
        <v>115.82799634034767</v>
      </c>
      <c r="I11" s="918"/>
      <c r="J11" s="917"/>
      <c r="K11" s="924"/>
      <c r="L11" s="920"/>
      <c r="M11" s="154"/>
      <c r="N11" s="154"/>
      <c r="O11" s="154"/>
      <c r="P11" s="154"/>
      <c r="Q11" s="921"/>
    </row>
    <row r="12" spans="1:17">
      <c r="A12" s="925" t="s">
        <v>927</v>
      </c>
      <c r="B12" s="915">
        <v>2500</v>
      </c>
      <c r="C12" s="915">
        <f>($B12/$B11)*C11</f>
        <v>123.05580969807868</v>
      </c>
      <c r="D12" s="915">
        <f>($B12/$B11)*D11</f>
        <v>96.523330283623054</v>
      </c>
      <c r="E12" s="916">
        <f>E11</f>
        <v>0.19409999999999999</v>
      </c>
      <c r="F12" s="923">
        <v>1.5</v>
      </c>
      <c r="G12" s="915">
        <f>F12*D12</f>
        <v>144.78499542543457</v>
      </c>
      <c r="H12" s="915">
        <f t="shared" si="2"/>
        <v>57.913998170173834</v>
      </c>
      <c r="I12" s="918"/>
      <c r="J12" s="917"/>
      <c r="K12" s="924"/>
      <c r="L12" s="920" t="s">
        <v>928</v>
      </c>
      <c r="M12" s="154"/>
      <c r="N12" s="154"/>
      <c r="O12" s="154"/>
      <c r="P12" s="154"/>
      <c r="Q12" s="921"/>
    </row>
    <row r="13" spans="1:17">
      <c r="A13" s="914" t="s">
        <v>711</v>
      </c>
      <c r="B13" s="915"/>
      <c r="C13" s="915"/>
      <c r="D13" s="915"/>
      <c r="E13" s="916"/>
      <c r="F13" s="923"/>
      <c r="G13" s="915"/>
      <c r="H13" s="915"/>
      <c r="I13" s="918"/>
      <c r="J13" s="917"/>
      <c r="K13" s="924"/>
      <c r="L13" s="920"/>
      <c r="M13" s="154"/>
      <c r="N13" s="154"/>
      <c r="O13" s="154"/>
      <c r="P13" s="154"/>
      <c r="Q13" s="921"/>
    </row>
    <row r="14" spans="1:17">
      <c r="A14" s="922" t="s">
        <v>285</v>
      </c>
      <c r="B14" s="915">
        <v>1672</v>
      </c>
      <c r="C14" s="917">
        <v>22</v>
      </c>
      <c r="D14" s="917">
        <v>25</v>
      </c>
      <c r="E14" s="926">
        <v>3.8800000000000001E-2</v>
      </c>
      <c r="F14" s="923">
        <v>10</v>
      </c>
      <c r="G14" s="915">
        <f>F14*D14</f>
        <v>250</v>
      </c>
      <c r="H14" s="915">
        <f t="shared" si="2"/>
        <v>149.52153110047846</v>
      </c>
      <c r="I14" s="918">
        <v>1620</v>
      </c>
      <c r="J14" s="917">
        <v>130</v>
      </c>
      <c r="K14" s="924">
        <f t="shared" si="3"/>
        <v>80.246913580246911</v>
      </c>
      <c r="L14" s="920"/>
      <c r="M14" s="154"/>
      <c r="N14" s="154"/>
      <c r="O14" s="154"/>
      <c r="P14" s="154"/>
      <c r="Q14" s="921"/>
    </row>
    <row r="15" spans="1:17">
      <c r="A15" s="914" t="s">
        <v>712</v>
      </c>
      <c r="B15" s="915">
        <f>SUM(B16:B18)</f>
        <v>7952</v>
      </c>
      <c r="C15" s="915">
        <v>146</v>
      </c>
      <c r="D15" s="915">
        <v>173</v>
      </c>
      <c r="E15" s="916"/>
      <c r="F15" s="923"/>
      <c r="G15" s="915"/>
      <c r="H15" s="915"/>
      <c r="I15" s="918"/>
      <c r="J15" s="917"/>
      <c r="K15" s="924"/>
      <c r="L15" s="920"/>
      <c r="M15" s="154"/>
      <c r="N15" s="154"/>
      <c r="O15" s="154"/>
      <c r="P15" s="154"/>
      <c r="Q15" s="921"/>
    </row>
    <row r="16" spans="1:17">
      <c r="A16" s="922" t="s">
        <v>221</v>
      </c>
      <c r="B16" s="917">
        <v>7663</v>
      </c>
      <c r="C16" s="915">
        <f>C$15*$B16/$B$15</f>
        <v>140.6939134808853</v>
      </c>
      <c r="D16" s="915">
        <f>D$15*$B16/$B$15</f>
        <v>166.71265090543258</v>
      </c>
      <c r="E16" s="926">
        <v>0.109</v>
      </c>
      <c r="F16" s="923"/>
      <c r="G16" s="915"/>
      <c r="H16" s="917"/>
      <c r="I16" s="918"/>
      <c r="J16" s="917"/>
      <c r="K16" s="919"/>
      <c r="L16" s="920" t="s">
        <v>932</v>
      </c>
      <c r="M16" s="154"/>
      <c r="N16" s="154"/>
      <c r="O16" s="154"/>
      <c r="P16" s="154"/>
      <c r="Q16" s="921"/>
    </row>
    <row r="17" spans="1:17">
      <c r="A17" s="922" t="s">
        <v>238</v>
      </c>
      <c r="B17" s="915">
        <v>61</v>
      </c>
      <c r="C17" s="915">
        <f t="shared" ref="C17:D18" si="4">C$15*$B17/$B$15</f>
        <v>1.1199698189134808</v>
      </c>
      <c r="D17" s="915">
        <f t="shared" si="4"/>
        <v>1.3270875251509053</v>
      </c>
      <c r="E17" s="916">
        <v>7.4999999999999997E-2</v>
      </c>
      <c r="F17" s="923" t="s">
        <v>924</v>
      </c>
      <c r="G17" s="915"/>
      <c r="H17" s="915"/>
      <c r="I17" s="918"/>
      <c r="J17" s="917"/>
      <c r="K17" s="924"/>
      <c r="L17" s="920"/>
      <c r="M17" s="154"/>
      <c r="N17" s="154"/>
      <c r="O17" s="154"/>
      <c r="P17" s="154"/>
      <c r="Q17" s="921"/>
    </row>
    <row r="18" spans="1:17">
      <c r="A18" s="922" t="s">
        <v>224</v>
      </c>
      <c r="B18" s="917">
        <v>228</v>
      </c>
      <c r="C18" s="915">
        <f t="shared" si="4"/>
        <v>4.1861167002012074</v>
      </c>
      <c r="D18" s="915">
        <f t="shared" si="4"/>
        <v>4.9602615694164989</v>
      </c>
      <c r="E18" s="916">
        <v>0.10199999999999999</v>
      </c>
      <c r="F18" s="923">
        <v>5</v>
      </c>
      <c r="G18" s="915">
        <f>F18*D18</f>
        <v>24.801307847082494</v>
      </c>
      <c r="H18" s="915">
        <f t="shared" ref="H18" si="5">G18*1000/B18</f>
        <v>108.77766599597585</v>
      </c>
      <c r="I18" s="918"/>
      <c r="J18" s="917"/>
      <c r="K18" s="919"/>
      <c r="L18" s="920"/>
      <c r="M18" s="154"/>
      <c r="N18" s="154"/>
      <c r="O18" s="154"/>
      <c r="P18" s="154"/>
      <c r="Q18" s="921"/>
    </row>
    <row r="19" spans="1:17">
      <c r="A19" s="914"/>
      <c r="B19" s="917"/>
      <c r="C19" s="915"/>
      <c r="D19" s="915"/>
      <c r="E19" s="916"/>
      <c r="F19" s="915"/>
      <c r="G19" s="915"/>
      <c r="H19" s="915"/>
      <c r="I19" s="918"/>
      <c r="J19" s="917"/>
      <c r="K19" s="919"/>
      <c r="L19" s="920"/>
      <c r="M19" s="154"/>
      <c r="N19" s="154"/>
      <c r="O19" s="154"/>
      <c r="P19" s="154"/>
      <c r="Q19" s="921"/>
    </row>
    <row r="20" spans="1:17" s="675" customFormat="1" ht="30.75" thickBot="1">
      <c r="A20" s="927" t="s">
        <v>929</v>
      </c>
      <c r="B20" s="928">
        <f>B6+B7+B10+B14+B18</f>
        <v>12569</v>
      </c>
      <c r="C20" s="928">
        <f>C6+C7+C10+C14+C18</f>
        <v>210.27926537038138</v>
      </c>
      <c r="D20" s="928">
        <f>D6+D7+D10+D14+D18</f>
        <v>239.18749529904022</v>
      </c>
      <c r="E20" s="929"/>
      <c r="F20" s="928"/>
      <c r="G20" s="928">
        <f>G6+G7+G10+G14+G18</f>
        <v>1468.7135519946496</v>
      </c>
      <c r="H20" s="930">
        <f t="shared" ref="H20" si="6">G20*1000/B20</f>
        <v>116.85206078404406</v>
      </c>
      <c r="I20" s="931"/>
      <c r="J20" s="928"/>
      <c r="K20" s="932"/>
      <c r="L20" s="933"/>
      <c r="M20" s="934"/>
      <c r="N20" s="934"/>
      <c r="O20" s="934"/>
      <c r="P20" s="934"/>
      <c r="Q20" s="935"/>
    </row>
    <row r="21" spans="1:17" s="675" customFormat="1">
      <c r="A21" s="674"/>
      <c r="B21" s="676"/>
      <c r="G21" s="676"/>
      <c r="H21" s="677"/>
    </row>
    <row r="22" spans="1:17">
      <c r="A22" s="154" t="s">
        <v>922</v>
      </c>
      <c r="G22" s="154"/>
    </row>
    <row r="23" spans="1:17">
      <c r="A23" s="154" t="s">
        <v>923</v>
      </c>
    </row>
    <row r="26" spans="1:17">
      <c r="A26" t="s">
        <v>938</v>
      </c>
    </row>
    <row r="30" spans="1:17">
      <c r="G30" t="s">
        <v>933</v>
      </c>
      <c r="H30" s="108">
        <v>0.75</v>
      </c>
    </row>
    <row r="31" spans="1:17">
      <c r="A31" t="s">
        <v>935</v>
      </c>
      <c r="G31" t="s">
        <v>934</v>
      </c>
      <c r="H31" s="108">
        <v>0.25</v>
      </c>
    </row>
    <row r="33" spans="1:7">
      <c r="A33" t="s">
        <v>1009</v>
      </c>
      <c r="B33" s="678">
        <f>G12</f>
        <v>144.78499542543457</v>
      </c>
    </row>
    <row r="34" spans="1:7">
      <c r="A34" t="s">
        <v>936</v>
      </c>
      <c r="B34" s="679">
        <f>75000*B12/1000000</f>
        <v>187.5</v>
      </c>
    </row>
    <row r="42" spans="1:7">
      <c r="F42" t="s">
        <v>937</v>
      </c>
      <c r="G42" s="29">
        <f>G20/2+G12</f>
        <v>879.14177142275935</v>
      </c>
    </row>
    <row r="57" spans="1:7">
      <c r="A57" t="s">
        <v>941</v>
      </c>
      <c r="E57" t="s">
        <v>942</v>
      </c>
    </row>
    <row r="58" spans="1:7">
      <c r="A58" t="str">
        <f>E58</f>
        <v>Cote D'Ivoire</v>
      </c>
      <c r="B58">
        <v>0</v>
      </c>
      <c r="C58" s="678">
        <f>C6</f>
        <v>61.85966417453119</v>
      </c>
      <c r="E58" t="str">
        <f>A6</f>
        <v>Cote D'Ivoire</v>
      </c>
      <c r="F58">
        <v>0</v>
      </c>
      <c r="G58" s="678">
        <f>G6</f>
        <v>436.6564529966908</v>
      </c>
    </row>
    <row r="59" spans="1:7">
      <c r="A59" t="str">
        <f t="shared" ref="A59:A62" si="7">E59</f>
        <v>Cameroon</v>
      </c>
      <c r="B59" s="678">
        <f>C58</f>
        <v>61.85966417453119</v>
      </c>
      <c r="C59" s="678">
        <f>C7</f>
        <v>52.233484495648973</v>
      </c>
      <c r="E59" t="str">
        <f>A7</f>
        <v>Cameroon</v>
      </c>
      <c r="F59" s="678">
        <f>G58</f>
        <v>436.6564529966908</v>
      </c>
      <c r="G59" s="678">
        <f>G7</f>
        <v>307.25579115087635</v>
      </c>
    </row>
    <row r="60" spans="1:7">
      <c r="A60" t="str">
        <f t="shared" si="7"/>
        <v>South Africa</v>
      </c>
      <c r="B60" s="678">
        <f>B59+C59</f>
        <v>114.09314867018017</v>
      </c>
      <c r="C60" s="678">
        <f>C10</f>
        <v>70</v>
      </c>
      <c r="E60" t="str">
        <f>A10</f>
        <v>South Africa</v>
      </c>
      <c r="F60" s="678">
        <f>F59+G59</f>
        <v>743.91224414756721</v>
      </c>
      <c r="G60" s="678">
        <f>G10</f>
        <v>450</v>
      </c>
    </row>
    <row r="61" spans="1:7">
      <c r="A61" t="str">
        <f t="shared" si="7"/>
        <v>Kuwait</v>
      </c>
      <c r="B61" s="678">
        <f t="shared" ref="B61:B62" si="8">B60+C60</f>
        <v>184.09314867018017</v>
      </c>
      <c r="C61" s="678">
        <f>C14</f>
        <v>22</v>
      </c>
      <c r="E61" t="str">
        <f>A14</f>
        <v>Kuwait</v>
      </c>
      <c r="F61" s="678">
        <f t="shared" ref="F61:F62" si="9">F60+G60</f>
        <v>1193.9122441475672</v>
      </c>
      <c r="G61" s="678">
        <f>G14</f>
        <v>250</v>
      </c>
    </row>
    <row r="62" spans="1:7">
      <c r="A62" t="str">
        <f t="shared" si="7"/>
        <v>Colombia</v>
      </c>
      <c r="B62" s="678">
        <f t="shared" si="8"/>
        <v>206.09314867018017</v>
      </c>
      <c r="C62" s="678">
        <f>C18</f>
        <v>4.1861167002012074</v>
      </c>
      <c r="E62" t="str">
        <f>A18</f>
        <v>Colombia</v>
      </c>
      <c r="F62" s="678">
        <f t="shared" si="9"/>
        <v>1443.9122441475672</v>
      </c>
      <c r="G62" s="678">
        <f>G18</f>
        <v>24.801307847082494</v>
      </c>
    </row>
    <row r="63" spans="1:7">
      <c r="A63" t="s">
        <v>939</v>
      </c>
      <c r="B63" s="29">
        <f>(B62+C62)/2</f>
        <v>105.13963268519069</v>
      </c>
      <c r="C63" s="29">
        <f>B63</f>
        <v>105.13963268519069</v>
      </c>
      <c r="E63" t="s">
        <v>939</v>
      </c>
      <c r="F63" s="29">
        <f>(F62+G62)/2</f>
        <v>734.3567759973248</v>
      </c>
      <c r="G63" s="29">
        <f>F63</f>
        <v>734.3567759973248</v>
      </c>
    </row>
    <row r="64" spans="1:7">
      <c r="A64" t="s">
        <v>203</v>
      </c>
      <c r="B64" s="29">
        <f>C63</f>
        <v>105.13963268519069</v>
      </c>
      <c r="C64" s="678">
        <v>0</v>
      </c>
      <c r="E64" t="s">
        <v>203</v>
      </c>
      <c r="F64" s="29">
        <f>F63</f>
        <v>734.3567759973248</v>
      </c>
      <c r="G64" s="678">
        <f>G12</f>
        <v>144.78499542543457</v>
      </c>
    </row>
    <row r="65" spans="1:7">
      <c r="A65" t="s">
        <v>940</v>
      </c>
      <c r="B65" s="29"/>
      <c r="C65" s="29">
        <f>C64+B64</f>
        <v>105.13963268519069</v>
      </c>
      <c r="E65" t="s">
        <v>940</v>
      </c>
      <c r="F65" s="29"/>
      <c r="G65" s="29">
        <f>G64+F64</f>
        <v>879.14177142275935</v>
      </c>
    </row>
    <row r="66" spans="1:7">
      <c r="G66">
        <f>G65/C65</f>
        <v>8.3616591476507001</v>
      </c>
    </row>
    <row r="72" spans="1:7">
      <c r="B72" t="s">
        <v>943</v>
      </c>
      <c r="C72" t="s">
        <v>944</v>
      </c>
    </row>
    <row r="73" spans="1:7">
      <c r="A73" t="s">
        <v>66</v>
      </c>
      <c r="B73" s="423">
        <f>Master!K206/Master!K43</f>
        <v>3.578954795261291</v>
      </c>
      <c r="C73" s="423">
        <f>(Master!K121-'Value Crystallisation'!G65)/(Master!K19-'Value Crystallisation'!C65)</f>
        <v>2.9681153847535451</v>
      </c>
    </row>
    <row r="74" spans="1:7">
      <c r="B74" t="str">
        <f>B72</f>
        <v>Before</v>
      </c>
      <c r="C74" t="str">
        <f>C72</f>
        <v>After</v>
      </c>
    </row>
    <row r="75" spans="1:7">
      <c r="A75" t="s">
        <v>945</v>
      </c>
      <c r="B75" s="108">
        <v>0.75</v>
      </c>
      <c r="C75" s="330">
        <f>(B75*Master!I121-G65)/(Master!J121-'Value Crystallisation'!G65)</f>
        <v>0.57749700891281386</v>
      </c>
    </row>
    <row r="76" spans="1:7">
      <c r="B76" t="str">
        <f>B74</f>
        <v>Before</v>
      </c>
      <c r="C76" t="str">
        <f>C74</f>
        <v>After</v>
      </c>
    </row>
    <row r="77" spans="1:7">
      <c r="A77" t="s">
        <v>946</v>
      </c>
      <c r="B77" s="423">
        <f>Valuation!H69</f>
        <v>5.9862829588712936</v>
      </c>
      <c r="C77" s="423">
        <f>(Valuation!H67-'Value Crystallisation'!G65)/(Valuation!H7-'Value Crystallisation'!C65)</f>
        <v>5.6829036813787912</v>
      </c>
    </row>
  </sheetData>
  <mergeCells count="1">
    <mergeCell ref="I2:K2"/>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024A8-0466-4874-BBDB-4300F844A14C}">
  <sheetPr codeName="Sheet16"/>
  <dimension ref="A1:CD376"/>
  <sheetViews>
    <sheetView zoomScale="72" zoomScaleNormal="72" workbookViewId="0"/>
  </sheetViews>
  <sheetFormatPr defaultRowHeight="15"/>
  <cols>
    <col min="1" max="1" width="12" bestFit="1" customWidth="1"/>
    <col min="6" max="6" width="12" bestFit="1" customWidth="1"/>
    <col min="45" max="45" width="11.5703125" bestFit="1" customWidth="1"/>
    <col min="48" max="48" width="11.42578125" bestFit="1" customWidth="1"/>
    <col min="49" max="49" width="10.42578125" customWidth="1"/>
    <col min="55" max="55" width="11.42578125" bestFit="1" customWidth="1"/>
    <col min="57" max="57" width="12.85546875" customWidth="1"/>
    <col min="66" max="66" width="11.5703125" hidden="1" customWidth="1"/>
    <col min="67" max="82" width="9.140625" hidden="1" customWidth="1"/>
  </cols>
  <sheetData>
    <row r="1" spans="1:82" ht="15.75" thickBot="1">
      <c r="AS1" t="s">
        <v>876</v>
      </c>
      <c r="AT1" t="s">
        <v>877</v>
      </c>
      <c r="AZ1" s="138" t="s">
        <v>886</v>
      </c>
      <c r="BA1" s="138" t="s">
        <v>891</v>
      </c>
      <c r="BB1" s="326">
        <v>770</v>
      </c>
      <c r="BC1">
        <f>1/BB1</f>
        <v>1.2987012987012987E-3</v>
      </c>
      <c r="BE1" s="114" t="s">
        <v>889</v>
      </c>
      <c r="BN1" t="s">
        <v>876</v>
      </c>
      <c r="BO1" t="s">
        <v>877</v>
      </c>
      <c r="BQ1" s="326"/>
      <c r="BS1" s="326">
        <f>AVERAGE(BO2:BO312)</f>
        <v>599.67218636655946</v>
      </c>
      <c r="BT1">
        <f>1/BS1</f>
        <v>1.6675777578730885E-3</v>
      </c>
      <c r="BV1" s="114" t="s">
        <v>878</v>
      </c>
    </row>
    <row r="2" spans="1:82" ht="15.75" thickBot="1">
      <c r="A2" s="730">
        <v>45292</v>
      </c>
      <c r="B2" s="731">
        <v>899.1</v>
      </c>
      <c r="F2" s="730">
        <v>44927</v>
      </c>
      <c r="G2" s="731">
        <v>448.08</v>
      </c>
      <c r="AS2" s="411">
        <v>44928</v>
      </c>
      <c r="AT2" s="326">
        <v>447.57998700000002</v>
      </c>
      <c r="AV2" s="411">
        <v>44927</v>
      </c>
      <c r="AW2" s="326">
        <v>448</v>
      </c>
      <c r="AX2" s="411"/>
      <c r="AZ2" s="472">
        <f>AVERAGE(AW2:AW230)</f>
        <v>542.89642882096052</v>
      </c>
      <c r="BA2" s="472">
        <f>AVERAGE(AW2:AW366)</f>
        <v>627.51584164383553</v>
      </c>
      <c r="BB2">
        <v>500</v>
      </c>
      <c r="BC2">
        <f>1/BB2</f>
        <v>2E-3</v>
      </c>
      <c r="BE2" s="419"/>
      <c r="BF2" s="328"/>
      <c r="BG2" s="328"/>
      <c r="BH2" s="328"/>
      <c r="BI2" s="328"/>
      <c r="BJ2" s="328"/>
      <c r="BK2" s="420"/>
      <c r="BN2" s="411">
        <v>44928</v>
      </c>
      <c r="BO2" s="326">
        <v>447.57998700000002</v>
      </c>
      <c r="BS2">
        <v>500</v>
      </c>
      <c r="BT2">
        <f>1/BS2</f>
        <v>2E-3</v>
      </c>
      <c r="BV2" s="419"/>
      <c r="BW2" s="328"/>
      <c r="BX2" s="328"/>
      <c r="BY2" s="328"/>
      <c r="BZ2" s="328"/>
      <c r="CA2" s="328"/>
      <c r="CB2" s="420"/>
    </row>
    <row r="3" spans="1:82" ht="15.75" thickBot="1">
      <c r="A3" s="730">
        <v>45293</v>
      </c>
      <c r="B3" s="731">
        <v>884.8</v>
      </c>
      <c r="F3" s="730">
        <v>44928</v>
      </c>
      <c r="G3" s="731">
        <v>448.08</v>
      </c>
      <c r="J3">
        <f>B2</f>
        <v>899.1</v>
      </c>
      <c r="K3">
        <f>B364</f>
        <v>1250</v>
      </c>
      <c r="AS3" s="411">
        <v>44929</v>
      </c>
      <c r="AT3" s="326">
        <v>447.57998700000002</v>
      </c>
      <c r="AV3" s="411">
        <v>44928</v>
      </c>
      <c r="AW3" s="326">
        <f t="shared" ref="AW3:AW66" si="0">VLOOKUP(AV3,$AS$2:$AT$312,2,TRUE)</f>
        <v>447.57998700000002</v>
      </c>
      <c r="BB3" s="330"/>
      <c r="BC3" s="330">
        <f>BC1/BC2-1</f>
        <v>-0.35064935064935066</v>
      </c>
      <c r="BE3" s="421"/>
      <c r="BK3" s="422"/>
      <c r="BN3" s="411">
        <v>44929</v>
      </c>
      <c r="BO3" s="326">
        <v>447.57998700000002</v>
      </c>
      <c r="BS3" s="330"/>
      <c r="BT3" s="330">
        <f>BT1/BT2-1</f>
        <v>-0.16621112106345581</v>
      </c>
      <c r="BV3" s="421"/>
      <c r="CB3" s="422"/>
    </row>
    <row r="4" spans="1:82" ht="15.75" thickBot="1">
      <c r="A4" s="730">
        <v>45294</v>
      </c>
      <c r="B4" s="731">
        <v>891.9</v>
      </c>
      <c r="F4" s="730">
        <v>44929</v>
      </c>
      <c r="G4" s="731">
        <v>448.55</v>
      </c>
      <c r="J4">
        <f>1/J3</f>
        <v>1.1122233344455566E-3</v>
      </c>
      <c r="K4">
        <f>1/K3</f>
        <v>8.0000000000000004E-4</v>
      </c>
      <c r="AS4" s="411">
        <v>44930</v>
      </c>
      <c r="AT4" s="326">
        <v>448.04998799999998</v>
      </c>
      <c r="AV4" s="411">
        <v>44929</v>
      </c>
      <c r="AW4" s="326">
        <f t="shared" si="0"/>
        <v>447.57998700000002</v>
      </c>
      <c r="BA4">
        <v>500</v>
      </c>
      <c r="BE4" s="421"/>
      <c r="BF4" t="s">
        <v>890</v>
      </c>
      <c r="BJ4" t="s">
        <v>887</v>
      </c>
      <c r="BK4" s="422"/>
      <c r="BN4" s="411">
        <v>44930</v>
      </c>
      <c r="BO4" s="326">
        <v>448.04998799999998</v>
      </c>
      <c r="BV4" s="421"/>
      <c r="BW4" t="s">
        <v>879</v>
      </c>
      <c r="CA4" t="s">
        <v>887</v>
      </c>
      <c r="CB4" s="422"/>
    </row>
    <row r="5" spans="1:82" ht="15.75" thickBot="1">
      <c r="A5" s="730">
        <v>45295</v>
      </c>
      <c r="B5" s="731">
        <v>912.5</v>
      </c>
      <c r="F5" s="730">
        <v>44930</v>
      </c>
      <c r="G5" s="731">
        <v>449.01</v>
      </c>
      <c r="K5" s="108">
        <f>K4/J4-1</f>
        <v>-0.28071999999999997</v>
      </c>
      <c r="AS5" s="411">
        <v>44931</v>
      </c>
      <c r="AT5" s="326">
        <v>448.51001000000002</v>
      </c>
      <c r="AV5" s="411">
        <v>44930</v>
      </c>
      <c r="AW5" s="326">
        <f t="shared" si="0"/>
        <v>448.04998799999998</v>
      </c>
      <c r="BA5" s="326">
        <f>BA2-BA4</f>
        <v>127.51584164383553</v>
      </c>
      <c r="BE5" s="421" t="s">
        <v>170</v>
      </c>
      <c r="BF5">
        <v>-47</v>
      </c>
      <c r="BH5" s="326">
        <f>BF5*BA6</f>
        <v>-119.86489114520541</v>
      </c>
      <c r="BJ5" s="423">
        <f>-BE125</f>
        <v>-7.9343190356164328</v>
      </c>
      <c r="BK5" s="424">
        <f>BH5+BJ5</f>
        <v>-127.79921018082183</v>
      </c>
      <c r="BN5" s="411">
        <v>44931</v>
      </c>
      <c r="BO5" s="326">
        <v>448.51001000000002</v>
      </c>
      <c r="BV5" s="421" t="s">
        <v>170</v>
      </c>
      <c r="BW5">
        <v>-47</v>
      </c>
      <c r="BY5" s="326">
        <f>-BT3/10%*BW5</f>
        <v>-78.119226899824227</v>
      </c>
      <c r="CA5" s="423">
        <f>BJ40</f>
        <v>0</v>
      </c>
      <c r="CB5" s="424">
        <f>BY5*BE105+CA5</f>
        <v>-42.493425621332953</v>
      </c>
    </row>
    <row r="6" spans="1:82" ht="15.75" thickBot="1">
      <c r="A6" s="730">
        <v>45296</v>
      </c>
      <c r="B6" s="731">
        <v>914.47</v>
      </c>
      <c r="F6" s="730">
        <v>44931</v>
      </c>
      <c r="G6" s="731">
        <v>449.53</v>
      </c>
      <c r="AS6" s="411">
        <v>44932</v>
      </c>
      <c r="AT6" s="326">
        <v>449.02999899999998</v>
      </c>
      <c r="AV6" s="411">
        <v>44931</v>
      </c>
      <c r="AW6" s="326">
        <f t="shared" si="0"/>
        <v>448.51001000000002</v>
      </c>
      <c r="BA6" s="423">
        <f>BA5/50</f>
        <v>2.5503168328767107</v>
      </c>
      <c r="BE6" s="421" t="s">
        <v>880</v>
      </c>
      <c r="BF6">
        <v>-25</v>
      </c>
      <c r="BH6" s="326">
        <f>BF6*BA6</f>
        <v>-63.757920821917772</v>
      </c>
      <c r="BJ6" s="423">
        <f>BJ5</f>
        <v>-7.9343190356164328</v>
      </c>
      <c r="BK6" s="424">
        <f>BH6+BJ6</f>
        <v>-71.692239857534204</v>
      </c>
      <c r="BL6">
        <f>BK6/BK5</f>
        <v>0.56097560975609762</v>
      </c>
      <c r="BN6" s="411">
        <v>44932</v>
      </c>
      <c r="BO6" s="326">
        <v>449.02999899999998</v>
      </c>
      <c r="BV6" s="421" t="s">
        <v>880</v>
      </c>
      <c r="BW6">
        <v>-25</v>
      </c>
      <c r="BY6" s="326">
        <f>-BT3/10%*BW6</f>
        <v>-41.552780265863952</v>
      </c>
      <c r="CA6" s="423">
        <f>CA5</f>
        <v>0</v>
      </c>
      <c r="CB6" s="424">
        <f>BY6*BE105+CA6</f>
        <v>-22.602885968794126</v>
      </c>
    </row>
    <row r="7" spans="1:82" ht="15.75" thickBot="1">
      <c r="A7" s="730">
        <v>45297</v>
      </c>
      <c r="B7" s="731">
        <v>914.47</v>
      </c>
      <c r="F7" s="730">
        <v>44932</v>
      </c>
      <c r="G7" s="731">
        <v>450.05</v>
      </c>
      <c r="J7">
        <f>G2</f>
        <v>448.08</v>
      </c>
      <c r="K7">
        <f>G364</f>
        <v>896.64</v>
      </c>
      <c r="AS7" s="411">
        <v>44935</v>
      </c>
      <c r="AT7" s="326">
        <v>449.54998799999998</v>
      </c>
      <c r="AV7" s="411">
        <v>44932</v>
      </c>
      <c r="AW7" s="326">
        <f t="shared" si="0"/>
        <v>449.02999899999998</v>
      </c>
      <c r="BE7" s="425" t="s">
        <v>794</v>
      </c>
      <c r="BF7" s="426">
        <v>-8</v>
      </c>
      <c r="BG7" s="426"/>
      <c r="BH7" s="427">
        <f>BF7*BA6</f>
        <v>-20.402534663013686</v>
      </c>
      <c r="BI7" s="426"/>
      <c r="BJ7" s="428">
        <f>BJ5</f>
        <v>-7.9343190356164328</v>
      </c>
      <c r="BK7" s="429">
        <f>BH7+BJ7</f>
        <v>-28.336853698630119</v>
      </c>
      <c r="BN7" s="411">
        <v>44935</v>
      </c>
      <c r="BO7" s="326">
        <v>449.54998799999998</v>
      </c>
      <c r="BV7" s="425" t="s">
        <v>794</v>
      </c>
      <c r="BW7" s="426">
        <v>-8</v>
      </c>
      <c r="BX7" s="426"/>
      <c r="BY7" s="427">
        <f>-BT3/10%*BW7</f>
        <v>-13.296889685076465</v>
      </c>
      <c r="BZ7" s="426"/>
      <c r="CA7" s="428">
        <f>CA5</f>
        <v>0</v>
      </c>
      <c r="CB7" s="429">
        <f>BY7*BE105+CA7</f>
        <v>-7.2329235100141203</v>
      </c>
    </row>
    <row r="8" spans="1:82" ht="15.75" thickBot="1">
      <c r="A8" s="730">
        <v>45298</v>
      </c>
      <c r="B8" s="731">
        <v>914.47</v>
      </c>
      <c r="F8" s="730">
        <v>44933</v>
      </c>
      <c r="G8" s="731">
        <v>450.05</v>
      </c>
      <c r="J8">
        <f>1/J7</f>
        <v>2.2317443313693984E-3</v>
      </c>
      <c r="K8">
        <f>1/K7</f>
        <v>1.1152748037116347E-3</v>
      </c>
      <c r="AS8" s="411">
        <v>44936</v>
      </c>
      <c r="AT8" s="326">
        <v>449.54998799999998</v>
      </c>
      <c r="AV8" s="411">
        <v>44933</v>
      </c>
      <c r="AW8" s="326">
        <f t="shared" si="0"/>
        <v>449.02999899999998</v>
      </c>
      <c r="BN8" s="411">
        <v>44936</v>
      </c>
      <c r="BO8" s="326">
        <v>449.54998799999998</v>
      </c>
    </row>
    <row r="9" spans="1:82" ht="15.75" thickBot="1">
      <c r="A9" s="730">
        <v>45299</v>
      </c>
      <c r="B9" s="731">
        <v>884.80650000000003</v>
      </c>
      <c r="F9" s="730">
        <v>44934</v>
      </c>
      <c r="G9" s="731">
        <v>450.05</v>
      </c>
      <c r="K9" s="108">
        <f>K8/J8-1</f>
        <v>-0.50026766595289074</v>
      </c>
      <c r="AS9" s="411">
        <v>44937</v>
      </c>
      <c r="AT9" s="326">
        <v>449.57998700000002</v>
      </c>
      <c r="AV9" s="411">
        <v>44934</v>
      </c>
      <c r="AW9" s="326">
        <f t="shared" si="0"/>
        <v>449.02999899999998</v>
      </c>
      <c r="BN9" s="411">
        <v>44937</v>
      </c>
      <c r="BO9" s="326">
        <v>449.57998700000002</v>
      </c>
    </row>
    <row r="10" spans="1:82" ht="15.75" thickBot="1">
      <c r="A10" s="730">
        <v>45300</v>
      </c>
      <c r="B10" s="731">
        <v>914.5</v>
      </c>
      <c r="F10" s="730">
        <v>44935</v>
      </c>
      <c r="G10" s="731">
        <v>450.05</v>
      </c>
      <c r="AS10" s="411">
        <v>44938</v>
      </c>
      <c r="AT10" s="326">
        <v>451.10000600000001</v>
      </c>
      <c r="AV10" s="411">
        <v>44935</v>
      </c>
      <c r="AW10" s="326">
        <f t="shared" si="0"/>
        <v>449.54998799999998</v>
      </c>
      <c r="BN10" s="411">
        <v>44938</v>
      </c>
      <c r="BO10" s="326">
        <v>451.10000600000001</v>
      </c>
    </row>
    <row r="11" spans="1:82" ht="15.75" thickBot="1">
      <c r="A11" s="730">
        <v>45301</v>
      </c>
      <c r="B11" s="731">
        <v>951.49</v>
      </c>
      <c r="F11" s="730">
        <v>44936</v>
      </c>
      <c r="G11" s="731">
        <v>450.08</v>
      </c>
      <c r="I11">
        <f>Nigeria!I10</f>
        <v>423.125</v>
      </c>
      <c r="J11">
        <f>AVERAGE(G2:G364)</f>
        <v>637.67510633608799</v>
      </c>
      <c r="K11">
        <f>AVERAGE(B2:B364)</f>
        <v>1261.7634738292011</v>
      </c>
      <c r="AS11" s="411">
        <v>44939</v>
      </c>
      <c r="AT11" s="326">
        <v>451.63000499999998</v>
      </c>
      <c r="AV11" s="411">
        <v>44936</v>
      </c>
      <c r="AW11" s="326">
        <f t="shared" si="0"/>
        <v>449.54998799999998</v>
      </c>
      <c r="BE11" s="114" t="s">
        <v>893</v>
      </c>
      <c r="BM11" s="651"/>
      <c r="BN11" s="411">
        <v>44939</v>
      </c>
      <c r="BO11" s="326">
        <v>451.63000499999998</v>
      </c>
      <c r="CD11" t="s">
        <v>888</v>
      </c>
    </row>
    <row r="12" spans="1:82" ht="15.75" thickBot="1">
      <c r="A12" s="730">
        <v>45302</v>
      </c>
      <c r="B12" s="731">
        <v>959</v>
      </c>
      <c r="F12" s="730">
        <v>44937</v>
      </c>
      <c r="G12" s="731">
        <v>451.6</v>
      </c>
      <c r="I12">
        <f>1/I11</f>
        <v>2.3633677991137369E-3</v>
      </c>
      <c r="J12">
        <f>1/J11</f>
        <v>1.5681967040327711E-3</v>
      </c>
      <c r="K12">
        <f>1/K11</f>
        <v>7.9254156641989245E-4</v>
      </c>
      <c r="AS12" s="411">
        <v>44942</v>
      </c>
      <c r="AT12" s="326">
        <v>452.08999599999999</v>
      </c>
      <c r="AV12" s="411">
        <v>44937</v>
      </c>
      <c r="AW12" s="326">
        <f t="shared" si="0"/>
        <v>449.57998700000002</v>
      </c>
      <c r="BE12" s="419"/>
      <c r="BF12" s="328"/>
      <c r="BG12" s="328"/>
      <c r="BH12" s="328"/>
      <c r="BI12" s="328"/>
      <c r="BJ12" s="328"/>
      <c r="BK12" s="420"/>
      <c r="BM12" s="651"/>
      <c r="BN12" s="411">
        <v>44942</v>
      </c>
      <c r="BO12" s="326">
        <v>452.08999599999999</v>
      </c>
      <c r="CB12" s="423">
        <f>BK40-CB5</f>
        <v>42.493425621332953</v>
      </c>
      <c r="CC12" s="47">
        <f>CB12/Nigeria!J54</f>
        <v>3.0756076438382397E-2</v>
      </c>
      <c r="CD12" s="47">
        <f>CB12/Consolidation!I10</f>
        <v>1.9991835304519447E-2</v>
      </c>
    </row>
    <row r="13" spans="1:82" ht="15.75" thickBot="1">
      <c r="A13" s="730">
        <v>45303</v>
      </c>
      <c r="B13" s="731">
        <v>957.51</v>
      </c>
      <c r="F13" s="730">
        <v>44938</v>
      </c>
      <c r="G13" s="731">
        <v>452.13</v>
      </c>
      <c r="J13" s="108">
        <f>J12/I12-1</f>
        <v>-0.33645676960613369</v>
      </c>
      <c r="K13" s="108">
        <f>K12/J12-1</f>
        <v>-0.49461597235742538</v>
      </c>
      <c r="AS13" s="411">
        <v>44943</v>
      </c>
      <c r="AT13" s="326">
        <v>452.11999500000002</v>
      </c>
      <c r="AV13" s="411">
        <v>44938</v>
      </c>
      <c r="AW13" s="326">
        <f t="shared" si="0"/>
        <v>451.10000600000001</v>
      </c>
      <c r="BE13" s="421" t="s">
        <v>820</v>
      </c>
      <c r="BK13" s="422"/>
      <c r="BM13" s="651"/>
      <c r="BN13" s="411">
        <v>44943</v>
      </c>
      <c r="BO13" s="326">
        <v>452.11999500000002</v>
      </c>
      <c r="CB13" s="423">
        <f>BK41-CB6</f>
        <v>22.602885968794126</v>
      </c>
      <c r="CC13" s="47">
        <f>CB13/Nigeria!J70</f>
        <v>2.6426326109260222E-2</v>
      </c>
      <c r="CD13" s="47">
        <f>CB13/Consolidation!I32</f>
        <v>1.9957781409664272E-2</v>
      </c>
    </row>
    <row r="14" spans="1:82" ht="15.75" thickBot="1">
      <c r="A14" s="730">
        <v>45304</v>
      </c>
      <c r="B14" s="731">
        <v>957.51</v>
      </c>
      <c r="F14" s="730">
        <v>44939</v>
      </c>
      <c r="G14" s="731">
        <v>452.59</v>
      </c>
      <c r="AS14" s="411">
        <v>44944</v>
      </c>
      <c r="AT14" s="326">
        <v>453.07998700000002</v>
      </c>
      <c r="AV14" s="411">
        <v>44939</v>
      </c>
      <c r="AW14" s="326">
        <f t="shared" si="0"/>
        <v>451.63000499999998</v>
      </c>
      <c r="BA14" s="326">
        <f>BA2</f>
        <v>627.51584164383553</v>
      </c>
      <c r="BB14">
        <v>646</v>
      </c>
      <c r="BE14" s="421"/>
      <c r="BF14" t="s">
        <v>890</v>
      </c>
      <c r="BJ14" t="s">
        <v>887</v>
      </c>
      <c r="BK14" s="422"/>
      <c r="BM14" s="651"/>
      <c r="BN14" s="411">
        <v>44944</v>
      </c>
      <c r="BO14" s="326">
        <v>453.07998700000002</v>
      </c>
      <c r="CB14" s="423"/>
      <c r="CC14" s="108"/>
    </row>
    <row r="15" spans="1:82" ht="15.75" thickBot="1">
      <c r="A15" s="730">
        <v>45305</v>
      </c>
      <c r="B15" s="731">
        <v>957.51</v>
      </c>
      <c r="F15" s="730">
        <v>44940</v>
      </c>
      <c r="G15" s="731">
        <v>452.59</v>
      </c>
      <c r="AS15" s="411">
        <v>44945</v>
      </c>
      <c r="AT15" s="326">
        <v>453.07998700000002</v>
      </c>
      <c r="AV15" s="411">
        <v>44940</v>
      </c>
      <c r="AW15" s="326">
        <f t="shared" si="0"/>
        <v>451.63000499999998</v>
      </c>
      <c r="BA15">
        <f>1/BA14</f>
        <v>1.5935852669159841E-3</v>
      </c>
      <c r="BB15">
        <f>1/BB14</f>
        <v>1.5479876160990713E-3</v>
      </c>
      <c r="BE15" s="421" t="s">
        <v>170</v>
      </c>
      <c r="BH15" s="326">
        <f>(BB14-BA14)/50*BF15</f>
        <v>0</v>
      </c>
      <c r="BJ15" s="423"/>
      <c r="BK15" s="424">
        <f>BH15+BJ15</f>
        <v>0</v>
      </c>
      <c r="BM15" s="651"/>
      <c r="BN15" s="411">
        <v>44945</v>
      </c>
      <c r="BO15" s="326">
        <v>453.07998700000002</v>
      </c>
    </row>
    <row r="16" spans="1:82" ht="15.75" thickBot="1">
      <c r="A16" s="730">
        <v>45306</v>
      </c>
      <c r="B16" s="731">
        <v>958.05</v>
      </c>
      <c r="F16" s="730">
        <v>44941</v>
      </c>
      <c r="G16" s="731">
        <v>452.59</v>
      </c>
      <c r="AS16" s="411">
        <v>44946</v>
      </c>
      <c r="AT16" s="326">
        <v>460</v>
      </c>
      <c r="AV16" s="411">
        <v>44941</v>
      </c>
      <c r="AW16" s="326">
        <f t="shared" si="0"/>
        <v>451.63000499999998</v>
      </c>
      <c r="BB16" s="47">
        <f>BB15/BA15-1</f>
        <v>-2.8613248229356736E-2</v>
      </c>
      <c r="BE16" s="421" t="s">
        <v>880</v>
      </c>
      <c r="BH16" s="326">
        <f>(BB14-BA14)/50*BF16</f>
        <v>0</v>
      </c>
      <c r="BJ16" s="423"/>
      <c r="BK16" s="424">
        <f t="shared" ref="BK16:BK17" si="1">BH16+BJ16</f>
        <v>0</v>
      </c>
      <c r="BM16" s="651"/>
      <c r="BN16" s="411">
        <v>44946</v>
      </c>
      <c r="BO16" s="326">
        <v>460</v>
      </c>
    </row>
    <row r="17" spans="1:67" ht="15.75" thickBot="1">
      <c r="A17" s="730">
        <v>45307</v>
      </c>
      <c r="B17" s="731">
        <v>895.5</v>
      </c>
      <c r="F17" s="730">
        <v>44942</v>
      </c>
      <c r="G17" s="731">
        <v>452.62</v>
      </c>
      <c r="AS17" s="411">
        <v>44949</v>
      </c>
      <c r="AT17" s="326">
        <v>454.55999800000001</v>
      </c>
      <c r="AV17" s="411">
        <v>44942</v>
      </c>
      <c r="AW17" s="326">
        <f t="shared" si="0"/>
        <v>452.08999599999999</v>
      </c>
      <c r="BE17" s="421" t="s">
        <v>794</v>
      </c>
      <c r="BH17" s="326">
        <f>(BB14-BA14)/50*BF17</f>
        <v>0</v>
      </c>
      <c r="BJ17" s="423"/>
      <c r="BK17" s="424">
        <f t="shared" si="1"/>
        <v>0</v>
      </c>
      <c r="BM17" s="651"/>
      <c r="BN17" s="411">
        <v>44949</v>
      </c>
      <c r="BO17" s="326">
        <v>454.55999800000001</v>
      </c>
    </row>
    <row r="18" spans="1:67" ht="15.75" thickBot="1">
      <c r="A18" s="730">
        <v>45308</v>
      </c>
      <c r="B18" s="731">
        <v>876.98400000000004</v>
      </c>
      <c r="F18" s="730">
        <v>44943</v>
      </c>
      <c r="G18" s="731">
        <v>453.58</v>
      </c>
      <c r="AS18" s="411">
        <v>44950</v>
      </c>
      <c r="AT18" s="326">
        <v>454.55999800000001</v>
      </c>
      <c r="AV18" s="411">
        <v>44943</v>
      </c>
      <c r="AW18" s="326">
        <f t="shared" si="0"/>
        <v>452.11999500000002</v>
      </c>
      <c r="BE18" s="421"/>
      <c r="BK18" s="422"/>
      <c r="BM18" s="651"/>
      <c r="BN18" s="411">
        <v>44950</v>
      </c>
      <c r="BO18" s="326">
        <v>454.55999800000001</v>
      </c>
    </row>
    <row r="19" spans="1:67" ht="15.75" thickBot="1">
      <c r="A19" s="730">
        <v>45309</v>
      </c>
      <c r="B19" s="731">
        <v>895.52</v>
      </c>
      <c r="F19" s="730">
        <v>44944</v>
      </c>
      <c r="G19" s="731">
        <v>453.58</v>
      </c>
      <c r="AS19" s="411">
        <v>44951</v>
      </c>
      <c r="AT19" s="326">
        <v>454.57000699999998</v>
      </c>
      <c r="AV19" s="411">
        <v>44944</v>
      </c>
      <c r="AW19" s="326">
        <f t="shared" si="0"/>
        <v>453.07998700000002</v>
      </c>
      <c r="BA19" s="326">
        <f>BB14</f>
        <v>646</v>
      </c>
      <c r="BB19">
        <v>666</v>
      </c>
      <c r="BE19" s="421" t="s">
        <v>821</v>
      </c>
      <c r="BK19" s="422"/>
      <c r="BM19" s="651"/>
      <c r="BN19" s="411">
        <v>44951</v>
      </c>
      <c r="BO19" s="326">
        <v>454.57000699999998</v>
      </c>
    </row>
    <row r="20" spans="1:67" ht="15.75" thickBot="1">
      <c r="A20" s="730">
        <v>45310</v>
      </c>
      <c r="B20" s="731">
        <v>891.04</v>
      </c>
      <c r="F20" s="730">
        <v>44945</v>
      </c>
      <c r="G20" s="731">
        <v>460.5</v>
      </c>
      <c r="AS20" s="411">
        <v>44952</v>
      </c>
      <c r="AT20" s="326">
        <v>459.47000100000002</v>
      </c>
      <c r="AV20" s="411">
        <v>44945</v>
      </c>
      <c r="AW20" s="326">
        <f t="shared" si="0"/>
        <v>453.07998700000002</v>
      </c>
      <c r="BA20">
        <f>1/BA19</f>
        <v>1.5479876160990713E-3</v>
      </c>
      <c r="BB20">
        <f>1/BB19</f>
        <v>1.5015015015015015E-3</v>
      </c>
      <c r="BE20" s="421"/>
      <c r="BH20" s="326">
        <f>(BB19-BA19)/50*BF20</f>
        <v>0</v>
      </c>
      <c r="BK20" s="424">
        <f>BH20+BJ20</f>
        <v>0</v>
      </c>
      <c r="BM20" s="651"/>
      <c r="BN20" s="411">
        <v>44952</v>
      </c>
      <c r="BO20" s="326">
        <v>459.47000100000002</v>
      </c>
    </row>
    <row r="21" spans="1:67" ht="15.75" thickBot="1">
      <c r="A21" s="730">
        <v>45311</v>
      </c>
      <c r="B21" s="731">
        <v>891.04</v>
      </c>
      <c r="F21" s="730">
        <v>44946</v>
      </c>
      <c r="G21" s="731">
        <v>455.06</v>
      </c>
      <c r="AS21" s="411">
        <v>44953</v>
      </c>
      <c r="AT21" s="326">
        <v>459.77999899999998</v>
      </c>
      <c r="AV21" s="411">
        <v>44946</v>
      </c>
      <c r="AW21" s="326">
        <f t="shared" si="0"/>
        <v>460</v>
      </c>
      <c r="BB21" s="47">
        <f>BB20/BA20-1</f>
        <v>-3.003003003003013E-2</v>
      </c>
      <c r="BE21" s="421"/>
      <c r="BH21" s="326">
        <f>(BB19-BA19)/50*BF21</f>
        <v>0</v>
      </c>
      <c r="BK21" s="424">
        <f t="shared" ref="BK21:BK22" si="2">BH21+BJ21</f>
        <v>0</v>
      </c>
      <c r="BM21" s="651"/>
      <c r="BN21" s="411">
        <v>44953</v>
      </c>
      <c r="BO21" s="326">
        <v>459.77999899999998</v>
      </c>
    </row>
    <row r="22" spans="1:67" ht="15.75" thickBot="1">
      <c r="A22" s="730">
        <v>45312</v>
      </c>
      <c r="B22" s="731">
        <v>891.04</v>
      </c>
      <c r="F22" s="730">
        <v>44947</v>
      </c>
      <c r="G22" s="731">
        <v>455.06</v>
      </c>
      <c r="AS22" s="411">
        <v>44956</v>
      </c>
      <c r="AT22" s="326">
        <v>459.77999899999998</v>
      </c>
      <c r="AV22" s="411">
        <v>44947</v>
      </c>
      <c r="AW22" s="326">
        <f t="shared" si="0"/>
        <v>460</v>
      </c>
      <c r="BE22" s="421"/>
      <c r="BH22" s="326">
        <f>(BB19-BA19)/50*BF22</f>
        <v>0</v>
      </c>
      <c r="BK22" s="424">
        <f t="shared" si="2"/>
        <v>0</v>
      </c>
      <c r="BM22" s="651"/>
      <c r="BN22" s="411">
        <v>44956</v>
      </c>
      <c r="BO22" s="326">
        <v>459.77999899999998</v>
      </c>
    </row>
    <row r="23" spans="1:67" ht="15.75" thickBot="1">
      <c r="A23" s="730">
        <v>45313</v>
      </c>
      <c r="B23" s="731">
        <v>891.01</v>
      </c>
      <c r="F23" s="730">
        <v>44948</v>
      </c>
      <c r="G23" s="731">
        <v>455.06</v>
      </c>
      <c r="AS23" s="411">
        <v>44957</v>
      </c>
      <c r="AT23" s="326">
        <v>459.91000400000001</v>
      </c>
      <c r="AV23" s="411">
        <v>44948</v>
      </c>
      <c r="AW23" s="326">
        <f t="shared" si="0"/>
        <v>460</v>
      </c>
      <c r="BE23" s="421"/>
      <c r="BK23" s="422"/>
      <c r="BM23" s="651"/>
      <c r="BN23" s="411">
        <v>44957</v>
      </c>
      <c r="BO23" s="326">
        <v>459.91000400000001</v>
      </c>
    </row>
    <row r="24" spans="1:67" ht="15.75" thickBot="1">
      <c r="A24" s="730">
        <v>45314</v>
      </c>
      <c r="B24" s="731">
        <v>915.45050000000003</v>
      </c>
      <c r="F24" s="730">
        <v>44949</v>
      </c>
      <c r="G24" s="731">
        <v>455.06</v>
      </c>
      <c r="AS24" s="411">
        <v>44958</v>
      </c>
      <c r="AT24" s="326">
        <v>460.01998900000001</v>
      </c>
      <c r="AV24" s="411">
        <v>44949</v>
      </c>
      <c r="AW24" s="326">
        <f t="shared" si="0"/>
        <v>454.55999800000001</v>
      </c>
      <c r="BA24" s="326">
        <f>BB19</f>
        <v>666</v>
      </c>
      <c r="BB24">
        <v>686.5</v>
      </c>
      <c r="BE24" s="421" t="s">
        <v>822</v>
      </c>
      <c r="BK24" s="422"/>
      <c r="BM24" s="651"/>
      <c r="BN24" s="411">
        <v>44958</v>
      </c>
      <c r="BO24" s="326">
        <v>460.01998900000001</v>
      </c>
    </row>
    <row r="25" spans="1:67" ht="15.75" thickBot="1">
      <c r="A25" s="730">
        <v>45315</v>
      </c>
      <c r="B25" s="731">
        <v>900.27</v>
      </c>
      <c r="F25" s="730">
        <v>44950</v>
      </c>
      <c r="G25" s="731">
        <v>455.07</v>
      </c>
      <c r="AS25" s="411">
        <v>44959</v>
      </c>
      <c r="AT25" s="326">
        <v>460.01998900000001</v>
      </c>
      <c r="AV25" s="411">
        <v>44950</v>
      </c>
      <c r="AW25" s="326">
        <f t="shared" si="0"/>
        <v>454.55999800000001</v>
      </c>
      <c r="BA25">
        <f>1/BA24</f>
        <v>1.5015015015015015E-3</v>
      </c>
      <c r="BB25">
        <f>1/BB24</f>
        <v>1.4566642388929353E-3</v>
      </c>
      <c r="BE25" s="421"/>
      <c r="BH25" s="326">
        <f>(BB24-BA24)/50*BF25</f>
        <v>0</v>
      </c>
      <c r="BK25" s="424">
        <f>BH25+BJ25</f>
        <v>0</v>
      </c>
      <c r="BM25" s="651"/>
      <c r="BN25" s="411">
        <v>44959</v>
      </c>
      <c r="BO25" s="326">
        <v>460.01998900000001</v>
      </c>
    </row>
    <row r="26" spans="1:67" ht="15.75" thickBot="1">
      <c r="A26" s="730">
        <v>45316</v>
      </c>
      <c r="B26" s="731">
        <v>888.5</v>
      </c>
      <c r="F26" s="730">
        <v>44951</v>
      </c>
      <c r="G26" s="731">
        <v>459.97</v>
      </c>
      <c r="AS26" s="411">
        <v>44960</v>
      </c>
      <c r="AT26" s="326">
        <v>460.040009</v>
      </c>
      <c r="AV26" s="411">
        <v>44951</v>
      </c>
      <c r="AW26" s="326">
        <f t="shared" si="0"/>
        <v>454.57000699999998</v>
      </c>
      <c r="BB26" s="47">
        <f>BB25/BA25-1</f>
        <v>-2.9861616897305154E-2</v>
      </c>
      <c r="BE26" s="421"/>
      <c r="BH26" s="326">
        <f>(BB24-BA24)/50*BF26</f>
        <v>0</v>
      </c>
      <c r="BK26" s="424">
        <f t="shared" ref="BK26:BK27" si="3">BH26+BJ26</f>
        <v>0</v>
      </c>
      <c r="BM26" s="651"/>
      <c r="BN26" s="411">
        <v>44960</v>
      </c>
      <c r="BO26" s="326">
        <v>460.040009</v>
      </c>
    </row>
    <row r="27" spans="1:67" ht="15.75" thickBot="1">
      <c r="A27" s="730">
        <v>45317</v>
      </c>
      <c r="B27" s="731">
        <v>899.2</v>
      </c>
      <c r="F27" s="730">
        <v>44952</v>
      </c>
      <c r="G27" s="731">
        <v>460.28</v>
      </c>
      <c r="AS27" s="411">
        <v>44963</v>
      </c>
      <c r="AT27" s="326">
        <v>460.040009</v>
      </c>
      <c r="AV27" s="411">
        <v>44952</v>
      </c>
      <c r="AW27" s="326">
        <f t="shared" si="0"/>
        <v>459.47000100000002</v>
      </c>
      <c r="BE27" s="425"/>
      <c r="BF27" s="426"/>
      <c r="BG27" s="426"/>
      <c r="BH27" s="427">
        <f>(BB24-BA24)/50*BF27</f>
        <v>0</v>
      </c>
      <c r="BI27" s="426"/>
      <c r="BJ27" s="426"/>
      <c r="BK27" s="429">
        <f t="shared" si="3"/>
        <v>0</v>
      </c>
      <c r="BM27" s="651"/>
      <c r="BN27" s="411">
        <v>44963</v>
      </c>
      <c r="BO27" s="326">
        <v>460.040009</v>
      </c>
    </row>
    <row r="28" spans="1:67" ht="15.75" thickBot="1">
      <c r="A28" s="730">
        <v>45318</v>
      </c>
      <c r="B28" s="731">
        <v>899.2</v>
      </c>
      <c r="F28" s="730">
        <v>44953</v>
      </c>
      <c r="G28" s="731">
        <v>460.28</v>
      </c>
      <c r="AS28" s="411">
        <v>44964</v>
      </c>
      <c r="AT28" s="326">
        <v>459.20001200000002</v>
      </c>
      <c r="AV28" s="411">
        <v>44953</v>
      </c>
      <c r="AW28" s="326">
        <f t="shared" si="0"/>
        <v>459.77999899999998</v>
      </c>
      <c r="BN28" s="411">
        <v>44964</v>
      </c>
      <c r="BO28" s="326">
        <v>459.20001200000002</v>
      </c>
    </row>
    <row r="29" spans="1:67" ht="15.75" thickBot="1">
      <c r="A29" s="730">
        <v>45319</v>
      </c>
      <c r="B29" s="731">
        <v>899.2</v>
      </c>
      <c r="F29" s="730">
        <v>44954</v>
      </c>
      <c r="G29" s="731">
        <v>460.28</v>
      </c>
      <c r="AS29" s="411">
        <v>44965</v>
      </c>
      <c r="AT29" s="326">
        <v>459.92001299999998</v>
      </c>
      <c r="AV29" s="411">
        <v>44954</v>
      </c>
      <c r="AW29" s="326">
        <f t="shared" si="0"/>
        <v>459.77999899999998</v>
      </c>
      <c r="BN29" s="411">
        <v>44965</v>
      </c>
      <c r="BO29" s="326">
        <v>459.92001299999998</v>
      </c>
    </row>
    <row r="30" spans="1:67" ht="15.75" thickBot="1">
      <c r="A30" s="730">
        <v>45320</v>
      </c>
      <c r="B30" s="731">
        <v>893.5</v>
      </c>
      <c r="F30" s="730">
        <v>44955</v>
      </c>
      <c r="G30" s="731">
        <v>460.28</v>
      </c>
      <c r="AS30" s="411">
        <v>44966</v>
      </c>
      <c r="AT30" s="326">
        <v>459.92001299999998</v>
      </c>
      <c r="AV30" s="411">
        <v>44955</v>
      </c>
      <c r="AW30" s="326">
        <f t="shared" si="0"/>
        <v>459.77999899999998</v>
      </c>
      <c r="BN30" s="411">
        <v>44966</v>
      </c>
      <c r="BO30" s="326">
        <v>459.92001299999998</v>
      </c>
    </row>
    <row r="31" spans="1:67" ht="15.75" thickBot="1">
      <c r="A31" s="730">
        <v>45321</v>
      </c>
      <c r="B31" s="731">
        <v>896.5</v>
      </c>
      <c r="F31" s="730">
        <v>44956</v>
      </c>
      <c r="G31" s="731">
        <v>460.41</v>
      </c>
      <c r="AS31" s="411">
        <v>44967</v>
      </c>
      <c r="AT31" s="326">
        <v>459.97000100000002</v>
      </c>
      <c r="AV31" s="411">
        <v>44956</v>
      </c>
      <c r="AW31" s="326">
        <f t="shared" si="0"/>
        <v>459.77999899999998</v>
      </c>
      <c r="BN31" s="411">
        <v>44967</v>
      </c>
      <c r="BO31" s="326">
        <v>459.97000100000002</v>
      </c>
    </row>
    <row r="32" spans="1:67" ht="15.75" thickBot="1">
      <c r="A32" s="730">
        <v>45322</v>
      </c>
      <c r="B32" s="731">
        <v>896.5</v>
      </c>
      <c r="F32" s="730">
        <v>44957</v>
      </c>
      <c r="G32" s="731">
        <v>460.52</v>
      </c>
      <c r="AS32" s="411">
        <v>44970</v>
      </c>
      <c r="AT32" s="326">
        <v>458.98998999999998</v>
      </c>
      <c r="AV32" s="411">
        <v>44957</v>
      </c>
      <c r="AW32" s="326">
        <f t="shared" si="0"/>
        <v>459.91000400000001</v>
      </c>
      <c r="BN32" s="411">
        <v>44970</v>
      </c>
      <c r="BO32" s="326">
        <v>458.98998999999998</v>
      </c>
    </row>
    <row r="33" spans="1:67" ht="15.75" thickBot="1">
      <c r="A33" s="730">
        <v>45324</v>
      </c>
      <c r="B33" s="731">
        <v>1194.5</v>
      </c>
      <c r="F33" s="730">
        <v>44958</v>
      </c>
      <c r="G33" s="731">
        <v>460.52</v>
      </c>
      <c r="AS33" s="411">
        <v>44971</v>
      </c>
      <c r="AT33" s="326">
        <v>460.01998900000001</v>
      </c>
      <c r="AV33" s="411">
        <v>44958</v>
      </c>
      <c r="AW33" s="326">
        <f t="shared" si="0"/>
        <v>460.01998900000001</v>
      </c>
      <c r="BN33" s="411">
        <v>44971</v>
      </c>
      <c r="BO33" s="326">
        <v>460.01998900000001</v>
      </c>
    </row>
    <row r="34" spans="1:67" ht="15.75" thickBot="1">
      <c r="A34" s="730">
        <v>45325</v>
      </c>
      <c r="B34" s="731">
        <v>1194.5</v>
      </c>
      <c r="F34" s="730">
        <v>44959</v>
      </c>
      <c r="G34" s="731">
        <v>460.54</v>
      </c>
      <c r="AS34" s="411">
        <v>44972</v>
      </c>
      <c r="AT34" s="326">
        <v>460.05999800000001</v>
      </c>
      <c r="AV34" s="411">
        <v>44959</v>
      </c>
      <c r="AW34" s="326">
        <f t="shared" si="0"/>
        <v>460.01998900000001</v>
      </c>
      <c r="BN34" s="411">
        <v>44972</v>
      </c>
      <c r="BO34" s="326">
        <v>460.05999800000001</v>
      </c>
    </row>
    <row r="35" spans="1:67" ht="15.75" thickBot="1">
      <c r="A35" s="730">
        <v>45326</v>
      </c>
      <c r="B35" s="731">
        <v>1194.5</v>
      </c>
      <c r="F35" s="730">
        <v>44960</v>
      </c>
      <c r="G35" s="731">
        <v>460.54</v>
      </c>
      <c r="AS35" s="411">
        <v>44973</v>
      </c>
      <c r="AT35" s="326">
        <v>460</v>
      </c>
      <c r="AV35" s="411">
        <v>44960</v>
      </c>
      <c r="AW35" s="326">
        <f t="shared" si="0"/>
        <v>460.040009</v>
      </c>
      <c r="BN35" s="411">
        <v>44973</v>
      </c>
      <c r="BO35" s="326">
        <v>460</v>
      </c>
    </row>
    <row r="36" spans="1:67" ht="15.75" thickBot="1">
      <c r="A36" s="730">
        <v>45327</v>
      </c>
      <c r="B36" s="731">
        <v>1250.5</v>
      </c>
      <c r="F36" s="730">
        <v>44961</v>
      </c>
      <c r="G36" s="731">
        <v>460.54</v>
      </c>
      <c r="AS36" s="411">
        <v>44974</v>
      </c>
      <c r="AT36" s="326">
        <v>460.04998799999998</v>
      </c>
      <c r="AV36" s="411">
        <v>44961</v>
      </c>
      <c r="AW36" s="326">
        <f t="shared" si="0"/>
        <v>460.040009</v>
      </c>
      <c r="BN36" s="411">
        <v>44974</v>
      </c>
      <c r="BO36" s="326">
        <v>460.04998799999998</v>
      </c>
    </row>
    <row r="37" spans="1:67" ht="15.75" thickBot="1">
      <c r="A37" s="730">
        <v>45330</v>
      </c>
      <c r="B37" s="731">
        <v>1404.01</v>
      </c>
      <c r="F37" s="730">
        <v>44962</v>
      </c>
      <c r="G37" s="731">
        <v>460.54</v>
      </c>
      <c r="AS37" s="411">
        <v>44977</v>
      </c>
      <c r="AT37" s="326">
        <v>460.040009</v>
      </c>
      <c r="AV37" s="411">
        <v>44962</v>
      </c>
      <c r="AW37" s="326">
        <f t="shared" si="0"/>
        <v>460.040009</v>
      </c>
      <c r="BN37" s="411">
        <v>44977</v>
      </c>
      <c r="BO37" s="326">
        <v>460.040009</v>
      </c>
    </row>
    <row r="38" spans="1:67" ht="15.75" thickBot="1">
      <c r="A38" s="730">
        <v>45331</v>
      </c>
      <c r="B38" s="731">
        <v>1474.62</v>
      </c>
      <c r="F38" s="730">
        <v>44963</v>
      </c>
      <c r="G38" s="731">
        <v>459.7</v>
      </c>
      <c r="AS38" s="411">
        <v>44978</v>
      </c>
      <c r="AT38" s="326">
        <v>460.04998799999998</v>
      </c>
      <c r="AV38" s="411">
        <v>44963</v>
      </c>
      <c r="AW38" s="326">
        <f t="shared" si="0"/>
        <v>460.040009</v>
      </c>
      <c r="BN38" s="411">
        <v>44978</v>
      </c>
      <c r="BO38" s="326">
        <v>460.04998799999998</v>
      </c>
    </row>
    <row r="39" spans="1:67" ht="15.75" thickBot="1">
      <c r="A39" s="730">
        <v>45332</v>
      </c>
      <c r="B39" s="731">
        <v>1474.62</v>
      </c>
      <c r="F39" s="730">
        <v>44964</v>
      </c>
      <c r="G39" s="731">
        <v>460.42</v>
      </c>
      <c r="AS39" s="411">
        <v>44979</v>
      </c>
      <c r="AT39" s="326">
        <v>456</v>
      </c>
      <c r="AV39" s="411">
        <v>44964</v>
      </c>
      <c r="AW39" s="326">
        <f t="shared" si="0"/>
        <v>459.20001200000002</v>
      </c>
      <c r="BN39" s="411">
        <v>44979</v>
      </c>
      <c r="BO39" s="326">
        <v>456</v>
      </c>
    </row>
    <row r="40" spans="1:67" ht="15.75" thickBot="1">
      <c r="A40" s="730">
        <v>45333</v>
      </c>
      <c r="B40" s="731">
        <v>1474.62</v>
      </c>
      <c r="F40" s="730">
        <v>44965</v>
      </c>
      <c r="G40" s="731">
        <v>460.42</v>
      </c>
      <c r="AS40" s="411">
        <v>44980</v>
      </c>
      <c r="AT40" s="326">
        <v>459.97000100000002</v>
      </c>
      <c r="AV40" s="411">
        <v>44965</v>
      </c>
      <c r="AW40" s="326">
        <f t="shared" si="0"/>
        <v>459.92001299999998</v>
      </c>
      <c r="BN40" s="411">
        <v>44980</v>
      </c>
      <c r="BO40" s="326">
        <v>459.97000100000002</v>
      </c>
    </row>
    <row r="41" spans="1:67" ht="15.75" thickBot="1">
      <c r="A41" s="730">
        <v>45334</v>
      </c>
      <c r="B41" s="731">
        <v>1503.5</v>
      </c>
      <c r="F41" s="730">
        <v>44966</v>
      </c>
      <c r="G41" s="731">
        <v>460.47</v>
      </c>
      <c r="AS41" s="411">
        <v>44981</v>
      </c>
      <c r="AT41" s="326">
        <v>459.94000199999999</v>
      </c>
      <c r="AV41" s="411">
        <v>44966</v>
      </c>
      <c r="AW41" s="326">
        <f t="shared" si="0"/>
        <v>459.92001299999998</v>
      </c>
      <c r="BN41" s="411">
        <v>44981</v>
      </c>
      <c r="BO41" s="326">
        <v>459.94000199999999</v>
      </c>
    </row>
    <row r="42" spans="1:67" ht="15.75" thickBot="1">
      <c r="A42" s="730">
        <v>45335</v>
      </c>
      <c r="B42" s="731">
        <v>1515.59</v>
      </c>
      <c r="F42" s="730">
        <v>44967</v>
      </c>
      <c r="G42" s="731">
        <v>459.49</v>
      </c>
      <c r="AS42" s="411">
        <v>44984</v>
      </c>
      <c r="AT42" s="326">
        <v>459.94000199999999</v>
      </c>
      <c r="AV42" s="411">
        <v>44967</v>
      </c>
      <c r="AW42" s="326">
        <f t="shared" si="0"/>
        <v>459.97000100000002</v>
      </c>
      <c r="BG42">
        <v>50</v>
      </c>
      <c r="BH42">
        <v>-25</v>
      </c>
      <c r="BK42">
        <v>500</v>
      </c>
      <c r="BN42" s="411">
        <v>44984</v>
      </c>
      <c r="BO42" s="326">
        <v>459.94000199999999</v>
      </c>
    </row>
    <row r="43" spans="1:67" ht="15.75" thickBot="1">
      <c r="A43" s="730">
        <v>45336</v>
      </c>
      <c r="B43" s="731">
        <v>1516.5</v>
      </c>
      <c r="F43" s="730">
        <v>44968</v>
      </c>
      <c r="G43" s="731">
        <v>459.49</v>
      </c>
      <c r="AS43" s="411">
        <v>44985</v>
      </c>
      <c r="AT43" s="326">
        <v>458</v>
      </c>
      <c r="AV43" s="411">
        <v>44968</v>
      </c>
      <c r="AW43" s="326">
        <f t="shared" si="0"/>
        <v>459.97000100000002</v>
      </c>
      <c r="BK43">
        <v>767.7</v>
      </c>
      <c r="BN43" s="411">
        <v>44985</v>
      </c>
      <c r="BO43" s="326">
        <v>458</v>
      </c>
    </row>
    <row r="44" spans="1:67" ht="15.75" thickBot="1">
      <c r="A44" s="730">
        <v>45337</v>
      </c>
      <c r="B44" s="731">
        <v>1517.2</v>
      </c>
      <c r="F44" s="730">
        <v>44969</v>
      </c>
      <c r="G44" s="731">
        <v>459.49</v>
      </c>
      <c r="AS44" s="411">
        <v>44986</v>
      </c>
      <c r="AT44" s="326">
        <v>459.97000100000002</v>
      </c>
      <c r="AV44" s="411">
        <v>44969</v>
      </c>
      <c r="AW44" s="326">
        <f t="shared" si="0"/>
        <v>459.97000100000002</v>
      </c>
      <c r="BH44">
        <f>BH42*BK45</f>
        <v>-133.85000000000002</v>
      </c>
      <c r="BK44">
        <f>BK43-BK42</f>
        <v>267.70000000000005</v>
      </c>
      <c r="BN44" s="411">
        <v>44986</v>
      </c>
      <c r="BO44" s="326">
        <v>459.97000100000002</v>
      </c>
    </row>
    <row r="45" spans="1:67" ht="15.75" thickBot="1">
      <c r="A45" s="730">
        <v>45338</v>
      </c>
      <c r="B45" s="731">
        <v>1493.73</v>
      </c>
      <c r="F45" s="730">
        <v>44970</v>
      </c>
      <c r="G45" s="731">
        <v>460.52</v>
      </c>
      <c r="AS45" s="411">
        <v>44987</v>
      </c>
      <c r="AT45" s="326">
        <v>456</v>
      </c>
      <c r="AV45" s="411">
        <v>44970</v>
      </c>
      <c r="AW45" s="326">
        <f t="shared" si="0"/>
        <v>458.98998999999998</v>
      </c>
      <c r="BK45">
        <f>BK44/50</f>
        <v>5.354000000000001</v>
      </c>
      <c r="BN45" s="411">
        <v>44987</v>
      </c>
      <c r="BO45" s="326">
        <v>456</v>
      </c>
    </row>
    <row r="46" spans="1:67" ht="15.75" thickBot="1">
      <c r="A46" s="730">
        <v>45339</v>
      </c>
      <c r="B46" s="731">
        <v>1493.73</v>
      </c>
      <c r="F46" s="730">
        <v>44971</v>
      </c>
      <c r="G46" s="731">
        <v>460.56</v>
      </c>
      <c r="AS46" s="411">
        <v>44988</v>
      </c>
      <c r="AT46" s="326">
        <v>458</v>
      </c>
      <c r="AV46" s="411">
        <v>44971</v>
      </c>
      <c r="AW46" s="326">
        <f t="shared" si="0"/>
        <v>460.01998900000001</v>
      </c>
      <c r="BN46" s="411">
        <v>44988</v>
      </c>
      <c r="BO46" s="326">
        <v>458</v>
      </c>
    </row>
    <row r="47" spans="1:67" ht="15.75" thickBot="1">
      <c r="A47" s="730">
        <v>45340</v>
      </c>
      <c r="B47" s="731">
        <v>1493.73</v>
      </c>
      <c r="F47" s="730">
        <v>44972</v>
      </c>
      <c r="G47" s="731">
        <v>461.5</v>
      </c>
      <c r="AS47" s="411">
        <v>44991</v>
      </c>
      <c r="AT47" s="326">
        <v>459.959991</v>
      </c>
      <c r="AV47" s="411">
        <v>44972</v>
      </c>
      <c r="AW47" s="326">
        <f t="shared" si="0"/>
        <v>460.05999800000001</v>
      </c>
      <c r="BN47" s="411">
        <v>44991</v>
      </c>
      <c r="BO47" s="326">
        <v>459.959991</v>
      </c>
    </row>
    <row r="48" spans="1:67" ht="15.75" thickBot="1">
      <c r="A48" s="730">
        <v>45341</v>
      </c>
      <c r="B48" s="731">
        <v>1493.73</v>
      </c>
      <c r="F48" s="730">
        <v>44973</v>
      </c>
      <c r="G48" s="731">
        <v>460.55</v>
      </c>
      <c r="AS48" s="411">
        <v>44992</v>
      </c>
      <c r="AT48" s="326">
        <v>459.959991</v>
      </c>
      <c r="AV48" s="411">
        <v>44973</v>
      </c>
      <c r="AW48" s="326">
        <f t="shared" si="0"/>
        <v>460</v>
      </c>
      <c r="BN48" s="411">
        <v>44992</v>
      </c>
      <c r="BO48" s="326">
        <v>459.959991</v>
      </c>
    </row>
    <row r="49" spans="1:67" ht="15.75" thickBot="1">
      <c r="A49" s="730">
        <v>45342</v>
      </c>
      <c r="B49" s="731">
        <v>1606.3</v>
      </c>
      <c r="F49" s="730">
        <v>44974</v>
      </c>
      <c r="G49" s="731">
        <v>460</v>
      </c>
      <c r="AS49" s="411">
        <v>44993</v>
      </c>
      <c r="AT49" s="326">
        <v>455</v>
      </c>
      <c r="AV49" s="411">
        <v>44974</v>
      </c>
      <c r="AW49" s="326">
        <f t="shared" si="0"/>
        <v>460.04998799999998</v>
      </c>
      <c r="BN49" s="411">
        <v>44993</v>
      </c>
      <c r="BO49" s="326">
        <v>455</v>
      </c>
    </row>
    <row r="50" spans="1:67" ht="15.75" thickBot="1">
      <c r="A50" s="730">
        <v>45343</v>
      </c>
      <c r="B50" s="731">
        <v>1607</v>
      </c>
      <c r="F50" s="730">
        <v>44975</v>
      </c>
      <c r="G50" s="731">
        <v>460.54</v>
      </c>
      <c r="AS50" s="411">
        <v>44994</v>
      </c>
      <c r="AT50" s="326">
        <v>456</v>
      </c>
      <c r="AV50" s="411">
        <v>44975</v>
      </c>
      <c r="AW50" s="326">
        <f t="shared" si="0"/>
        <v>460.04998799999998</v>
      </c>
      <c r="BN50" s="411">
        <v>44994</v>
      </c>
      <c r="BO50" s="326">
        <v>456</v>
      </c>
    </row>
    <row r="51" spans="1:67" ht="15.75" thickBot="1">
      <c r="A51" s="730">
        <v>45344</v>
      </c>
      <c r="B51" s="731">
        <v>1607</v>
      </c>
      <c r="F51" s="730">
        <v>44976</v>
      </c>
      <c r="G51" s="731">
        <v>460.54</v>
      </c>
      <c r="AS51" s="411">
        <v>44995</v>
      </c>
      <c r="AT51" s="326">
        <v>458</v>
      </c>
      <c r="AV51" s="411">
        <v>44976</v>
      </c>
      <c r="AW51" s="326">
        <f t="shared" si="0"/>
        <v>460.04998799999998</v>
      </c>
      <c r="BN51" s="411">
        <v>44995</v>
      </c>
      <c r="BO51" s="326">
        <v>458</v>
      </c>
    </row>
    <row r="52" spans="1:67" ht="15.75" thickBot="1">
      <c r="A52" s="730">
        <v>45345</v>
      </c>
      <c r="B52" s="731">
        <v>1607</v>
      </c>
      <c r="F52" s="730">
        <v>44977</v>
      </c>
      <c r="G52" s="731">
        <v>460.55</v>
      </c>
      <c r="AS52" s="411">
        <v>44998</v>
      </c>
      <c r="AT52" s="326">
        <v>460.01998900000001</v>
      </c>
      <c r="AV52" s="411">
        <v>44977</v>
      </c>
      <c r="AW52" s="326">
        <f t="shared" si="0"/>
        <v>460.040009</v>
      </c>
      <c r="BN52" s="411">
        <v>44998</v>
      </c>
      <c r="BO52" s="326">
        <v>460.01998900000001</v>
      </c>
    </row>
    <row r="53" spans="1:67" ht="15.75" thickBot="1">
      <c r="A53" s="730">
        <v>45346</v>
      </c>
      <c r="B53" s="731">
        <v>1607</v>
      </c>
      <c r="F53" s="730">
        <v>44978</v>
      </c>
      <c r="G53" s="731">
        <v>460</v>
      </c>
      <c r="AS53" s="411">
        <v>44999</v>
      </c>
      <c r="AT53" s="326">
        <v>455</v>
      </c>
      <c r="AV53" s="411">
        <v>44978</v>
      </c>
      <c r="AW53" s="326">
        <f t="shared" si="0"/>
        <v>460.04998799999998</v>
      </c>
      <c r="BN53" s="411">
        <v>44999</v>
      </c>
      <c r="BO53" s="326">
        <v>455</v>
      </c>
    </row>
    <row r="54" spans="1:67" ht="15.75" thickBot="1">
      <c r="A54" s="730">
        <v>45347</v>
      </c>
      <c r="B54" s="731">
        <v>1607</v>
      </c>
      <c r="F54" s="730">
        <v>44979</v>
      </c>
      <c r="G54" s="731">
        <v>460.47</v>
      </c>
      <c r="AS54" s="411">
        <v>45000</v>
      </c>
      <c r="AT54" s="326">
        <v>460.02999899999998</v>
      </c>
      <c r="AV54" s="411">
        <v>44979</v>
      </c>
      <c r="AW54" s="326">
        <f t="shared" si="0"/>
        <v>456</v>
      </c>
      <c r="BN54" s="411">
        <v>45000</v>
      </c>
      <c r="BO54" s="326">
        <v>460.02999899999998</v>
      </c>
    </row>
    <row r="55" spans="1:67" ht="15.75" thickBot="1">
      <c r="A55" s="730">
        <v>45348</v>
      </c>
      <c r="B55" s="731">
        <v>1564</v>
      </c>
      <c r="F55" s="730">
        <v>44980</v>
      </c>
      <c r="G55" s="731">
        <v>460.44</v>
      </c>
      <c r="AS55" s="411">
        <v>45001</v>
      </c>
      <c r="AT55" s="326">
        <v>457</v>
      </c>
      <c r="AV55" s="411">
        <v>44980</v>
      </c>
      <c r="AW55" s="326">
        <f t="shared" si="0"/>
        <v>459.97000100000002</v>
      </c>
      <c r="BN55" s="411">
        <v>45001</v>
      </c>
      <c r="BO55" s="326">
        <v>457</v>
      </c>
    </row>
    <row r="56" spans="1:67" ht="15.75" thickBot="1">
      <c r="A56" s="730">
        <v>45349</v>
      </c>
      <c r="B56" s="731">
        <v>1579.08</v>
      </c>
      <c r="F56" s="730">
        <v>44981</v>
      </c>
      <c r="G56" s="731">
        <v>459.5</v>
      </c>
      <c r="AS56" s="411">
        <v>45002</v>
      </c>
      <c r="AT56" s="326">
        <v>457</v>
      </c>
      <c r="AV56" s="411">
        <v>44981</v>
      </c>
      <c r="AW56" s="326">
        <f t="shared" si="0"/>
        <v>459.94000199999999</v>
      </c>
      <c r="BN56" s="411">
        <v>45002</v>
      </c>
      <c r="BO56" s="326">
        <v>457</v>
      </c>
    </row>
    <row r="57" spans="1:67" ht="15.75" thickBot="1">
      <c r="A57" s="730">
        <v>45350</v>
      </c>
      <c r="B57" s="731">
        <v>1630.66</v>
      </c>
      <c r="F57" s="730">
        <v>44982</v>
      </c>
      <c r="G57" s="731">
        <v>460.44</v>
      </c>
      <c r="AS57" s="411">
        <v>45005</v>
      </c>
      <c r="AT57" s="326">
        <v>459.94000199999999</v>
      </c>
      <c r="AV57" s="411">
        <v>44982</v>
      </c>
      <c r="AW57" s="326">
        <f t="shared" si="0"/>
        <v>459.94000199999999</v>
      </c>
      <c r="BN57" s="411">
        <v>45005</v>
      </c>
      <c r="BO57" s="326">
        <v>459.94000199999999</v>
      </c>
    </row>
    <row r="58" spans="1:67" ht="15.75" thickBot="1">
      <c r="A58" s="730">
        <v>45351</v>
      </c>
      <c r="B58" s="731">
        <v>1617.55</v>
      </c>
      <c r="F58" s="730">
        <v>44983</v>
      </c>
      <c r="G58" s="731">
        <v>460.44</v>
      </c>
      <c r="AS58" s="411">
        <v>45006</v>
      </c>
      <c r="AT58" s="326">
        <v>459.89001500000001</v>
      </c>
      <c r="AV58" s="411">
        <v>44983</v>
      </c>
      <c r="AW58" s="326">
        <f t="shared" si="0"/>
        <v>459.94000199999999</v>
      </c>
      <c r="BN58" s="411">
        <v>45006</v>
      </c>
      <c r="BO58" s="326">
        <v>459.89001500000001</v>
      </c>
    </row>
    <row r="59" spans="1:67" ht="15.75" thickBot="1">
      <c r="A59" s="730">
        <v>45352</v>
      </c>
      <c r="B59" s="731">
        <v>1578.06</v>
      </c>
      <c r="F59" s="730">
        <v>44984</v>
      </c>
      <c r="G59" s="731">
        <v>460.5</v>
      </c>
      <c r="AS59" s="411">
        <v>45007</v>
      </c>
      <c r="AT59" s="326">
        <v>459.92001299999998</v>
      </c>
      <c r="AV59" s="411">
        <v>44984</v>
      </c>
      <c r="AW59" s="326">
        <f t="shared" si="0"/>
        <v>459.94000199999999</v>
      </c>
      <c r="BN59" s="411">
        <v>45007</v>
      </c>
      <c r="BO59" s="326">
        <v>459.92001299999998</v>
      </c>
    </row>
    <row r="60" spans="1:67" ht="15.75" thickBot="1">
      <c r="A60" s="730">
        <v>45353</v>
      </c>
      <c r="B60" s="731">
        <v>1578.06</v>
      </c>
      <c r="F60" s="730">
        <v>44985</v>
      </c>
      <c r="G60" s="731">
        <v>460.47</v>
      </c>
      <c r="AS60" s="411">
        <v>45008</v>
      </c>
      <c r="AT60" s="326">
        <v>459.95001200000002</v>
      </c>
      <c r="AV60" s="411">
        <v>44985</v>
      </c>
      <c r="AW60" s="326">
        <f t="shared" si="0"/>
        <v>458</v>
      </c>
      <c r="BN60" s="411">
        <v>45008</v>
      </c>
      <c r="BO60" s="326">
        <v>459.95001200000002</v>
      </c>
    </row>
    <row r="61" spans="1:67" ht="15.75" thickBot="1">
      <c r="A61" s="730">
        <v>45354</v>
      </c>
      <c r="B61" s="731">
        <v>1578.06</v>
      </c>
      <c r="F61" s="730">
        <v>44986</v>
      </c>
      <c r="G61" s="731">
        <v>460.5</v>
      </c>
      <c r="AS61" s="411">
        <v>45009</v>
      </c>
      <c r="AT61" s="326">
        <v>459.98001099999999</v>
      </c>
      <c r="AV61" s="411">
        <v>44986</v>
      </c>
      <c r="AW61" s="326">
        <f t="shared" si="0"/>
        <v>459.97000100000002</v>
      </c>
      <c r="BN61" s="411">
        <v>45009</v>
      </c>
      <c r="BO61" s="326">
        <v>459.98001099999999</v>
      </c>
    </row>
    <row r="62" spans="1:67" ht="15.75" thickBot="1">
      <c r="A62" s="730">
        <v>45355</v>
      </c>
      <c r="B62" s="731">
        <v>1512.49</v>
      </c>
      <c r="F62" s="730">
        <v>44987</v>
      </c>
      <c r="G62" s="731">
        <v>460</v>
      </c>
      <c r="AS62" s="411">
        <v>45012</v>
      </c>
      <c r="AT62" s="326">
        <v>459.98001099999999</v>
      </c>
      <c r="AV62" s="411">
        <v>44987</v>
      </c>
      <c r="AW62" s="326">
        <f t="shared" si="0"/>
        <v>456</v>
      </c>
      <c r="BN62" s="411">
        <v>45012</v>
      </c>
      <c r="BO62" s="326">
        <v>459.98001099999999</v>
      </c>
    </row>
    <row r="63" spans="1:67" ht="15.75" thickBot="1">
      <c r="A63" s="730">
        <v>45356</v>
      </c>
      <c r="B63" s="731">
        <v>1561.01</v>
      </c>
      <c r="F63" s="730">
        <v>44988</v>
      </c>
      <c r="G63" s="731">
        <v>461</v>
      </c>
      <c r="AS63" s="411">
        <v>45013</v>
      </c>
      <c r="AT63" s="326">
        <v>461</v>
      </c>
      <c r="AV63" s="411">
        <v>44988</v>
      </c>
      <c r="AW63" s="326">
        <f t="shared" si="0"/>
        <v>458</v>
      </c>
      <c r="BN63" s="411">
        <v>45013</v>
      </c>
      <c r="BO63" s="326">
        <v>461</v>
      </c>
    </row>
    <row r="64" spans="1:67" ht="15.75" thickBot="1">
      <c r="A64" s="730">
        <v>45357</v>
      </c>
      <c r="B64" s="731">
        <v>1591.17</v>
      </c>
      <c r="F64" s="730">
        <v>44989</v>
      </c>
      <c r="G64" s="731">
        <v>460.46</v>
      </c>
      <c r="AS64" s="411">
        <v>45014</v>
      </c>
      <c r="AT64" s="326">
        <v>462</v>
      </c>
      <c r="AV64" s="411">
        <v>44989</v>
      </c>
      <c r="AW64" s="326">
        <f t="shared" si="0"/>
        <v>458</v>
      </c>
      <c r="BN64" s="411">
        <v>45014</v>
      </c>
      <c r="BO64" s="326">
        <v>462</v>
      </c>
    </row>
    <row r="65" spans="1:67" ht="15.75" thickBot="1">
      <c r="A65" s="730">
        <v>45358</v>
      </c>
      <c r="B65" s="731">
        <v>1591.5</v>
      </c>
      <c r="F65" s="730">
        <v>44990</v>
      </c>
      <c r="G65" s="731">
        <v>460.46</v>
      </c>
      <c r="AS65" s="411">
        <v>45015</v>
      </c>
      <c r="AT65" s="326">
        <v>456</v>
      </c>
      <c r="AV65" s="411">
        <v>44990</v>
      </c>
      <c r="AW65" s="326">
        <f t="shared" si="0"/>
        <v>458</v>
      </c>
      <c r="BN65" s="411">
        <v>45015</v>
      </c>
      <c r="BO65" s="326">
        <v>456</v>
      </c>
    </row>
    <row r="66" spans="1:67" ht="15.75" thickBot="1">
      <c r="A66" s="730">
        <v>45359</v>
      </c>
      <c r="B66" s="731">
        <v>1594.34</v>
      </c>
      <c r="F66" s="730">
        <v>44991</v>
      </c>
      <c r="G66" s="731">
        <v>460.46</v>
      </c>
      <c r="AS66" s="411">
        <v>45016</v>
      </c>
      <c r="AT66" s="326">
        <v>459</v>
      </c>
      <c r="AV66" s="411">
        <v>44991</v>
      </c>
      <c r="AW66" s="326">
        <f t="shared" si="0"/>
        <v>459.959991</v>
      </c>
      <c r="BN66" s="411">
        <v>45016</v>
      </c>
      <c r="BO66" s="326">
        <v>459</v>
      </c>
    </row>
    <row r="67" spans="1:67" ht="15.75" thickBot="1">
      <c r="A67" s="730">
        <v>45360</v>
      </c>
      <c r="B67" s="731">
        <v>1594.34</v>
      </c>
      <c r="F67" s="730">
        <v>44992</v>
      </c>
      <c r="G67" s="731">
        <v>460.5</v>
      </c>
      <c r="AS67" s="411">
        <v>45019</v>
      </c>
      <c r="AT67" s="326">
        <v>459.83999599999999</v>
      </c>
      <c r="AV67" s="411">
        <v>44992</v>
      </c>
      <c r="AW67" s="326">
        <f t="shared" ref="AW67:AW130" si="4">VLOOKUP(AV67,$AS$2:$AT$312,2,TRUE)</f>
        <v>459.959991</v>
      </c>
      <c r="BN67" s="411">
        <v>45019</v>
      </c>
      <c r="BO67" s="326">
        <v>459.83999599999999</v>
      </c>
    </row>
    <row r="68" spans="1:67" ht="15.75" thickBot="1">
      <c r="A68" s="730">
        <v>45361</v>
      </c>
      <c r="B68" s="731">
        <v>1594.34</v>
      </c>
      <c r="F68" s="730">
        <v>44993</v>
      </c>
      <c r="G68" s="731">
        <v>460.5</v>
      </c>
      <c r="AS68" s="411">
        <v>45020</v>
      </c>
      <c r="AT68" s="326">
        <v>459.82998700000002</v>
      </c>
      <c r="AV68" s="411">
        <v>44993</v>
      </c>
      <c r="AW68" s="326">
        <f t="shared" si="4"/>
        <v>455</v>
      </c>
      <c r="BN68" s="411">
        <v>45020</v>
      </c>
      <c r="BO68" s="326">
        <v>459.82998700000002</v>
      </c>
    </row>
    <row r="69" spans="1:67" ht="15.75" thickBot="1">
      <c r="A69" s="730">
        <v>45362</v>
      </c>
      <c r="B69" s="731">
        <v>1625.23</v>
      </c>
      <c r="F69" s="730">
        <v>44994</v>
      </c>
      <c r="G69" s="731">
        <v>460.5</v>
      </c>
      <c r="AS69" s="411">
        <v>45021</v>
      </c>
      <c r="AT69" s="326">
        <v>462</v>
      </c>
      <c r="AV69" s="411">
        <v>44994</v>
      </c>
      <c r="AW69" s="326">
        <f t="shared" si="4"/>
        <v>456</v>
      </c>
      <c r="BN69" s="411">
        <v>45021</v>
      </c>
      <c r="BO69" s="326">
        <v>462</v>
      </c>
    </row>
    <row r="70" spans="1:67" ht="15.75" thickBot="1">
      <c r="A70" s="730">
        <v>45363</v>
      </c>
      <c r="B70" s="731">
        <v>1612.78</v>
      </c>
      <c r="F70" s="730">
        <v>44995</v>
      </c>
      <c r="G70" s="731">
        <v>460.52</v>
      </c>
      <c r="AS70" s="411">
        <v>45022</v>
      </c>
      <c r="AT70" s="326">
        <v>461</v>
      </c>
      <c r="AV70" s="411">
        <v>44995</v>
      </c>
      <c r="AW70" s="326">
        <f t="shared" si="4"/>
        <v>458</v>
      </c>
      <c r="BN70" s="411">
        <v>45022</v>
      </c>
      <c r="BO70" s="326">
        <v>461</v>
      </c>
    </row>
    <row r="71" spans="1:67" ht="15.75" thickBot="1">
      <c r="A71" s="730">
        <v>45364</v>
      </c>
      <c r="B71" s="731">
        <v>1608.11</v>
      </c>
      <c r="F71" s="730">
        <v>44996</v>
      </c>
      <c r="G71" s="731">
        <v>460.52</v>
      </c>
      <c r="AS71" s="411">
        <v>45023</v>
      </c>
      <c r="AT71" s="326">
        <v>459.82998700000002</v>
      </c>
      <c r="AV71" s="411">
        <v>44996</v>
      </c>
      <c r="AW71" s="326">
        <f t="shared" si="4"/>
        <v>458</v>
      </c>
      <c r="BN71" s="411">
        <v>45023</v>
      </c>
      <c r="BO71" s="326">
        <v>459.82998700000002</v>
      </c>
    </row>
    <row r="72" spans="1:67" ht="15.75" thickBot="1">
      <c r="A72" s="730">
        <v>45365</v>
      </c>
      <c r="B72" s="731">
        <v>1594.5</v>
      </c>
      <c r="F72" s="730">
        <v>44997</v>
      </c>
      <c r="G72" s="731">
        <v>460.52</v>
      </c>
      <c r="AS72" s="411">
        <v>45026</v>
      </c>
      <c r="AT72" s="326">
        <v>459.82998700000002</v>
      </c>
      <c r="AV72" s="411">
        <v>44997</v>
      </c>
      <c r="AW72" s="326">
        <f t="shared" si="4"/>
        <v>458</v>
      </c>
      <c r="BN72" s="411">
        <v>45026</v>
      </c>
      <c r="BO72" s="326">
        <v>459.82998700000002</v>
      </c>
    </row>
    <row r="73" spans="1:67" ht="15.75" thickBot="1">
      <c r="A73" s="730">
        <v>45366</v>
      </c>
      <c r="B73" s="731">
        <v>1611.12</v>
      </c>
      <c r="F73" s="730">
        <v>44998</v>
      </c>
      <c r="G73" s="731">
        <v>460.5</v>
      </c>
      <c r="AS73" s="411">
        <v>45027</v>
      </c>
      <c r="AT73" s="326">
        <v>459.82998700000002</v>
      </c>
      <c r="AV73" s="411">
        <v>44998</v>
      </c>
      <c r="AW73" s="326">
        <f t="shared" si="4"/>
        <v>460.01998900000001</v>
      </c>
      <c r="BN73" s="411">
        <v>45027</v>
      </c>
      <c r="BO73" s="326">
        <v>459.82998700000002</v>
      </c>
    </row>
    <row r="74" spans="1:67" ht="15.75" thickBot="1">
      <c r="A74" s="730">
        <v>45367</v>
      </c>
      <c r="B74" s="731">
        <v>1611.12</v>
      </c>
      <c r="F74" s="730">
        <v>44999</v>
      </c>
      <c r="G74" s="731">
        <v>460.53</v>
      </c>
      <c r="AS74" s="411">
        <v>45028</v>
      </c>
      <c r="AT74" s="326">
        <v>463</v>
      </c>
      <c r="AV74" s="411">
        <v>44999</v>
      </c>
      <c r="AW74" s="326">
        <f t="shared" si="4"/>
        <v>455</v>
      </c>
      <c r="BN74" s="411">
        <v>45028</v>
      </c>
      <c r="BO74" s="326">
        <v>463</v>
      </c>
    </row>
    <row r="75" spans="1:67" ht="15.75" thickBot="1">
      <c r="A75" s="730">
        <v>45368</v>
      </c>
      <c r="B75" s="731">
        <v>1611.12</v>
      </c>
      <c r="F75" s="730">
        <v>45000</v>
      </c>
      <c r="G75" s="731">
        <v>460</v>
      </c>
      <c r="AS75" s="411">
        <v>45029</v>
      </c>
      <c r="AT75" s="326">
        <v>462</v>
      </c>
      <c r="AV75" s="411">
        <v>45000</v>
      </c>
      <c r="AW75" s="326">
        <f t="shared" si="4"/>
        <v>460.02999899999998</v>
      </c>
      <c r="BN75" s="411">
        <v>45029</v>
      </c>
      <c r="BO75" s="326">
        <v>462</v>
      </c>
    </row>
    <row r="76" spans="1:67" ht="15.75" thickBot="1">
      <c r="A76" s="730">
        <v>45369</v>
      </c>
      <c r="B76" s="731">
        <v>1564.46</v>
      </c>
      <c r="F76" s="730">
        <v>45001</v>
      </c>
      <c r="G76" s="731">
        <v>460</v>
      </c>
      <c r="AS76" s="411">
        <v>45030</v>
      </c>
      <c r="AT76" s="326">
        <v>463</v>
      </c>
      <c r="AV76" s="411">
        <v>45001</v>
      </c>
      <c r="AW76" s="326">
        <f t="shared" si="4"/>
        <v>457</v>
      </c>
      <c r="BN76" s="411">
        <v>45030</v>
      </c>
      <c r="BO76" s="326">
        <v>463</v>
      </c>
    </row>
    <row r="77" spans="1:67" ht="15.75" thickBot="1">
      <c r="A77" s="730">
        <v>45370</v>
      </c>
      <c r="B77" s="731">
        <v>1477.25</v>
      </c>
      <c r="F77" s="730">
        <v>45002</v>
      </c>
      <c r="G77" s="731">
        <v>460</v>
      </c>
      <c r="AS77" s="411">
        <v>45033</v>
      </c>
      <c r="AT77" s="326">
        <v>459.92999300000002</v>
      </c>
      <c r="AV77" s="411">
        <v>45002</v>
      </c>
      <c r="AW77" s="326">
        <f t="shared" si="4"/>
        <v>457</v>
      </c>
      <c r="BN77" s="411">
        <v>45033</v>
      </c>
      <c r="BO77" s="326">
        <v>459.92999300000002</v>
      </c>
    </row>
    <row r="78" spans="1:67" ht="15.75" thickBot="1">
      <c r="A78" s="730">
        <v>45371</v>
      </c>
      <c r="B78" s="731">
        <v>1481</v>
      </c>
      <c r="F78" s="730">
        <v>45003</v>
      </c>
      <c r="G78" s="731">
        <v>460.44</v>
      </c>
      <c r="AS78" s="411">
        <v>45034</v>
      </c>
      <c r="AT78" s="326">
        <v>459.92001299999998</v>
      </c>
      <c r="AV78" s="411">
        <v>45003</v>
      </c>
      <c r="AW78" s="326">
        <f t="shared" si="4"/>
        <v>457</v>
      </c>
      <c r="BN78" s="411">
        <v>45034</v>
      </c>
      <c r="BO78" s="326">
        <v>459.92001299999998</v>
      </c>
    </row>
    <row r="79" spans="1:67" ht="15.75" thickBot="1">
      <c r="A79" s="730">
        <v>45372</v>
      </c>
      <c r="B79" s="731">
        <v>1370.49</v>
      </c>
      <c r="F79" s="730">
        <v>45004</v>
      </c>
      <c r="G79" s="731">
        <v>460.44</v>
      </c>
      <c r="AS79" s="411">
        <v>45035</v>
      </c>
      <c r="AT79" s="326">
        <v>463</v>
      </c>
      <c r="AV79" s="411">
        <v>45004</v>
      </c>
      <c r="AW79" s="326">
        <f t="shared" si="4"/>
        <v>457</v>
      </c>
      <c r="BN79" s="411">
        <v>45035</v>
      </c>
      <c r="BO79" s="326">
        <v>463</v>
      </c>
    </row>
    <row r="80" spans="1:67" ht="15.75" thickBot="1">
      <c r="A80" s="730">
        <v>45373</v>
      </c>
      <c r="B80" s="731">
        <v>1469</v>
      </c>
      <c r="F80" s="730">
        <v>45005</v>
      </c>
      <c r="G80" s="731">
        <v>460.39</v>
      </c>
      <c r="AS80" s="411">
        <v>45036</v>
      </c>
      <c r="AT80" s="326">
        <v>460.02999899999998</v>
      </c>
      <c r="AV80" s="411">
        <v>45005</v>
      </c>
      <c r="AW80" s="326">
        <f t="shared" si="4"/>
        <v>459.94000199999999</v>
      </c>
      <c r="BN80" s="411">
        <v>45036</v>
      </c>
      <c r="BO80" s="326">
        <v>460.02999899999998</v>
      </c>
    </row>
    <row r="81" spans="1:67" ht="15.75" thickBot="1">
      <c r="A81" s="730">
        <v>45374</v>
      </c>
      <c r="B81" s="731">
        <v>1469</v>
      </c>
      <c r="F81" s="730">
        <v>45006</v>
      </c>
      <c r="G81" s="731">
        <v>460.42</v>
      </c>
      <c r="AS81" s="411">
        <v>45037</v>
      </c>
      <c r="AT81" s="326">
        <v>461</v>
      </c>
      <c r="AV81" s="411">
        <v>45006</v>
      </c>
      <c r="AW81" s="326">
        <f t="shared" si="4"/>
        <v>459.89001500000001</v>
      </c>
      <c r="BN81" s="411">
        <v>45037</v>
      </c>
      <c r="BO81" s="326">
        <v>461</v>
      </c>
    </row>
    <row r="82" spans="1:67" ht="15.75" thickBot="1">
      <c r="A82" s="730">
        <v>45375</v>
      </c>
      <c r="B82" s="731">
        <v>1469</v>
      </c>
      <c r="F82" s="730">
        <v>45007</v>
      </c>
      <c r="G82" s="731">
        <v>460.45</v>
      </c>
      <c r="AS82" s="411">
        <v>45040</v>
      </c>
      <c r="AT82" s="326">
        <v>460.02999899999998</v>
      </c>
      <c r="AV82" s="411">
        <v>45007</v>
      </c>
      <c r="AW82" s="326">
        <f t="shared" si="4"/>
        <v>459.92001299999998</v>
      </c>
      <c r="BN82" s="411">
        <v>45040</v>
      </c>
      <c r="BO82" s="326">
        <v>460.02999899999998</v>
      </c>
    </row>
    <row r="83" spans="1:67" ht="15.75" thickBot="1">
      <c r="A83" s="730">
        <v>45376</v>
      </c>
      <c r="B83" s="731">
        <v>1424.83</v>
      </c>
      <c r="F83" s="730">
        <v>45008</v>
      </c>
      <c r="G83" s="731">
        <v>460.48</v>
      </c>
      <c r="AS83" s="411">
        <v>45041</v>
      </c>
      <c r="AT83" s="326">
        <v>460.02999899999998</v>
      </c>
      <c r="AV83" s="411">
        <v>45008</v>
      </c>
      <c r="AW83" s="326">
        <f t="shared" si="4"/>
        <v>459.95001200000002</v>
      </c>
      <c r="BN83" s="411">
        <v>45041</v>
      </c>
      <c r="BO83" s="326">
        <v>460.02999899999998</v>
      </c>
    </row>
    <row r="84" spans="1:67" ht="15.75" thickBot="1">
      <c r="A84" s="730">
        <v>45377</v>
      </c>
      <c r="B84" s="731">
        <v>1395.02</v>
      </c>
      <c r="F84" s="730">
        <v>45009</v>
      </c>
      <c r="G84" s="731">
        <v>460.48</v>
      </c>
      <c r="AS84" s="411">
        <v>45042</v>
      </c>
      <c r="AT84" s="326">
        <v>461</v>
      </c>
      <c r="AV84" s="411">
        <v>45009</v>
      </c>
      <c r="AW84" s="326">
        <f t="shared" si="4"/>
        <v>459.98001099999999</v>
      </c>
      <c r="BN84" s="411">
        <v>45042</v>
      </c>
      <c r="BO84" s="326">
        <v>461</v>
      </c>
    </row>
    <row r="85" spans="1:67" ht="15.75" thickBot="1">
      <c r="A85" s="730">
        <v>45378</v>
      </c>
      <c r="B85" s="731">
        <v>1418.57</v>
      </c>
      <c r="F85" s="730">
        <v>45010</v>
      </c>
      <c r="G85" s="731">
        <v>460.48</v>
      </c>
      <c r="AS85" s="411">
        <v>45043</v>
      </c>
      <c r="AT85" s="326">
        <v>461</v>
      </c>
      <c r="AV85" s="411">
        <v>45010</v>
      </c>
      <c r="AW85" s="326">
        <f t="shared" si="4"/>
        <v>459.98001099999999</v>
      </c>
      <c r="BN85" s="411">
        <v>45043</v>
      </c>
      <c r="BO85" s="326">
        <v>461</v>
      </c>
    </row>
    <row r="86" spans="1:67" ht="15.75" thickBot="1">
      <c r="A86" s="730">
        <v>45379</v>
      </c>
      <c r="B86" s="731">
        <v>1393.51</v>
      </c>
      <c r="F86" s="730">
        <v>45011</v>
      </c>
      <c r="G86" s="731">
        <v>460.48</v>
      </c>
      <c r="AS86" s="411">
        <v>45044</v>
      </c>
      <c r="AT86" s="326">
        <v>460</v>
      </c>
      <c r="AV86" s="411">
        <v>45011</v>
      </c>
      <c r="AW86" s="326">
        <f t="shared" si="4"/>
        <v>459.98001099999999</v>
      </c>
      <c r="BN86" s="411">
        <v>45044</v>
      </c>
      <c r="BO86" s="326">
        <v>460</v>
      </c>
    </row>
    <row r="87" spans="1:67" ht="15.75" thickBot="1">
      <c r="A87" s="730">
        <v>45380</v>
      </c>
      <c r="B87" s="731">
        <v>1421</v>
      </c>
      <c r="F87" s="730">
        <v>45012</v>
      </c>
      <c r="G87" s="731">
        <v>461.5</v>
      </c>
      <c r="AS87" s="411">
        <v>45047</v>
      </c>
      <c r="AT87" s="326">
        <v>459.97000100000002</v>
      </c>
      <c r="AV87" s="411">
        <v>45012</v>
      </c>
      <c r="AW87" s="326">
        <f t="shared" si="4"/>
        <v>459.98001099999999</v>
      </c>
      <c r="BN87" s="411">
        <v>45047</v>
      </c>
      <c r="BO87" s="326">
        <v>459.97000100000002</v>
      </c>
    </row>
    <row r="88" spans="1:67" ht="15.75" thickBot="1">
      <c r="A88" s="730">
        <v>45381</v>
      </c>
      <c r="B88" s="731">
        <v>1421</v>
      </c>
      <c r="F88" s="730">
        <v>45013</v>
      </c>
      <c r="G88" s="731">
        <v>464.5</v>
      </c>
      <c r="AS88" s="411">
        <v>45048</v>
      </c>
      <c r="AT88" s="326">
        <v>460</v>
      </c>
      <c r="AV88" s="411">
        <v>45013</v>
      </c>
      <c r="AW88" s="326">
        <f t="shared" si="4"/>
        <v>461</v>
      </c>
      <c r="BN88" s="411">
        <v>45048</v>
      </c>
      <c r="BO88" s="326">
        <v>460</v>
      </c>
    </row>
    <row r="89" spans="1:67" ht="15.75" thickBot="1">
      <c r="A89" s="730">
        <v>45382</v>
      </c>
      <c r="B89" s="731">
        <v>1304.3399999999999</v>
      </c>
      <c r="F89" s="730">
        <v>45014</v>
      </c>
      <c r="G89" s="731">
        <v>460</v>
      </c>
      <c r="AS89" s="411">
        <v>45049</v>
      </c>
      <c r="AT89" s="326">
        <v>461</v>
      </c>
      <c r="AV89" s="411">
        <v>45014</v>
      </c>
      <c r="AW89" s="326">
        <f t="shared" si="4"/>
        <v>462</v>
      </c>
      <c r="BN89" s="411">
        <v>45049</v>
      </c>
      <c r="BO89" s="326">
        <v>461</v>
      </c>
    </row>
    <row r="90" spans="1:67" ht="15.75" thickBot="1">
      <c r="A90" s="730">
        <v>45383</v>
      </c>
      <c r="B90" s="731">
        <v>1306.67</v>
      </c>
      <c r="F90" s="730">
        <v>45015</v>
      </c>
      <c r="G90" s="731">
        <v>463.5</v>
      </c>
      <c r="AS90" s="411">
        <v>45050</v>
      </c>
      <c r="AT90" s="326">
        <v>459.85000600000001</v>
      </c>
      <c r="AV90" s="411">
        <v>45015</v>
      </c>
      <c r="AW90" s="326">
        <f t="shared" si="4"/>
        <v>456</v>
      </c>
      <c r="BN90" s="411">
        <v>45050</v>
      </c>
      <c r="BO90" s="326">
        <v>459.85000600000001</v>
      </c>
    </row>
    <row r="91" spans="1:67" ht="15.75" thickBot="1">
      <c r="A91" s="730">
        <v>45384</v>
      </c>
      <c r="B91" s="731">
        <v>1309</v>
      </c>
      <c r="F91" s="730">
        <v>45016</v>
      </c>
      <c r="G91" s="731">
        <v>464.5</v>
      </c>
      <c r="AS91" s="411">
        <v>45051</v>
      </c>
      <c r="AT91" s="326">
        <v>460</v>
      </c>
      <c r="AV91" s="411">
        <v>45016</v>
      </c>
      <c r="AW91" s="326">
        <f t="shared" si="4"/>
        <v>459</v>
      </c>
      <c r="BN91" s="411">
        <v>45051</v>
      </c>
      <c r="BO91" s="326">
        <v>460</v>
      </c>
    </row>
    <row r="92" spans="1:67" ht="15.75" thickBot="1">
      <c r="A92" s="730">
        <v>45385</v>
      </c>
      <c r="B92" s="731">
        <v>1319.6</v>
      </c>
      <c r="F92" s="730">
        <v>45017</v>
      </c>
      <c r="G92" s="731">
        <v>464.5</v>
      </c>
      <c r="AS92" s="411">
        <v>45054</v>
      </c>
      <c r="AT92" s="326">
        <v>459.86999500000002</v>
      </c>
      <c r="AV92" s="411">
        <v>45017</v>
      </c>
      <c r="AW92" s="326">
        <f t="shared" si="4"/>
        <v>459</v>
      </c>
      <c r="BN92" s="411">
        <v>45054</v>
      </c>
      <c r="BO92" s="326">
        <v>459.86999500000002</v>
      </c>
    </row>
    <row r="93" spans="1:67" ht="15.75" thickBot="1">
      <c r="A93" s="730">
        <v>45386</v>
      </c>
      <c r="B93" s="731">
        <v>1319.6</v>
      </c>
      <c r="F93" s="730">
        <v>45018</v>
      </c>
      <c r="G93" s="731">
        <v>460.34</v>
      </c>
      <c r="AS93" s="411">
        <v>45055</v>
      </c>
      <c r="AT93" s="326">
        <v>459</v>
      </c>
      <c r="AV93" s="411">
        <v>45018</v>
      </c>
      <c r="AW93" s="326">
        <f t="shared" si="4"/>
        <v>459</v>
      </c>
      <c r="BN93" s="411">
        <v>45055</v>
      </c>
      <c r="BO93" s="326">
        <v>459</v>
      </c>
    </row>
    <row r="94" spans="1:67" ht="15.75" thickBot="1">
      <c r="A94" s="730">
        <v>45387</v>
      </c>
      <c r="B94" s="731">
        <v>1247.75</v>
      </c>
      <c r="F94" s="730">
        <v>45019</v>
      </c>
      <c r="G94" s="731">
        <v>460.33</v>
      </c>
      <c r="AS94" s="411">
        <v>45056</v>
      </c>
      <c r="AT94" s="326">
        <v>461</v>
      </c>
      <c r="AV94" s="411">
        <v>45019</v>
      </c>
      <c r="AW94" s="326">
        <f t="shared" si="4"/>
        <v>459.83999599999999</v>
      </c>
      <c r="BN94" s="411">
        <v>45056</v>
      </c>
      <c r="BO94" s="326">
        <v>461</v>
      </c>
    </row>
    <row r="95" spans="1:67" ht="15.75" thickBot="1">
      <c r="A95" s="730">
        <v>45388</v>
      </c>
      <c r="B95" s="731">
        <v>1247.75</v>
      </c>
      <c r="F95" s="730">
        <v>45020</v>
      </c>
      <c r="G95" s="731">
        <v>464.5</v>
      </c>
      <c r="AS95" s="411">
        <v>45057</v>
      </c>
      <c r="AT95" s="326">
        <v>461</v>
      </c>
      <c r="AV95" s="411">
        <v>45020</v>
      </c>
      <c r="AW95" s="326">
        <f t="shared" si="4"/>
        <v>459.82998700000002</v>
      </c>
      <c r="BN95" s="411">
        <v>45057</v>
      </c>
      <c r="BO95" s="326">
        <v>461</v>
      </c>
    </row>
    <row r="96" spans="1:67" ht="15.75" thickBot="1">
      <c r="A96" s="730">
        <v>45389</v>
      </c>
      <c r="B96" s="731">
        <v>1247.75</v>
      </c>
      <c r="F96" s="730">
        <v>45021</v>
      </c>
      <c r="G96" s="731">
        <v>464.5</v>
      </c>
      <c r="AS96" s="411">
        <v>45058</v>
      </c>
      <c r="AT96" s="326">
        <v>461</v>
      </c>
      <c r="AV96" s="411">
        <v>45021</v>
      </c>
      <c r="AW96" s="326">
        <f t="shared" si="4"/>
        <v>462</v>
      </c>
      <c r="BN96" s="411">
        <v>45058</v>
      </c>
      <c r="BO96" s="326">
        <v>461</v>
      </c>
    </row>
    <row r="97" spans="1:67" ht="15.75" thickBot="1">
      <c r="A97" s="730">
        <v>45390</v>
      </c>
      <c r="B97" s="731">
        <v>1241.6300000000001</v>
      </c>
      <c r="F97" s="730">
        <v>45022</v>
      </c>
      <c r="G97" s="731">
        <v>460.33</v>
      </c>
      <c r="AS97" s="411">
        <v>45061</v>
      </c>
      <c r="AT97" s="326">
        <v>460.02999899999998</v>
      </c>
      <c r="AV97" s="411">
        <v>45022</v>
      </c>
      <c r="AW97" s="326">
        <f t="shared" si="4"/>
        <v>461</v>
      </c>
      <c r="BN97" s="411">
        <v>45061</v>
      </c>
      <c r="BO97" s="326">
        <v>460.02999899999998</v>
      </c>
    </row>
    <row r="98" spans="1:67" ht="15.75" thickBot="1">
      <c r="A98" s="730">
        <v>45391</v>
      </c>
      <c r="B98" s="731">
        <v>1250</v>
      </c>
      <c r="F98" s="730">
        <v>45023</v>
      </c>
      <c r="G98" s="731">
        <v>465</v>
      </c>
      <c r="AS98" s="411">
        <v>45062</v>
      </c>
      <c r="AT98" s="326">
        <v>460</v>
      </c>
      <c r="AV98" s="411">
        <v>45023</v>
      </c>
      <c r="AW98" s="326">
        <f t="shared" si="4"/>
        <v>459.82998700000002</v>
      </c>
      <c r="BN98" s="411">
        <v>45062</v>
      </c>
      <c r="BO98" s="326">
        <v>460</v>
      </c>
    </row>
    <row r="99" spans="1:67" ht="15.75" thickBot="1">
      <c r="A99" s="730">
        <v>45392</v>
      </c>
      <c r="B99" s="731">
        <v>1239.8599999999999</v>
      </c>
      <c r="F99" s="730">
        <v>45024</v>
      </c>
      <c r="G99" s="731">
        <v>465</v>
      </c>
      <c r="AS99" s="411">
        <v>45063</v>
      </c>
      <c r="AT99" s="326">
        <v>459</v>
      </c>
      <c r="AV99" s="411">
        <v>45024</v>
      </c>
      <c r="AW99" s="326">
        <f t="shared" si="4"/>
        <v>459.82998700000002</v>
      </c>
      <c r="BN99" s="411">
        <v>45063</v>
      </c>
      <c r="BO99" s="326">
        <v>459</v>
      </c>
    </row>
    <row r="100" spans="1:67" ht="15.75" thickBot="1">
      <c r="A100" s="415">
        <f>A99+1</f>
        <v>45393</v>
      </c>
      <c r="B100" s="416">
        <v>1250</v>
      </c>
      <c r="F100" s="730">
        <v>45025</v>
      </c>
      <c r="G100" s="731">
        <v>460.33</v>
      </c>
      <c r="AS100" s="411">
        <v>45064</v>
      </c>
      <c r="AT100" s="326">
        <v>459</v>
      </c>
      <c r="AV100" s="411">
        <v>45025</v>
      </c>
      <c r="AW100" s="326">
        <f t="shared" si="4"/>
        <v>459.82998700000002</v>
      </c>
      <c r="BN100" s="411">
        <v>45064</v>
      </c>
      <c r="BO100" s="326">
        <v>459</v>
      </c>
    </row>
    <row r="101" spans="1:67" ht="15.75" thickBot="1">
      <c r="A101" s="415">
        <f t="shared" ref="A101:A164" si="5">A100+1</f>
        <v>45394</v>
      </c>
      <c r="B101" s="416">
        <v>1250</v>
      </c>
      <c r="F101" s="730">
        <v>45026</v>
      </c>
      <c r="G101" s="731">
        <v>460.33</v>
      </c>
      <c r="AS101" s="411">
        <v>45065</v>
      </c>
      <c r="AT101" s="326">
        <v>460</v>
      </c>
      <c r="AV101" s="411">
        <v>45026</v>
      </c>
      <c r="AW101" s="326">
        <f t="shared" si="4"/>
        <v>459.82998700000002</v>
      </c>
      <c r="BN101" s="411">
        <v>45065</v>
      </c>
      <c r="BO101" s="326">
        <v>460</v>
      </c>
    </row>
    <row r="102" spans="1:67" ht="15.75" thickBot="1">
      <c r="A102" s="415">
        <f t="shared" si="5"/>
        <v>45395</v>
      </c>
      <c r="B102" s="416">
        <v>1250</v>
      </c>
      <c r="F102" s="730">
        <v>45027</v>
      </c>
      <c r="G102" s="731">
        <v>465</v>
      </c>
      <c r="AS102" s="411">
        <v>45068</v>
      </c>
      <c r="AT102" s="326">
        <v>460.33999599999999</v>
      </c>
      <c r="AV102" s="411">
        <v>45027</v>
      </c>
      <c r="AW102" s="326">
        <f t="shared" si="4"/>
        <v>459.82998700000002</v>
      </c>
      <c r="BN102" s="411">
        <v>45068</v>
      </c>
      <c r="BO102" s="326">
        <v>460.33999599999999</v>
      </c>
    </row>
    <row r="103" spans="1:67" ht="15.75" thickBot="1">
      <c r="A103" s="415">
        <f t="shared" si="5"/>
        <v>45396</v>
      </c>
      <c r="B103" s="416">
        <v>1250</v>
      </c>
      <c r="F103" s="730">
        <v>45028</v>
      </c>
      <c r="G103" s="731">
        <v>464.5</v>
      </c>
      <c r="AS103" s="411">
        <v>45069</v>
      </c>
      <c r="AT103" s="326">
        <v>460</v>
      </c>
      <c r="AV103" s="411">
        <v>45028</v>
      </c>
      <c r="AW103" s="326">
        <f t="shared" si="4"/>
        <v>463</v>
      </c>
      <c r="BC103" s="411">
        <v>44927</v>
      </c>
      <c r="BN103" s="411">
        <v>45069</v>
      </c>
      <c r="BO103" s="326">
        <v>460</v>
      </c>
    </row>
    <row r="104" spans="1:67" ht="15.75" thickBot="1">
      <c r="A104" s="415">
        <f t="shared" si="5"/>
        <v>45397</v>
      </c>
      <c r="B104" s="416">
        <v>1250</v>
      </c>
      <c r="F104" s="730">
        <v>45029</v>
      </c>
      <c r="G104" s="731">
        <v>465.5</v>
      </c>
      <c r="AS104" s="411">
        <v>45070</v>
      </c>
      <c r="AT104" s="326">
        <v>459</v>
      </c>
      <c r="AV104" s="411">
        <v>45029</v>
      </c>
      <c r="AW104" s="326">
        <f t="shared" si="4"/>
        <v>462</v>
      </c>
      <c r="BC104" s="411">
        <v>45291</v>
      </c>
      <c r="BD104">
        <f>BC104-BC103</f>
        <v>364</v>
      </c>
      <c r="BN104" s="411">
        <v>45070</v>
      </c>
      <c r="BO104" s="326">
        <v>459</v>
      </c>
    </row>
    <row r="105" spans="1:67" ht="15.75" thickBot="1">
      <c r="A105" s="415">
        <f t="shared" si="5"/>
        <v>45398</v>
      </c>
      <c r="B105" s="416">
        <v>1250</v>
      </c>
      <c r="F105" s="730">
        <v>45030</v>
      </c>
      <c r="G105" s="731">
        <v>464.5</v>
      </c>
      <c r="AS105" s="411">
        <v>45071</v>
      </c>
      <c r="AT105" s="326">
        <v>460</v>
      </c>
      <c r="AV105" s="411">
        <v>45030</v>
      </c>
      <c r="AW105" s="326">
        <f t="shared" si="4"/>
        <v>463</v>
      </c>
      <c r="BC105" s="411">
        <v>45093</v>
      </c>
      <c r="BD105">
        <f>BC104-BC105</f>
        <v>198</v>
      </c>
      <c r="BE105">
        <f>BD105/BD104</f>
        <v>0.54395604395604391</v>
      </c>
      <c r="BN105" s="411">
        <v>45071</v>
      </c>
      <c r="BO105" s="326">
        <v>460</v>
      </c>
    </row>
    <row r="106" spans="1:67" ht="15.75" thickBot="1">
      <c r="A106" s="415">
        <f t="shared" si="5"/>
        <v>45399</v>
      </c>
      <c r="B106" s="416">
        <v>1250</v>
      </c>
      <c r="F106" s="730">
        <v>45031</v>
      </c>
      <c r="G106" s="731">
        <v>464.5</v>
      </c>
      <c r="AS106" s="411">
        <v>45072</v>
      </c>
      <c r="AT106" s="326">
        <v>460</v>
      </c>
      <c r="AV106" s="411">
        <v>45031</v>
      </c>
      <c r="AW106" s="326">
        <f t="shared" si="4"/>
        <v>463</v>
      </c>
      <c r="BN106" s="411">
        <v>45072</v>
      </c>
      <c r="BO106" s="326">
        <v>460</v>
      </c>
    </row>
    <row r="107" spans="1:67" ht="15.75" thickBot="1">
      <c r="A107" s="415">
        <f t="shared" si="5"/>
        <v>45400</v>
      </c>
      <c r="B107" s="416">
        <v>1250</v>
      </c>
      <c r="F107" s="730">
        <v>45032</v>
      </c>
      <c r="G107" s="731">
        <v>460.43</v>
      </c>
      <c r="AS107" s="411">
        <v>45075</v>
      </c>
      <c r="AT107" s="326">
        <v>460.25</v>
      </c>
      <c r="AV107" s="411">
        <v>45032</v>
      </c>
      <c r="AW107" s="326">
        <f t="shared" si="4"/>
        <v>463</v>
      </c>
      <c r="BN107" s="411">
        <v>45075</v>
      </c>
      <c r="BO107" s="326">
        <v>460.25</v>
      </c>
    </row>
    <row r="108" spans="1:67" ht="15.75" thickBot="1">
      <c r="A108" s="415">
        <f t="shared" si="5"/>
        <v>45401</v>
      </c>
      <c r="B108" s="416">
        <v>1250</v>
      </c>
      <c r="F108" s="730">
        <v>45033</v>
      </c>
      <c r="G108" s="731">
        <v>460.42</v>
      </c>
      <c r="AS108" s="411">
        <v>45076</v>
      </c>
      <c r="AT108" s="326">
        <v>460.22000100000002</v>
      </c>
      <c r="AV108" s="411">
        <v>45033</v>
      </c>
      <c r="AW108" s="326">
        <f t="shared" si="4"/>
        <v>459.92999300000002</v>
      </c>
      <c r="BN108" s="411">
        <v>45076</v>
      </c>
      <c r="BO108" s="326">
        <v>460.22000100000002</v>
      </c>
    </row>
    <row r="109" spans="1:67" ht="15.75" thickBot="1">
      <c r="A109" s="415">
        <f t="shared" si="5"/>
        <v>45402</v>
      </c>
      <c r="B109" s="416">
        <v>1250</v>
      </c>
      <c r="F109" s="730">
        <v>45034</v>
      </c>
      <c r="G109" s="731">
        <v>465</v>
      </c>
      <c r="AS109" s="411">
        <v>45077</v>
      </c>
      <c r="AT109" s="326">
        <v>460</v>
      </c>
      <c r="AV109" s="411">
        <v>45034</v>
      </c>
      <c r="AW109" s="326">
        <f t="shared" si="4"/>
        <v>459.92001299999998</v>
      </c>
      <c r="BN109" s="411">
        <v>45077</v>
      </c>
      <c r="BO109" s="326">
        <v>460</v>
      </c>
    </row>
    <row r="110" spans="1:67" ht="15.75" thickBot="1">
      <c r="A110" s="415">
        <f t="shared" si="5"/>
        <v>45403</v>
      </c>
      <c r="B110" s="416">
        <v>1250</v>
      </c>
      <c r="F110" s="730">
        <v>45035</v>
      </c>
      <c r="G110" s="731">
        <v>460.32</v>
      </c>
      <c r="AS110" s="411">
        <v>45078</v>
      </c>
      <c r="AT110" s="326">
        <v>459</v>
      </c>
      <c r="AV110" s="411">
        <v>45035</v>
      </c>
      <c r="AW110" s="326">
        <f t="shared" si="4"/>
        <v>463</v>
      </c>
      <c r="BN110" s="411">
        <v>45078</v>
      </c>
      <c r="BO110" s="326">
        <v>459</v>
      </c>
    </row>
    <row r="111" spans="1:67" ht="15.75" thickBot="1">
      <c r="A111" s="415">
        <f t="shared" si="5"/>
        <v>45404</v>
      </c>
      <c r="B111" s="416">
        <v>1250</v>
      </c>
      <c r="F111" s="730">
        <v>45036</v>
      </c>
      <c r="G111" s="731">
        <v>463.5</v>
      </c>
      <c r="AS111" s="411">
        <v>45079</v>
      </c>
      <c r="AT111" s="326">
        <v>460.76001000000002</v>
      </c>
      <c r="AV111" s="411">
        <v>45036</v>
      </c>
      <c r="AW111" s="326">
        <f t="shared" si="4"/>
        <v>460.02999899999998</v>
      </c>
      <c r="BC111" s="411">
        <v>45017</v>
      </c>
      <c r="BN111" s="411">
        <v>45079</v>
      </c>
      <c r="BO111" s="326">
        <v>460.76001000000002</v>
      </c>
    </row>
    <row r="112" spans="1:67" ht="15.75" thickBot="1">
      <c r="A112" s="415">
        <f t="shared" si="5"/>
        <v>45405</v>
      </c>
      <c r="B112" s="416">
        <v>1250</v>
      </c>
      <c r="F112" s="730">
        <v>45037</v>
      </c>
      <c r="G112" s="731">
        <v>460.53</v>
      </c>
      <c r="AS112" s="411">
        <v>45082</v>
      </c>
      <c r="AT112" s="326">
        <v>460.92001299999998</v>
      </c>
      <c r="AV112" s="411">
        <v>45037</v>
      </c>
      <c r="AW112" s="326">
        <f t="shared" si="4"/>
        <v>461</v>
      </c>
      <c r="BC112" s="411">
        <v>45107</v>
      </c>
      <c r="BD112">
        <f>BC112-BC111</f>
        <v>90</v>
      </c>
      <c r="BN112" s="411">
        <v>45082</v>
      </c>
      <c r="BO112" s="326">
        <v>460.92001299999998</v>
      </c>
    </row>
    <row r="113" spans="1:67" ht="15.75" thickBot="1">
      <c r="A113" s="415">
        <f t="shared" si="5"/>
        <v>45406</v>
      </c>
      <c r="B113" s="416">
        <v>1250</v>
      </c>
      <c r="F113" s="730">
        <v>45038</v>
      </c>
      <c r="G113" s="731">
        <v>460.53</v>
      </c>
      <c r="AS113" s="411">
        <v>45083</v>
      </c>
      <c r="AT113" s="326">
        <v>460</v>
      </c>
      <c r="AV113" s="411">
        <v>45038</v>
      </c>
      <c r="AW113" s="326">
        <f t="shared" si="4"/>
        <v>461</v>
      </c>
      <c r="BC113" s="411">
        <v>45093</v>
      </c>
      <c r="BD113">
        <f>BC112-BC113</f>
        <v>14</v>
      </c>
      <c r="BE113">
        <f>BD113/BD112</f>
        <v>0.15555555555555556</v>
      </c>
      <c r="BN113" s="411">
        <v>45083</v>
      </c>
      <c r="BO113" s="326">
        <v>460</v>
      </c>
    </row>
    <row r="114" spans="1:67" ht="15.75" thickBot="1">
      <c r="A114" s="415">
        <f t="shared" si="5"/>
        <v>45407</v>
      </c>
      <c r="B114" s="416">
        <v>1250</v>
      </c>
      <c r="F114" s="730">
        <v>45039</v>
      </c>
      <c r="G114" s="731">
        <v>460.53</v>
      </c>
      <c r="AS114" s="411">
        <v>45084</v>
      </c>
      <c r="AT114" s="326">
        <v>460</v>
      </c>
      <c r="AV114" s="411">
        <v>45039</v>
      </c>
      <c r="AW114" s="326">
        <f t="shared" si="4"/>
        <v>461</v>
      </c>
      <c r="BN114" s="411">
        <v>45084</v>
      </c>
      <c r="BO114" s="326">
        <v>460</v>
      </c>
    </row>
    <row r="115" spans="1:67" ht="15.75" thickBot="1">
      <c r="A115" s="415">
        <f t="shared" si="5"/>
        <v>45408</v>
      </c>
      <c r="B115" s="416">
        <v>1250</v>
      </c>
      <c r="F115" s="730">
        <v>45040</v>
      </c>
      <c r="G115" s="731">
        <v>460.53</v>
      </c>
      <c r="AS115" s="411">
        <v>45085</v>
      </c>
      <c r="AT115" s="326">
        <v>460</v>
      </c>
      <c r="AV115" s="411">
        <v>45040</v>
      </c>
      <c r="AW115" s="326">
        <f t="shared" si="4"/>
        <v>460.02999899999998</v>
      </c>
      <c r="BN115" s="411">
        <v>45085</v>
      </c>
      <c r="BO115" s="326">
        <v>460</v>
      </c>
    </row>
    <row r="116" spans="1:67" ht="15.75" thickBot="1">
      <c r="A116" s="415">
        <f t="shared" si="5"/>
        <v>45409</v>
      </c>
      <c r="B116" s="416">
        <v>1250</v>
      </c>
      <c r="F116" s="730">
        <v>45041</v>
      </c>
      <c r="G116" s="731">
        <v>464.5</v>
      </c>
      <c r="AS116" s="411">
        <v>45086</v>
      </c>
      <c r="AT116" s="326">
        <v>461.67001299999998</v>
      </c>
      <c r="AV116" s="411">
        <v>45041</v>
      </c>
      <c r="AW116" s="326">
        <f t="shared" si="4"/>
        <v>460.02999899999998</v>
      </c>
      <c r="BH116">
        <v>20</v>
      </c>
      <c r="BI116">
        <v>50</v>
      </c>
      <c r="BJ116" t="s">
        <v>892</v>
      </c>
      <c r="BN116" s="411">
        <v>45086</v>
      </c>
      <c r="BO116" s="326">
        <v>461.67001299999998</v>
      </c>
    </row>
    <row r="117" spans="1:67" ht="15.75" thickBot="1">
      <c r="A117" s="415">
        <f t="shared" si="5"/>
        <v>45410</v>
      </c>
      <c r="B117" s="416">
        <v>1250</v>
      </c>
      <c r="F117" s="730">
        <v>45042</v>
      </c>
      <c r="G117" s="731">
        <v>463</v>
      </c>
      <c r="AS117" s="411">
        <v>45089</v>
      </c>
      <c r="AT117" s="326">
        <v>461.89999399999999</v>
      </c>
      <c r="AV117" s="411">
        <v>45042</v>
      </c>
      <c r="AW117" s="326">
        <f t="shared" si="4"/>
        <v>461</v>
      </c>
      <c r="BH117">
        <f>BH116*BI117/BI116</f>
        <v>51.006336657534213</v>
      </c>
      <c r="BI117" s="326">
        <f>BA5</f>
        <v>127.51584164383553</v>
      </c>
      <c r="BN117" s="411">
        <v>45089</v>
      </c>
      <c r="BO117" s="326">
        <v>461.89999399999999</v>
      </c>
    </row>
    <row r="118" spans="1:67" ht="15.75" thickBot="1">
      <c r="A118" s="415">
        <f t="shared" si="5"/>
        <v>45411</v>
      </c>
      <c r="B118" s="416">
        <v>1250</v>
      </c>
      <c r="F118" s="730">
        <v>45043</v>
      </c>
      <c r="G118" s="731">
        <v>461.5</v>
      </c>
      <c r="AS118" s="411">
        <v>45090</v>
      </c>
      <c r="AT118" s="326">
        <v>461</v>
      </c>
      <c r="AV118" s="411">
        <v>45043</v>
      </c>
      <c r="AW118" s="326">
        <f t="shared" si="4"/>
        <v>461</v>
      </c>
      <c r="BN118" s="411">
        <v>45090</v>
      </c>
      <c r="BO118" s="326">
        <v>461</v>
      </c>
    </row>
    <row r="119" spans="1:67" ht="15.75" thickBot="1">
      <c r="A119" s="415">
        <f t="shared" si="5"/>
        <v>45412</v>
      </c>
      <c r="B119" s="416">
        <v>1250</v>
      </c>
      <c r="F119" s="730">
        <v>45044</v>
      </c>
      <c r="G119" s="731">
        <v>462.5</v>
      </c>
      <c r="AS119" s="411">
        <v>45091</v>
      </c>
      <c r="AT119" s="326">
        <v>461</v>
      </c>
      <c r="AV119" s="411">
        <v>45044</v>
      </c>
      <c r="AW119" s="326">
        <f t="shared" si="4"/>
        <v>460</v>
      </c>
      <c r="BN119" s="411">
        <v>45091</v>
      </c>
      <c r="BO119" s="326">
        <v>461</v>
      </c>
    </row>
    <row r="120" spans="1:67" ht="15.75" thickBot="1">
      <c r="A120" s="415">
        <f t="shared" si="5"/>
        <v>45413</v>
      </c>
      <c r="B120" s="416">
        <v>1250</v>
      </c>
      <c r="F120" s="730">
        <v>45045</v>
      </c>
      <c r="G120" s="731">
        <v>461.5</v>
      </c>
      <c r="AS120" s="411">
        <v>45092</v>
      </c>
      <c r="AT120" s="326">
        <v>462.38000499999998</v>
      </c>
      <c r="AV120" s="411">
        <v>45045</v>
      </c>
      <c r="AW120" s="326">
        <f t="shared" si="4"/>
        <v>460</v>
      </c>
      <c r="AZ120" t="s">
        <v>883</v>
      </c>
      <c r="BF120" t="s">
        <v>885</v>
      </c>
      <c r="BN120" s="411">
        <v>45092</v>
      </c>
      <c r="BO120" s="326">
        <v>462.38000499999998</v>
      </c>
    </row>
    <row r="121" spans="1:67" ht="15.75" thickBot="1">
      <c r="A121" s="415">
        <f t="shared" si="5"/>
        <v>45414</v>
      </c>
      <c r="B121" s="416">
        <v>1250</v>
      </c>
      <c r="F121" s="730">
        <v>45046</v>
      </c>
      <c r="G121" s="731">
        <v>460.47</v>
      </c>
      <c r="AS121" s="412">
        <v>45093</v>
      </c>
      <c r="AT121" s="413">
        <v>608</v>
      </c>
      <c r="AV121" s="411">
        <v>45046</v>
      </c>
      <c r="AW121" s="326">
        <f t="shared" si="4"/>
        <v>460</v>
      </c>
      <c r="AZ121">
        <v>500</v>
      </c>
      <c r="BA121" s="326">
        <f>AVERAGE(AT121:AT130)</f>
        <v>742.59600220000004</v>
      </c>
      <c r="BB121" s="417">
        <f>-BB124</f>
        <v>0.32668638328416788</v>
      </c>
      <c r="BE121">
        <v>-20</v>
      </c>
      <c r="BF121" t="s">
        <v>881</v>
      </c>
      <c r="BN121" s="412">
        <v>45093</v>
      </c>
      <c r="BO121" s="413">
        <v>608</v>
      </c>
    </row>
    <row r="122" spans="1:67" ht="15.75" thickBot="1">
      <c r="A122" s="415">
        <f t="shared" si="5"/>
        <v>45415</v>
      </c>
      <c r="B122" s="416">
        <v>1250</v>
      </c>
      <c r="F122" s="730">
        <v>45047</v>
      </c>
      <c r="G122" s="731">
        <v>461.5</v>
      </c>
      <c r="AS122" s="411">
        <v>45096</v>
      </c>
      <c r="AT122" s="326">
        <v>656</v>
      </c>
      <c r="AV122" s="411">
        <v>45047</v>
      </c>
      <c r="AW122" s="326">
        <f t="shared" si="4"/>
        <v>459.97000100000002</v>
      </c>
      <c r="BB122" s="114" t="s">
        <v>884</v>
      </c>
      <c r="BN122" s="411">
        <v>45096</v>
      </c>
      <c r="BO122" s="326">
        <v>656</v>
      </c>
    </row>
    <row r="123" spans="1:67" ht="15.75" thickBot="1">
      <c r="A123" s="415">
        <f t="shared" si="5"/>
        <v>45416</v>
      </c>
      <c r="B123" s="416">
        <v>1250</v>
      </c>
      <c r="F123" s="730">
        <v>45048</v>
      </c>
      <c r="G123" s="731">
        <v>462.5</v>
      </c>
      <c r="AS123" s="411">
        <v>45097</v>
      </c>
      <c r="AT123" s="326">
        <v>686.96002199999998</v>
      </c>
      <c r="AV123" s="411">
        <v>45048</v>
      </c>
      <c r="AW123" s="326">
        <f t="shared" si="4"/>
        <v>460</v>
      </c>
      <c r="BE123" t="s">
        <v>882</v>
      </c>
      <c r="BN123" s="411">
        <v>45097</v>
      </c>
      <c r="BO123" s="326">
        <v>686.96002199999998</v>
      </c>
    </row>
    <row r="124" spans="1:67" ht="15.75" thickBot="1">
      <c r="A124" s="415">
        <f t="shared" si="5"/>
        <v>45417</v>
      </c>
      <c r="B124" s="416">
        <v>1250</v>
      </c>
      <c r="F124" s="730">
        <v>45049</v>
      </c>
      <c r="G124" s="731">
        <v>460.35</v>
      </c>
      <c r="AS124" s="411">
        <v>45098</v>
      </c>
      <c r="AT124" s="326">
        <v>753</v>
      </c>
      <c r="AV124" s="411">
        <v>45049</v>
      </c>
      <c r="AW124" s="326">
        <f t="shared" si="4"/>
        <v>461</v>
      </c>
      <c r="AZ124">
        <f>1/AZ121</f>
        <v>2E-3</v>
      </c>
      <c r="BA124">
        <f>1/BA121</f>
        <v>1.3466272334316642E-3</v>
      </c>
      <c r="BB124" s="108">
        <f>BA124/AZ124-1</f>
        <v>-0.32668638328416788</v>
      </c>
      <c r="BE124" s="414">
        <f>BE113</f>
        <v>0.15555555555555556</v>
      </c>
      <c r="BN124" s="411">
        <v>45098</v>
      </c>
      <c r="BO124" s="326">
        <v>753</v>
      </c>
    </row>
    <row r="125" spans="1:67" ht="15.75" thickBot="1">
      <c r="A125" s="415">
        <f t="shared" si="5"/>
        <v>45418</v>
      </c>
      <c r="B125" s="416">
        <v>1250</v>
      </c>
      <c r="F125" s="730">
        <v>45050</v>
      </c>
      <c r="G125" s="731">
        <v>462.5</v>
      </c>
      <c r="AS125" s="411">
        <v>45099</v>
      </c>
      <c r="AT125" s="326">
        <v>817</v>
      </c>
      <c r="AV125" s="411">
        <v>45050</v>
      </c>
      <c r="AW125" s="326">
        <f t="shared" si="4"/>
        <v>459.85000600000001</v>
      </c>
      <c r="BE125" s="418">
        <f>BE124*BH117</f>
        <v>7.9343190356164328</v>
      </c>
      <c r="BN125" s="411">
        <v>45099</v>
      </c>
      <c r="BO125" s="326">
        <v>817</v>
      </c>
    </row>
    <row r="126" spans="1:67" ht="15.75" thickBot="1">
      <c r="A126" s="415">
        <f t="shared" si="5"/>
        <v>45419</v>
      </c>
      <c r="B126" s="416">
        <v>1250</v>
      </c>
      <c r="F126" s="730">
        <v>45051</v>
      </c>
      <c r="G126" s="731">
        <v>461</v>
      </c>
      <c r="AS126" s="411">
        <v>45100</v>
      </c>
      <c r="AT126" s="326">
        <v>816</v>
      </c>
      <c r="AV126" s="411">
        <v>45051</v>
      </c>
      <c r="AW126" s="326">
        <f t="shared" si="4"/>
        <v>460</v>
      </c>
      <c r="BB126" s="418">
        <f>BE124*BE121*BB121/10%</f>
        <v>-10.163576368840777</v>
      </c>
      <c r="BN126" s="411">
        <v>45100</v>
      </c>
      <c r="BO126" s="326">
        <v>816</v>
      </c>
    </row>
    <row r="127" spans="1:67" ht="15.75" thickBot="1">
      <c r="A127" s="415">
        <f t="shared" si="5"/>
        <v>45420</v>
      </c>
      <c r="B127" s="416">
        <v>1250</v>
      </c>
      <c r="F127" s="730">
        <v>45052</v>
      </c>
      <c r="G127" s="731">
        <v>461.5</v>
      </c>
      <c r="AS127" s="411">
        <v>45103</v>
      </c>
      <c r="AT127" s="326">
        <v>761</v>
      </c>
      <c r="AV127" s="411">
        <v>45052</v>
      </c>
      <c r="AW127" s="326">
        <f t="shared" si="4"/>
        <v>460</v>
      </c>
      <c r="BN127" s="411">
        <v>45103</v>
      </c>
      <c r="BO127" s="326">
        <v>761</v>
      </c>
    </row>
    <row r="128" spans="1:67" ht="15.75" thickBot="1">
      <c r="A128" s="415">
        <f t="shared" si="5"/>
        <v>45421</v>
      </c>
      <c r="B128" s="416">
        <v>1250</v>
      </c>
      <c r="F128" s="730">
        <v>45053</v>
      </c>
      <c r="G128" s="731">
        <v>460.37</v>
      </c>
      <c r="AS128" s="411">
        <v>45104</v>
      </c>
      <c r="AT128" s="326">
        <v>810</v>
      </c>
      <c r="AV128" s="411">
        <v>45053</v>
      </c>
      <c r="AW128" s="326">
        <f t="shared" si="4"/>
        <v>460</v>
      </c>
      <c r="BN128" s="411">
        <v>45104</v>
      </c>
      <c r="BO128" s="326">
        <v>810</v>
      </c>
    </row>
    <row r="129" spans="1:67" ht="15.75" thickBot="1">
      <c r="A129" s="415">
        <f t="shared" si="5"/>
        <v>45422</v>
      </c>
      <c r="B129" s="416">
        <v>1250</v>
      </c>
      <c r="F129" s="730">
        <v>45054</v>
      </c>
      <c r="G129" s="731">
        <v>461.5</v>
      </c>
      <c r="AS129" s="411">
        <v>45105</v>
      </c>
      <c r="AT129" s="326">
        <v>764.04998799999998</v>
      </c>
      <c r="AV129" s="411">
        <v>45054</v>
      </c>
      <c r="AW129" s="326">
        <f t="shared" si="4"/>
        <v>459.86999500000002</v>
      </c>
      <c r="BN129" s="411">
        <v>45105</v>
      </c>
      <c r="BO129" s="326">
        <v>764.04998799999998</v>
      </c>
    </row>
    <row r="130" spans="1:67" ht="15.75" thickBot="1">
      <c r="A130" s="415">
        <f t="shared" si="5"/>
        <v>45423</v>
      </c>
      <c r="B130" s="416">
        <v>1250</v>
      </c>
      <c r="F130" s="730">
        <v>45055</v>
      </c>
      <c r="G130" s="731">
        <v>462.5</v>
      </c>
      <c r="AS130" s="411">
        <v>45106</v>
      </c>
      <c r="AT130" s="326">
        <v>753.95001200000002</v>
      </c>
      <c r="AV130" s="411">
        <v>45055</v>
      </c>
      <c r="AW130" s="326">
        <f t="shared" si="4"/>
        <v>459</v>
      </c>
      <c r="BN130" s="411">
        <v>45106</v>
      </c>
      <c r="BO130" s="326">
        <v>753.95001200000002</v>
      </c>
    </row>
    <row r="131" spans="1:67" ht="15.75" thickBot="1">
      <c r="A131" s="415">
        <f t="shared" si="5"/>
        <v>45424</v>
      </c>
      <c r="B131" s="416">
        <v>1250</v>
      </c>
      <c r="F131" s="730">
        <v>45056</v>
      </c>
      <c r="G131" s="731">
        <v>462.5</v>
      </c>
      <c r="AS131" s="658">
        <v>45110</v>
      </c>
      <c r="AT131" s="659">
        <v>759.77002000000005</v>
      </c>
      <c r="AV131" s="411">
        <v>45056</v>
      </c>
      <c r="AW131" s="326">
        <f t="shared" ref="AW131:AW194" si="6">VLOOKUP(AV131,$AS$2:$AT$312,2,TRUE)</f>
        <v>461</v>
      </c>
      <c r="BN131" s="411">
        <v>45110</v>
      </c>
      <c r="BO131" s="326">
        <v>769.88000499999998</v>
      </c>
    </row>
    <row r="132" spans="1:67" ht="15.75" thickBot="1">
      <c r="A132" s="415">
        <f t="shared" si="5"/>
        <v>45425</v>
      </c>
      <c r="B132" s="416">
        <v>1250</v>
      </c>
      <c r="F132" s="730">
        <v>45057</v>
      </c>
      <c r="G132" s="731">
        <v>462.5</v>
      </c>
      <c r="AS132" s="658">
        <v>45111</v>
      </c>
      <c r="AT132" s="659">
        <v>770</v>
      </c>
      <c r="AV132" s="411">
        <v>45057</v>
      </c>
      <c r="AW132" s="326">
        <f t="shared" si="6"/>
        <v>461</v>
      </c>
      <c r="BN132" s="415">
        <v>45111</v>
      </c>
      <c r="BO132" s="416">
        <v>770</v>
      </c>
    </row>
    <row r="133" spans="1:67" ht="15.75" thickBot="1">
      <c r="A133" s="415">
        <f t="shared" si="5"/>
        <v>45426</v>
      </c>
      <c r="B133" s="416">
        <v>1250</v>
      </c>
      <c r="F133" s="730">
        <v>45058</v>
      </c>
      <c r="G133" s="731">
        <v>462.5</v>
      </c>
      <c r="AS133" s="658">
        <v>45112</v>
      </c>
      <c r="AT133" s="659">
        <v>770.88000499999998</v>
      </c>
      <c r="AV133" s="411">
        <v>45058</v>
      </c>
      <c r="AW133" s="326">
        <f t="shared" si="6"/>
        <v>461</v>
      </c>
      <c r="BN133" s="411">
        <v>45112</v>
      </c>
      <c r="BO133" s="416">
        <f>BO132</f>
        <v>770</v>
      </c>
    </row>
    <row r="134" spans="1:67" ht="15.75" thickBot="1">
      <c r="A134" s="415">
        <f t="shared" si="5"/>
        <v>45427</v>
      </c>
      <c r="B134" s="416">
        <v>1250</v>
      </c>
      <c r="F134" s="730">
        <v>45059</v>
      </c>
      <c r="G134" s="731">
        <v>462.5</v>
      </c>
      <c r="AS134" s="658">
        <v>45113</v>
      </c>
      <c r="AT134" s="659">
        <v>773</v>
      </c>
      <c r="AV134" s="411">
        <v>45059</v>
      </c>
      <c r="AW134" s="326">
        <f t="shared" si="6"/>
        <v>461</v>
      </c>
      <c r="BN134" s="411">
        <v>45113</v>
      </c>
      <c r="BO134" s="416">
        <f t="shared" ref="BO134:BO197" si="7">BO133</f>
        <v>770</v>
      </c>
    </row>
    <row r="135" spans="1:67" ht="15.75" thickBot="1">
      <c r="A135" s="415">
        <f t="shared" si="5"/>
        <v>45428</v>
      </c>
      <c r="B135" s="416">
        <v>1250</v>
      </c>
      <c r="F135" s="730">
        <v>45060</v>
      </c>
      <c r="G135" s="731">
        <v>460.53</v>
      </c>
      <c r="AS135" s="658">
        <v>45114</v>
      </c>
      <c r="AT135" s="659">
        <v>774</v>
      </c>
      <c r="AV135" s="411">
        <v>45060</v>
      </c>
      <c r="AW135" s="326">
        <f t="shared" si="6"/>
        <v>461</v>
      </c>
      <c r="BN135" s="411">
        <v>45114</v>
      </c>
      <c r="BO135" s="416">
        <f t="shared" si="7"/>
        <v>770</v>
      </c>
    </row>
    <row r="136" spans="1:67" ht="15.75" thickBot="1">
      <c r="A136" s="415">
        <f t="shared" si="5"/>
        <v>45429</v>
      </c>
      <c r="B136" s="416">
        <v>1250</v>
      </c>
      <c r="F136" s="730">
        <v>45061</v>
      </c>
      <c r="G136" s="731">
        <v>462</v>
      </c>
      <c r="AS136" s="658">
        <v>45117</v>
      </c>
      <c r="AT136" s="659">
        <v>762.05999799999995</v>
      </c>
      <c r="AV136" s="411">
        <v>45061</v>
      </c>
      <c r="AW136" s="326">
        <f t="shared" si="6"/>
        <v>460.02999899999998</v>
      </c>
      <c r="BN136" s="411">
        <v>45115</v>
      </c>
      <c r="BO136" s="416">
        <f t="shared" si="7"/>
        <v>770</v>
      </c>
    </row>
    <row r="137" spans="1:67" ht="15.75" thickBot="1">
      <c r="A137" s="415">
        <f t="shared" si="5"/>
        <v>45430</v>
      </c>
      <c r="B137" s="416">
        <v>1250</v>
      </c>
      <c r="F137" s="730">
        <v>45062</v>
      </c>
      <c r="G137" s="731">
        <v>461</v>
      </c>
      <c r="AS137" s="658">
        <v>45118</v>
      </c>
      <c r="AT137" s="659">
        <v>787.15002400000003</v>
      </c>
      <c r="AV137" s="411">
        <v>45062</v>
      </c>
      <c r="AW137" s="326">
        <f t="shared" si="6"/>
        <v>460</v>
      </c>
      <c r="BN137" s="411">
        <v>45116</v>
      </c>
      <c r="BO137" s="416">
        <f t="shared" si="7"/>
        <v>770</v>
      </c>
    </row>
    <row r="138" spans="1:67" ht="15.75" thickBot="1">
      <c r="A138" s="415">
        <f t="shared" si="5"/>
        <v>45431</v>
      </c>
      <c r="B138" s="416">
        <v>1250</v>
      </c>
      <c r="F138" s="730">
        <v>45063</v>
      </c>
      <c r="G138" s="731">
        <v>461</v>
      </c>
      <c r="AS138" s="658">
        <v>45119</v>
      </c>
      <c r="AT138" s="659">
        <v>780</v>
      </c>
      <c r="AV138" s="411">
        <v>45063</v>
      </c>
      <c r="AW138" s="326">
        <f t="shared" si="6"/>
        <v>459</v>
      </c>
      <c r="BN138" s="411">
        <v>45117</v>
      </c>
      <c r="BO138" s="416">
        <f t="shared" si="7"/>
        <v>770</v>
      </c>
    </row>
    <row r="139" spans="1:67" ht="15.75" thickBot="1">
      <c r="A139" s="415">
        <f t="shared" si="5"/>
        <v>45432</v>
      </c>
      <c r="B139" s="416">
        <v>1250</v>
      </c>
      <c r="F139" s="730">
        <v>45064</v>
      </c>
      <c r="G139" s="731">
        <v>462</v>
      </c>
      <c r="AS139" s="658">
        <v>45120</v>
      </c>
      <c r="AT139" s="659">
        <v>776</v>
      </c>
      <c r="AV139" s="411">
        <v>45064</v>
      </c>
      <c r="AW139" s="326">
        <f t="shared" si="6"/>
        <v>459</v>
      </c>
      <c r="BN139" s="411">
        <v>45118</v>
      </c>
      <c r="BO139" s="416">
        <f t="shared" si="7"/>
        <v>770</v>
      </c>
    </row>
    <row r="140" spans="1:67" ht="15.75" thickBot="1">
      <c r="A140" s="415">
        <f t="shared" si="5"/>
        <v>45433</v>
      </c>
      <c r="B140" s="416">
        <v>1250</v>
      </c>
      <c r="F140" s="730">
        <v>45065</v>
      </c>
      <c r="G140" s="731">
        <v>461</v>
      </c>
      <c r="AS140" s="658">
        <v>45121</v>
      </c>
      <c r="AT140" s="659">
        <v>777</v>
      </c>
      <c r="AV140" s="411">
        <v>45065</v>
      </c>
      <c r="AW140" s="326">
        <f t="shared" si="6"/>
        <v>460</v>
      </c>
      <c r="BN140" s="411">
        <v>45119</v>
      </c>
      <c r="BO140" s="416">
        <f t="shared" si="7"/>
        <v>770</v>
      </c>
    </row>
    <row r="141" spans="1:67" ht="15.75" thickBot="1">
      <c r="A141" s="415">
        <f t="shared" si="5"/>
        <v>45434</v>
      </c>
      <c r="B141" s="416">
        <v>1250</v>
      </c>
      <c r="F141" s="730">
        <v>45066</v>
      </c>
      <c r="G141" s="731">
        <v>461</v>
      </c>
      <c r="AS141" s="658">
        <v>45124</v>
      </c>
      <c r="AT141" s="659">
        <v>776</v>
      </c>
      <c r="AV141" s="411">
        <v>45066</v>
      </c>
      <c r="AW141" s="326">
        <f t="shared" si="6"/>
        <v>460</v>
      </c>
      <c r="BN141" s="411">
        <v>45120</v>
      </c>
      <c r="BO141" s="416">
        <f t="shared" si="7"/>
        <v>770</v>
      </c>
    </row>
    <row r="142" spans="1:67" ht="15.75" thickBot="1">
      <c r="A142" s="415">
        <f t="shared" si="5"/>
        <v>45435</v>
      </c>
      <c r="B142" s="416">
        <v>1250</v>
      </c>
      <c r="F142" s="730">
        <v>45067</v>
      </c>
      <c r="G142" s="731">
        <v>460.84</v>
      </c>
      <c r="AS142" s="658">
        <v>45125</v>
      </c>
      <c r="AT142" s="659">
        <v>777</v>
      </c>
      <c r="AV142" s="411">
        <v>45067</v>
      </c>
      <c r="AW142" s="326">
        <f t="shared" si="6"/>
        <v>460</v>
      </c>
      <c r="BN142" s="411">
        <v>45121</v>
      </c>
      <c r="BO142" s="416">
        <f t="shared" si="7"/>
        <v>770</v>
      </c>
    </row>
    <row r="143" spans="1:67" ht="15.75" thickBot="1">
      <c r="A143" s="415">
        <f t="shared" si="5"/>
        <v>45436</v>
      </c>
      <c r="B143" s="416">
        <v>1250</v>
      </c>
      <c r="F143" s="730">
        <v>45068</v>
      </c>
      <c r="G143" s="731">
        <v>461.5</v>
      </c>
      <c r="AS143" s="658">
        <v>45126</v>
      </c>
      <c r="AT143" s="659">
        <v>789</v>
      </c>
      <c r="AV143" s="411">
        <v>45068</v>
      </c>
      <c r="AW143" s="326">
        <f t="shared" si="6"/>
        <v>460.33999599999999</v>
      </c>
      <c r="BN143" s="411">
        <v>45122</v>
      </c>
      <c r="BO143" s="416">
        <f t="shared" si="7"/>
        <v>770</v>
      </c>
    </row>
    <row r="144" spans="1:67" ht="15.75" thickBot="1">
      <c r="A144" s="415">
        <f t="shared" si="5"/>
        <v>45437</v>
      </c>
      <c r="B144" s="416">
        <v>1250</v>
      </c>
      <c r="F144" s="730">
        <v>45069</v>
      </c>
      <c r="G144" s="731">
        <v>461</v>
      </c>
      <c r="AS144" s="658">
        <v>45127</v>
      </c>
      <c r="AT144" s="659">
        <v>791.01000999999997</v>
      </c>
      <c r="AV144" s="411">
        <v>45069</v>
      </c>
      <c r="AW144" s="326">
        <f t="shared" si="6"/>
        <v>460</v>
      </c>
      <c r="BN144" s="411">
        <v>45123</v>
      </c>
      <c r="BO144" s="416">
        <f t="shared" si="7"/>
        <v>770</v>
      </c>
    </row>
    <row r="145" spans="1:67" ht="15.75" thickBot="1">
      <c r="A145" s="415">
        <f t="shared" si="5"/>
        <v>45438</v>
      </c>
      <c r="B145" s="416">
        <v>1250</v>
      </c>
      <c r="F145" s="730">
        <v>45070</v>
      </c>
      <c r="G145" s="731">
        <v>461.5</v>
      </c>
      <c r="AS145" s="658">
        <v>45128</v>
      </c>
      <c r="AT145" s="659">
        <v>790.51000999999997</v>
      </c>
      <c r="AV145" s="411">
        <v>45070</v>
      </c>
      <c r="AW145" s="326">
        <f t="shared" si="6"/>
        <v>459</v>
      </c>
      <c r="BN145" s="411">
        <v>45124</v>
      </c>
      <c r="BO145" s="416">
        <f t="shared" si="7"/>
        <v>770</v>
      </c>
    </row>
    <row r="146" spans="1:67" ht="15.75" thickBot="1">
      <c r="A146" s="415">
        <f t="shared" si="5"/>
        <v>45439</v>
      </c>
      <c r="B146" s="416">
        <v>1250</v>
      </c>
      <c r="F146" s="730">
        <v>45071</v>
      </c>
      <c r="G146" s="731">
        <v>461.5</v>
      </c>
      <c r="AS146" s="658">
        <v>45131</v>
      </c>
      <c r="AT146" s="659">
        <v>791.51000999999997</v>
      </c>
      <c r="AV146" s="411">
        <v>45071</v>
      </c>
      <c r="AW146" s="326">
        <f t="shared" si="6"/>
        <v>460</v>
      </c>
      <c r="BN146" s="411">
        <v>45125</v>
      </c>
      <c r="BO146" s="416">
        <f t="shared" si="7"/>
        <v>770</v>
      </c>
    </row>
    <row r="147" spans="1:67" ht="15.75" thickBot="1">
      <c r="A147" s="415">
        <f t="shared" si="5"/>
        <v>45440</v>
      </c>
      <c r="B147" s="416">
        <v>1250</v>
      </c>
      <c r="F147" s="730">
        <v>45072</v>
      </c>
      <c r="G147" s="731">
        <v>461.5</v>
      </c>
      <c r="AS147" s="658">
        <v>45132</v>
      </c>
      <c r="AT147" s="659">
        <v>792.82000700000003</v>
      </c>
      <c r="AV147" s="411">
        <v>45072</v>
      </c>
      <c r="AW147" s="326">
        <f t="shared" si="6"/>
        <v>460</v>
      </c>
      <c r="BN147" s="411">
        <v>45126</v>
      </c>
      <c r="BO147" s="416">
        <f t="shared" si="7"/>
        <v>770</v>
      </c>
    </row>
    <row r="148" spans="1:67" ht="15.75" thickBot="1">
      <c r="A148" s="415">
        <f t="shared" si="5"/>
        <v>45441</v>
      </c>
      <c r="B148" s="416">
        <v>1250</v>
      </c>
      <c r="F148" s="730">
        <v>45073</v>
      </c>
      <c r="G148" s="731">
        <v>461.5</v>
      </c>
      <c r="AS148" s="658">
        <v>45133</v>
      </c>
      <c r="AT148" s="659">
        <v>792.82000700000003</v>
      </c>
      <c r="AV148" s="411">
        <v>45073</v>
      </c>
      <c r="AW148" s="326">
        <f t="shared" si="6"/>
        <v>460</v>
      </c>
      <c r="BN148" s="411">
        <v>45127</v>
      </c>
      <c r="BO148" s="416">
        <f t="shared" si="7"/>
        <v>770</v>
      </c>
    </row>
    <row r="149" spans="1:67" ht="15.75" thickBot="1">
      <c r="A149" s="415">
        <f t="shared" si="5"/>
        <v>45442</v>
      </c>
      <c r="B149" s="416">
        <v>1250</v>
      </c>
      <c r="F149" s="730">
        <v>45074</v>
      </c>
      <c r="G149" s="731">
        <v>460.75</v>
      </c>
      <c r="AS149" s="658">
        <v>45134</v>
      </c>
      <c r="AT149" s="659">
        <v>788</v>
      </c>
      <c r="AV149" s="411">
        <v>45074</v>
      </c>
      <c r="AW149" s="326">
        <f t="shared" si="6"/>
        <v>460</v>
      </c>
      <c r="BN149" s="411">
        <v>45128</v>
      </c>
      <c r="BO149" s="416">
        <f t="shared" si="7"/>
        <v>770</v>
      </c>
    </row>
    <row r="150" spans="1:67" ht="15.75" thickBot="1">
      <c r="A150" s="415">
        <f t="shared" si="5"/>
        <v>45443</v>
      </c>
      <c r="B150" s="416">
        <v>1250</v>
      </c>
      <c r="F150" s="730">
        <v>45075</v>
      </c>
      <c r="G150" s="731">
        <v>460.72</v>
      </c>
      <c r="AS150" s="658">
        <v>45135</v>
      </c>
      <c r="AT150" s="659">
        <v>775</v>
      </c>
      <c r="AV150" s="411">
        <v>45075</v>
      </c>
      <c r="AW150" s="326">
        <f t="shared" si="6"/>
        <v>460.25</v>
      </c>
      <c r="BN150" s="411">
        <v>45129</v>
      </c>
      <c r="BO150" s="416">
        <f t="shared" si="7"/>
        <v>770</v>
      </c>
    </row>
    <row r="151" spans="1:67" ht="15.75" thickBot="1">
      <c r="A151" s="415">
        <f t="shared" si="5"/>
        <v>45444</v>
      </c>
      <c r="B151" s="416">
        <v>1250</v>
      </c>
      <c r="F151" s="730">
        <v>45076</v>
      </c>
      <c r="G151" s="731">
        <v>462</v>
      </c>
      <c r="AS151" s="658">
        <v>45138</v>
      </c>
      <c r="AT151" s="659">
        <v>771.94000200000005</v>
      </c>
      <c r="AV151" s="411">
        <v>45076</v>
      </c>
      <c r="AW151" s="326">
        <f t="shared" si="6"/>
        <v>460.22000100000002</v>
      </c>
      <c r="BN151" s="411">
        <v>45130</v>
      </c>
      <c r="BO151" s="416">
        <f t="shared" si="7"/>
        <v>770</v>
      </c>
    </row>
    <row r="152" spans="1:67" ht="15.75" thickBot="1">
      <c r="A152" s="415">
        <f t="shared" si="5"/>
        <v>45445</v>
      </c>
      <c r="B152" s="416">
        <v>1250</v>
      </c>
      <c r="F152" s="730">
        <v>45077</v>
      </c>
      <c r="G152" s="731">
        <v>461.5</v>
      </c>
      <c r="AS152" s="658">
        <v>45139</v>
      </c>
      <c r="AT152" s="659">
        <v>759.90002400000003</v>
      </c>
      <c r="AV152" s="411">
        <v>45077</v>
      </c>
      <c r="AW152" s="326">
        <f t="shared" si="6"/>
        <v>460</v>
      </c>
      <c r="BN152" s="411">
        <v>45131</v>
      </c>
      <c r="BO152" s="416">
        <f t="shared" si="7"/>
        <v>770</v>
      </c>
    </row>
    <row r="153" spans="1:67" ht="15.75" thickBot="1">
      <c r="A153" s="415">
        <f t="shared" si="5"/>
        <v>45446</v>
      </c>
      <c r="B153" s="416">
        <v>1250</v>
      </c>
      <c r="F153" s="730">
        <v>45078</v>
      </c>
      <c r="G153" s="731">
        <v>461.26</v>
      </c>
      <c r="AS153" s="658">
        <v>45140</v>
      </c>
      <c r="AT153" s="659">
        <v>758.02002000000005</v>
      </c>
      <c r="AV153" s="411">
        <v>45078</v>
      </c>
      <c r="AW153" s="326">
        <f t="shared" si="6"/>
        <v>459</v>
      </c>
      <c r="BN153" s="411">
        <v>45132</v>
      </c>
      <c r="BO153" s="416">
        <f t="shared" si="7"/>
        <v>770</v>
      </c>
    </row>
    <row r="154" spans="1:67" ht="15.75" thickBot="1">
      <c r="A154" s="415">
        <f t="shared" si="5"/>
        <v>45447</v>
      </c>
      <c r="B154" s="416">
        <v>1250</v>
      </c>
      <c r="F154" s="730">
        <v>45079</v>
      </c>
      <c r="G154" s="731">
        <v>462</v>
      </c>
      <c r="AS154" s="658">
        <v>45141</v>
      </c>
      <c r="AT154" s="659">
        <v>775.85998500000005</v>
      </c>
      <c r="AV154" s="411">
        <v>45079</v>
      </c>
      <c r="AW154" s="326">
        <f t="shared" si="6"/>
        <v>460.76001000000002</v>
      </c>
      <c r="BN154" s="411">
        <v>45133</v>
      </c>
      <c r="BO154" s="416">
        <f t="shared" si="7"/>
        <v>770</v>
      </c>
    </row>
    <row r="155" spans="1:67" ht="15.75" thickBot="1">
      <c r="A155" s="415">
        <f t="shared" si="5"/>
        <v>45448</v>
      </c>
      <c r="B155" s="416">
        <v>1250</v>
      </c>
      <c r="F155" s="730">
        <v>45080</v>
      </c>
      <c r="G155" s="731">
        <v>462</v>
      </c>
      <c r="AS155" s="658">
        <v>45142</v>
      </c>
      <c r="AT155" s="659">
        <v>777.5</v>
      </c>
      <c r="AV155" s="411">
        <v>45080</v>
      </c>
      <c r="AW155" s="326">
        <f t="shared" si="6"/>
        <v>460.76001000000002</v>
      </c>
      <c r="BN155" s="411">
        <v>45134</v>
      </c>
      <c r="BO155" s="416">
        <f t="shared" si="7"/>
        <v>770</v>
      </c>
    </row>
    <row r="156" spans="1:67" ht="15.75" thickBot="1">
      <c r="A156" s="415">
        <f t="shared" si="5"/>
        <v>45449</v>
      </c>
      <c r="B156" s="416">
        <v>1250</v>
      </c>
      <c r="F156" s="730">
        <v>45081</v>
      </c>
      <c r="G156" s="731">
        <v>461.42</v>
      </c>
      <c r="AS156" s="658">
        <v>45145</v>
      </c>
      <c r="AT156" s="659">
        <v>765.09002699999996</v>
      </c>
      <c r="AV156" s="411">
        <v>45081</v>
      </c>
      <c r="AW156" s="326">
        <f t="shared" si="6"/>
        <v>460.76001000000002</v>
      </c>
      <c r="BN156" s="411">
        <v>45135</v>
      </c>
      <c r="BO156" s="416">
        <f t="shared" si="7"/>
        <v>770</v>
      </c>
    </row>
    <row r="157" spans="1:67" ht="15.75" thickBot="1">
      <c r="A157" s="415">
        <f t="shared" si="5"/>
        <v>45450</v>
      </c>
      <c r="B157" s="416">
        <v>1250</v>
      </c>
      <c r="F157" s="730">
        <v>45082</v>
      </c>
      <c r="G157" s="731">
        <v>462</v>
      </c>
      <c r="AS157" s="658">
        <v>45146</v>
      </c>
      <c r="AT157" s="659">
        <v>750.61999500000002</v>
      </c>
      <c r="AV157" s="411">
        <v>45082</v>
      </c>
      <c r="AW157" s="326">
        <f t="shared" si="6"/>
        <v>460.92001299999998</v>
      </c>
      <c r="BN157" s="411">
        <v>45136</v>
      </c>
      <c r="BO157" s="416">
        <f t="shared" si="7"/>
        <v>770</v>
      </c>
    </row>
    <row r="158" spans="1:67" ht="15.75" thickBot="1">
      <c r="A158" s="415">
        <f t="shared" si="5"/>
        <v>45451</v>
      </c>
      <c r="B158" s="416">
        <v>1250</v>
      </c>
      <c r="F158" s="730">
        <v>45083</v>
      </c>
      <c r="G158" s="731">
        <v>462</v>
      </c>
      <c r="AS158" s="658">
        <v>45147</v>
      </c>
      <c r="AT158" s="659">
        <v>750.46997099999999</v>
      </c>
      <c r="AV158" s="411">
        <v>45083</v>
      </c>
      <c r="AW158" s="326">
        <f t="shared" si="6"/>
        <v>460</v>
      </c>
      <c r="BN158" s="411">
        <v>45137</v>
      </c>
      <c r="BO158" s="416">
        <f t="shared" si="7"/>
        <v>770</v>
      </c>
    </row>
    <row r="159" spans="1:67" ht="15.75" thickBot="1">
      <c r="A159" s="415">
        <f t="shared" si="5"/>
        <v>45452</v>
      </c>
      <c r="B159" s="416">
        <v>1250</v>
      </c>
      <c r="F159" s="730">
        <v>45084</v>
      </c>
      <c r="G159" s="731">
        <v>462</v>
      </c>
      <c r="AS159" s="658">
        <v>45148</v>
      </c>
      <c r="AT159" s="659">
        <v>768.77002000000005</v>
      </c>
      <c r="AV159" s="411">
        <v>45084</v>
      </c>
      <c r="AW159" s="326">
        <f t="shared" si="6"/>
        <v>460</v>
      </c>
      <c r="BN159" s="411">
        <v>45138</v>
      </c>
      <c r="BO159" s="416">
        <f t="shared" si="7"/>
        <v>770</v>
      </c>
    </row>
    <row r="160" spans="1:67" ht="15.75" thickBot="1">
      <c r="A160" s="415">
        <f t="shared" si="5"/>
        <v>45453</v>
      </c>
      <c r="B160" s="416">
        <v>1250</v>
      </c>
      <c r="F160" s="730">
        <v>45085</v>
      </c>
      <c r="G160" s="731">
        <v>462.17</v>
      </c>
      <c r="AS160" s="658">
        <v>45149</v>
      </c>
      <c r="AT160" s="659">
        <v>768.73999000000003</v>
      </c>
      <c r="AV160" s="411">
        <v>45085</v>
      </c>
      <c r="AW160" s="326">
        <f t="shared" si="6"/>
        <v>460</v>
      </c>
      <c r="BN160" s="411">
        <v>45139</v>
      </c>
      <c r="BO160" s="416">
        <f t="shared" si="7"/>
        <v>770</v>
      </c>
    </row>
    <row r="161" spans="1:67" ht="15.75" thickBot="1">
      <c r="A161" s="415">
        <f t="shared" si="5"/>
        <v>45454</v>
      </c>
      <c r="B161" s="416">
        <v>1250</v>
      </c>
      <c r="F161" s="730">
        <v>45086</v>
      </c>
      <c r="G161" s="731">
        <v>464</v>
      </c>
      <c r="AS161" s="658">
        <v>45152</v>
      </c>
      <c r="AT161" s="659">
        <v>771.669983</v>
      </c>
      <c r="AV161" s="411">
        <v>45086</v>
      </c>
      <c r="AW161" s="326">
        <f t="shared" si="6"/>
        <v>461.67001299999998</v>
      </c>
      <c r="BN161" s="411">
        <v>45140</v>
      </c>
      <c r="BO161" s="416">
        <f t="shared" si="7"/>
        <v>770</v>
      </c>
    </row>
    <row r="162" spans="1:67" ht="15.75" thickBot="1">
      <c r="A162" s="415">
        <f t="shared" si="5"/>
        <v>45455</v>
      </c>
      <c r="B162" s="416">
        <v>1250</v>
      </c>
      <c r="F162" s="730">
        <v>45087</v>
      </c>
      <c r="G162" s="731">
        <v>464</v>
      </c>
      <c r="AS162" s="658">
        <v>45153</v>
      </c>
      <c r="AT162" s="659">
        <v>765.90002400000003</v>
      </c>
      <c r="AV162" s="411">
        <v>45087</v>
      </c>
      <c r="AW162" s="326">
        <f t="shared" si="6"/>
        <v>461.67001299999998</v>
      </c>
      <c r="BN162" s="411">
        <v>45141</v>
      </c>
      <c r="BO162" s="416">
        <f t="shared" si="7"/>
        <v>770</v>
      </c>
    </row>
    <row r="163" spans="1:67" ht="15.75" thickBot="1">
      <c r="A163" s="415">
        <f t="shared" si="5"/>
        <v>45456</v>
      </c>
      <c r="B163" s="416">
        <v>1250</v>
      </c>
      <c r="F163" s="730">
        <v>45088</v>
      </c>
      <c r="G163" s="731">
        <v>462.4</v>
      </c>
      <c r="AS163" s="658">
        <v>45154</v>
      </c>
      <c r="AT163" s="659">
        <v>760</v>
      </c>
      <c r="AV163" s="411">
        <v>45088</v>
      </c>
      <c r="AW163" s="326">
        <f t="shared" si="6"/>
        <v>461.67001299999998</v>
      </c>
      <c r="BN163" s="411">
        <v>45142</v>
      </c>
      <c r="BO163" s="416">
        <f t="shared" si="7"/>
        <v>770</v>
      </c>
    </row>
    <row r="164" spans="1:67" ht="15.75" thickBot="1">
      <c r="A164" s="415">
        <f t="shared" si="5"/>
        <v>45457</v>
      </c>
      <c r="B164" s="416">
        <v>1250</v>
      </c>
      <c r="F164" s="730">
        <v>45089</v>
      </c>
      <c r="G164" s="731">
        <v>463.5</v>
      </c>
      <c r="AS164" s="658">
        <v>45155</v>
      </c>
      <c r="AT164" s="659">
        <v>784.39202899999998</v>
      </c>
      <c r="AV164" s="411">
        <v>45089</v>
      </c>
      <c r="AW164" s="326">
        <f t="shared" si="6"/>
        <v>461.89999399999999</v>
      </c>
      <c r="BN164" s="411">
        <v>45143</v>
      </c>
      <c r="BO164" s="416">
        <f t="shared" si="7"/>
        <v>770</v>
      </c>
    </row>
    <row r="165" spans="1:67" ht="15.75" thickBot="1">
      <c r="A165" s="415">
        <f t="shared" ref="A165:A228" si="8">A164+1</f>
        <v>45458</v>
      </c>
      <c r="B165" s="416">
        <v>1250</v>
      </c>
      <c r="F165" s="730">
        <v>45090</v>
      </c>
      <c r="G165" s="731">
        <v>463.5</v>
      </c>
      <c r="AS165" s="411">
        <v>45156</v>
      </c>
      <c r="AT165" s="416">
        <v>770</v>
      </c>
      <c r="AV165" s="411">
        <v>45090</v>
      </c>
      <c r="AW165" s="326">
        <f t="shared" si="6"/>
        <v>461</v>
      </c>
      <c r="BN165" s="411">
        <v>45144</v>
      </c>
      <c r="BO165" s="416">
        <f t="shared" si="7"/>
        <v>770</v>
      </c>
    </row>
    <row r="166" spans="1:67" ht="15.75" thickBot="1">
      <c r="A166" s="415">
        <f t="shared" si="8"/>
        <v>45459</v>
      </c>
      <c r="B166" s="416">
        <v>1250</v>
      </c>
      <c r="F166" s="730">
        <v>45091</v>
      </c>
      <c r="G166" s="731">
        <v>465.5</v>
      </c>
      <c r="AS166" s="411">
        <v>45157</v>
      </c>
      <c r="AT166" s="416">
        <f t="shared" ref="AT166:AT197" si="9">AT165</f>
        <v>770</v>
      </c>
      <c r="AV166" s="411">
        <v>45091</v>
      </c>
      <c r="AW166" s="326">
        <f t="shared" si="6"/>
        <v>461</v>
      </c>
      <c r="BN166" s="411">
        <v>45145</v>
      </c>
      <c r="BO166" s="416">
        <f t="shared" si="7"/>
        <v>770</v>
      </c>
    </row>
    <row r="167" spans="1:67" ht="15.75" thickBot="1">
      <c r="A167" s="415">
        <f t="shared" si="8"/>
        <v>45460</v>
      </c>
      <c r="B167" s="416">
        <v>1250</v>
      </c>
      <c r="F167" s="730">
        <v>45092</v>
      </c>
      <c r="G167" s="731">
        <v>465.5</v>
      </c>
      <c r="AS167" s="411">
        <v>45158</v>
      </c>
      <c r="AT167" s="416">
        <f t="shared" si="9"/>
        <v>770</v>
      </c>
      <c r="AV167" s="411">
        <v>45092</v>
      </c>
      <c r="AW167" s="326">
        <f t="shared" si="6"/>
        <v>462.38000499999998</v>
      </c>
      <c r="BN167" s="411">
        <v>45146</v>
      </c>
      <c r="BO167" s="416">
        <f t="shared" si="7"/>
        <v>770</v>
      </c>
    </row>
    <row r="168" spans="1:67" ht="15.75" thickBot="1">
      <c r="A168" s="415">
        <f t="shared" si="8"/>
        <v>45461</v>
      </c>
      <c r="B168" s="416">
        <v>1250</v>
      </c>
      <c r="F168" s="730">
        <v>45093</v>
      </c>
      <c r="G168" s="731">
        <v>656.5</v>
      </c>
      <c r="AS168" s="411">
        <v>45159</v>
      </c>
      <c r="AT168" s="416">
        <f t="shared" si="9"/>
        <v>770</v>
      </c>
      <c r="AV168" s="411">
        <v>45093</v>
      </c>
      <c r="AW168" s="326">
        <f t="shared" si="6"/>
        <v>608</v>
      </c>
      <c r="BN168" s="411">
        <v>45147</v>
      </c>
      <c r="BO168" s="416">
        <f t="shared" si="7"/>
        <v>770</v>
      </c>
    </row>
    <row r="169" spans="1:67" ht="15.75" thickBot="1">
      <c r="A169" s="415">
        <f t="shared" si="8"/>
        <v>45462</v>
      </c>
      <c r="B169" s="416">
        <v>1250</v>
      </c>
      <c r="F169" s="730">
        <v>45095</v>
      </c>
      <c r="G169" s="731">
        <v>656.5</v>
      </c>
      <c r="AS169" s="411">
        <v>45160</v>
      </c>
      <c r="AT169" s="416">
        <f t="shared" si="9"/>
        <v>770</v>
      </c>
      <c r="AV169" s="411">
        <v>45094</v>
      </c>
      <c r="AW169" s="326">
        <f t="shared" si="6"/>
        <v>608</v>
      </c>
      <c r="BN169" s="411">
        <v>45148</v>
      </c>
      <c r="BO169" s="416">
        <f t="shared" si="7"/>
        <v>770</v>
      </c>
    </row>
    <row r="170" spans="1:67" ht="15.75" thickBot="1">
      <c r="A170" s="415">
        <f t="shared" si="8"/>
        <v>45463</v>
      </c>
      <c r="B170" s="416">
        <v>1250</v>
      </c>
      <c r="F170" s="730">
        <v>45096</v>
      </c>
      <c r="G170" s="731">
        <v>687.46</v>
      </c>
      <c r="AS170" s="411">
        <v>45161</v>
      </c>
      <c r="AT170" s="416">
        <f t="shared" si="9"/>
        <v>770</v>
      </c>
      <c r="AV170" s="411">
        <v>45095</v>
      </c>
      <c r="AW170" s="326">
        <f t="shared" si="6"/>
        <v>608</v>
      </c>
      <c r="BN170" s="411">
        <v>45149</v>
      </c>
      <c r="BO170" s="416">
        <f t="shared" si="7"/>
        <v>770</v>
      </c>
    </row>
    <row r="171" spans="1:67" ht="15.75" thickBot="1">
      <c r="A171" s="415">
        <f t="shared" si="8"/>
        <v>45464</v>
      </c>
      <c r="B171" s="416">
        <v>1250</v>
      </c>
      <c r="F171" s="730">
        <v>45097</v>
      </c>
      <c r="G171" s="731">
        <v>755.5</v>
      </c>
      <c r="AS171" s="411">
        <v>45162</v>
      </c>
      <c r="AT171" s="416">
        <f t="shared" si="9"/>
        <v>770</v>
      </c>
      <c r="AV171" s="411">
        <v>45096</v>
      </c>
      <c r="AW171" s="326">
        <f t="shared" si="6"/>
        <v>656</v>
      </c>
      <c r="BN171" s="411">
        <v>45150</v>
      </c>
      <c r="BO171" s="416">
        <f t="shared" si="7"/>
        <v>770</v>
      </c>
    </row>
    <row r="172" spans="1:67" ht="15.75" thickBot="1">
      <c r="A172" s="415">
        <f t="shared" si="8"/>
        <v>45465</v>
      </c>
      <c r="B172" s="416">
        <v>1250</v>
      </c>
      <c r="F172" s="730">
        <v>45098</v>
      </c>
      <c r="G172" s="731">
        <v>820</v>
      </c>
      <c r="AS172" s="411">
        <v>45163</v>
      </c>
      <c r="AT172" s="416">
        <f t="shared" si="9"/>
        <v>770</v>
      </c>
      <c r="AV172" s="411">
        <v>45097</v>
      </c>
      <c r="AW172" s="326">
        <f t="shared" si="6"/>
        <v>686.96002199999998</v>
      </c>
      <c r="BN172" s="411">
        <v>45151</v>
      </c>
      <c r="BO172" s="416">
        <f t="shared" si="7"/>
        <v>770</v>
      </c>
    </row>
    <row r="173" spans="1:67" ht="15.75" thickBot="1">
      <c r="A173" s="415">
        <f t="shared" si="8"/>
        <v>45466</v>
      </c>
      <c r="B173" s="416">
        <v>1250</v>
      </c>
      <c r="F173" s="730">
        <v>45099</v>
      </c>
      <c r="G173" s="731">
        <v>816.5</v>
      </c>
      <c r="AS173" s="411">
        <v>45164</v>
      </c>
      <c r="AT173" s="416">
        <f t="shared" si="9"/>
        <v>770</v>
      </c>
      <c r="AV173" s="411">
        <v>45098</v>
      </c>
      <c r="AW173" s="326">
        <f t="shared" si="6"/>
        <v>753</v>
      </c>
      <c r="BN173" s="411">
        <v>45152</v>
      </c>
      <c r="BO173" s="416">
        <f t="shared" si="7"/>
        <v>770</v>
      </c>
    </row>
    <row r="174" spans="1:67" ht="15.75" thickBot="1">
      <c r="A174" s="415">
        <f t="shared" si="8"/>
        <v>45467</v>
      </c>
      <c r="B174" s="416">
        <v>1250</v>
      </c>
      <c r="F174" s="730">
        <v>45100</v>
      </c>
      <c r="G174" s="731">
        <v>823</v>
      </c>
      <c r="AS174" s="411">
        <v>45165</v>
      </c>
      <c r="AT174" s="416">
        <f t="shared" si="9"/>
        <v>770</v>
      </c>
      <c r="AV174" s="411">
        <v>45099</v>
      </c>
      <c r="AW174" s="326">
        <f t="shared" si="6"/>
        <v>817</v>
      </c>
      <c r="BN174" s="411">
        <v>45153</v>
      </c>
      <c r="BO174" s="416">
        <f t="shared" si="7"/>
        <v>770</v>
      </c>
    </row>
    <row r="175" spans="1:67" ht="15.75" thickBot="1">
      <c r="A175" s="415">
        <f t="shared" si="8"/>
        <v>45468</v>
      </c>
      <c r="B175" s="416">
        <v>1250</v>
      </c>
      <c r="F175" s="730">
        <v>45101</v>
      </c>
      <c r="G175" s="731">
        <v>823</v>
      </c>
      <c r="AS175" s="411">
        <v>45166</v>
      </c>
      <c r="AT175" s="416">
        <f t="shared" si="9"/>
        <v>770</v>
      </c>
      <c r="AV175" s="411">
        <v>45100</v>
      </c>
      <c r="AW175" s="326">
        <f t="shared" si="6"/>
        <v>816</v>
      </c>
      <c r="BN175" s="411">
        <v>45154</v>
      </c>
      <c r="BO175" s="416">
        <f t="shared" si="7"/>
        <v>770</v>
      </c>
    </row>
    <row r="176" spans="1:67" ht="15.75" thickBot="1">
      <c r="A176" s="415">
        <f t="shared" si="8"/>
        <v>45469</v>
      </c>
      <c r="B176" s="416">
        <v>1250</v>
      </c>
      <c r="F176" s="730">
        <v>45102</v>
      </c>
      <c r="G176" s="731">
        <v>761.5</v>
      </c>
      <c r="AS176" s="411">
        <v>45167</v>
      </c>
      <c r="AT176" s="416">
        <f t="shared" si="9"/>
        <v>770</v>
      </c>
      <c r="AV176" s="411">
        <v>45101</v>
      </c>
      <c r="AW176" s="326">
        <f t="shared" si="6"/>
        <v>816</v>
      </c>
      <c r="BN176" s="411">
        <v>45155</v>
      </c>
      <c r="BO176" s="416">
        <f t="shared" si="7"/>
        <v>770</v>
      </c>
    </row>
    <row r="177" spans="1:67" ht="15.75" thickBot="1">
      <c r="A177" s="415">
        <f t="shared" si="8"/>
        <v>45470</v>
      </c>
      <c r="B177" s="416">
        <v>1250</v>
      </c>
      <c r="F177" s="730">
        <v>45103</v>
      </c>
      <c r="G177" s="731">
        <v>813</v>
      </c>
      <c r="AS177" s="411">
        <v>45168</v>
      </c>
      <c r="AT177" s="416">
        <f t="shared" si="9"/>
        <v>770</v>
      </c>
      <c r="AV177" s="411">
        <v>45102</v>
      </c>
      <c r="AW177" s="326">
        <f t="shared" si="6"/>
        <v>816</v>
      </c>
      <c r="BN177" s="411">
        <v>45156</v>
      </c>
      <c r="BO177" s="416">
        <f t="shared" si="7"/>
        <v>770</v>
      </c>
    </row>
    <row r="178" spans="1:67" ht="15.75" thickBot="1">
      <c r="A178" s="415">
        <f t="shared" si="8"/>
        <v>45471</v>
      </c>
      <c r="B178" s="416">
        <v>1250</v>
      </c>
      <c r="F178" s="730">
        <v>45104</v>
      </c>
      <c r="G178" s="731">
        <v>764.55</v>
      </c>
      <c r="AS178" s="411">
        <v>45169</v>
      </c>
      <c r="AT178" s="416">
        <f t="shared" si="9"/>
        <v>770</v>
      </c>
      <c r="AV178" s="411">
        <v>45103</v>
      </c>
      <c r="AW178" s="326">
        <f t="shared" si="6"/>
        <v>761</v>
      </c>
      <c r="BN178" s="411">
        <v>45157</v>
      </c>
      <c r="BO178" s="416">
        <f t="shared" si="7"/>
        <v>770</v>
      </c>
    </row>
    <row r="179" spans="1:67" ht="15.75" thickBot="1">
      <c r="A179" s="415">
        <f t="shared" si="8"/>
        <v>45472</v>
      </c>
      <c r="B179" s="416">
        <v>1250</v>
      </c>
      <c r="F179" s="730">
        <v>45105</v>
      </c>
      <c r="G179" s="731">
        <v>754.45</v>
      </c>
      <c r="AS179" s="411">
        <v>45170</v>
      </c>
      <c r="AT179" s="416">
        <f t="shared" si="9"/>
        <v>770</v>
      </c>
      <c r="AV179" s="411">
        <v>45104</v>
      </c>
      <c r="AW179" s="326">
        <f t="shared" si="6"/>
        <v>810</v>
      </c>
      <c r="BN179" s="411">
        <v>45158</v>
      </c>
      <c r="BO179" s="416">
        <f t="shared" si="7"/>
        <v>770</v>
      </c>
    </row>
    <row r="180" spans="1:67" ht="15.75" thickBot="1">
      <c r="A180" s="415">
        <f t="shared" si="8"/>
        <v>45473</v>
      </c>
      <c r="B180" s="416">
        <v>1250</v>
      </c>
      <c r="F180" s="730">
        <v>45106</v>
      </c>
      <c r="G180" s="731">
        <v>754.5</v>
      </c>
      <c r="AS180" s="411">
        <v>45171</v>
      </c>
      <c r="AT180" s="416">
        <f t="shared" si="9"/>
        <v>770</v>
      </c>
      <c r="AV180" s="411">
        <v>45105</v>
      </c>
      <c r="AW180" s="326">
        <f t="shared" si="6"/>
        <v>764.04998799999998</v>
      </c>
      <c r="BN180" s="411">
        <v>45159</v>
      </c>
      <c r="BO180" s="416">
        <f t="shared" si="7"/>
        <v>770</v>
      </c>
    </row>
    <row r="181" spans="1:67" ht="15.75" thickBot="1">
      <c r="A181" s="415">
        <f t="shared" si="8"/>
        <v>45474</v>
      </c>
      <c r="B181" s="416">
        <v>1250</v>
      </c>
      <c r="F181" s="730">
        <v>45107</v>
      </c>
      <c r="G181" s="731">
        <v>760.27</v>
      </c>
      <c r="AS181" s="411">
        <v>45172</v>
      </c>
      <c r="AT181" s="416">
        <f t="shared" si="9"/>
        <v>770</v>
      </c>
      <c r="AV181" s="411">
        <v>45106</v>
      </c>
      <c r="AW181" s="326">
        <f t="shared" si="6"/>
        <v>753.95001200000002</v>
      </c>
      <c r="BN181" s="411">
        <v>45160</v>
      </c>
      <c r="BO181" s="416">
        <f t="shared" si="7"/>
        <v>770</v>
      </c>
    </row>
    <row r="182" spans="1:67" ht="15.75" thickBot="1">
      <c r="A182" s="415">
        <f t="shared" si="8"/>
        <v>45475</v>
      </c>
      <c r="B182" s="416">
        <v>1250</v>
      </c>
      <c r="F182" s="730">
        <v>45108</v>
      </c>
      <c r="G182" s="731">
        <v>760.27</v>
      </c>
      <c r="AS182" s="411">
        <v>45173</v>
      </c>
      <c r="AT182" s="416">
        <f t="shared" si="9"/>
        <v>770</v>
      </c>
      <c r="AV182" s="411">
        <v>45107</v>
      </c>
      <c r="AW182" s="326">
        <f t="shared" si="6"/>
        <v>753.95001200000002</v>
      </c>
      <c r="BN182" s="411">
        <v>45161</v>
      </c>
      <c r="BO182" s="416">
        <f t="shared" si="7"/>
        <v>770</v>
      </c>
    </row>
    <row r="183" spans="1:67" ht="15.75" thickBot="1">
      <c r="A183" s="415">
        <f t="shared" si="8"/>
        <v>45476</v>
      </c>
      <c r="B183" s="416">
        <v>1250</v>
      </c>
      <c r="F183" s="730">
        <v>45109</v>
      </c>
      <c r="G183" s="731">
        <v>760.27</v>
      </c>
      <c r="AS183" s="411">
        <v>45174</v>
      </c>
      <c r="AT183" s="416">
        <f t="shared" si="9"/>
        <v>770</v>
      </c>
      <c r="AV183" s="411">
        <v>45108</v>
      </c>
      <c r="AW183" s="326">
        <f t="shared" si="6"/>
        <v>753.95001200000002</v>
      </c>
      <c r="BN183" s="411">
        <v>45162</v>
      </c>
      <c r="BO183" s="416">
        <f t="shared" si="7"/>
        <v>770</v>
      </c>
    </row>
    <row r="184" spans="1:67" ht="15.75" thickBot="1">
      <c r="A184" s="415">
        <f t="shared" si="8"/>
        <v>45477</v>
      </c>
      <c r="B184" s="416">
        <v>1250</v>
      </c>
      <c r="F184" s="730">
        <v>45110</v>
      </c>
      <c r="G184" s="731">
        <v>770.5</v>
      </c>
      <c r="AS184" s="411">
        <v>45175</v>
      </c>
      <c r="AT184" s="416">
        <f t="shared" si="9"/>
        <v>770</v>
      </c>
      <c r="AV184" s="411">
        <v>45109</v>
      </c>
      <c r="AW184" s="326">
        <f t="shared" si="6"/>
        <v>753.95001200000002</v>
      </c>
      <c r="BN184" s="411">
        <v>45163</v>
      </c>
      <c r="BO184" s="416">
        <f t="shared" si="7"/>
        <v>770</v>
      </c>
    </row>
    <row r="185" spans="1:67" ht="15.75" thickBot="1">
      <c r="A185" s="415">
        <f t="shared" si="8"/>
        <v>45478</v>
      </c>
      <c r="B185" s="416">
        <v>1250</v>
      </c>
      <c r="F185" s="730">
        <v>45111</v>
      </c>
      <c r="G185" s="731">
        <v>771.38</v>
      </c>
      <c r="AS185" s="411">
        <v>45176</v>
      </c>
      <c r="AT185" s="416">
        <f t="shared" si="9"/>
        <v>770</v>
      </c>
      <c r="AV185" s="411">
        <v>45110</v>
      </c>
      <c r="AW185" s="326">
        <f t="shared" si="6"/>
        <v>759.77002000000005</v>
      </c>
      <c r="BN185" s="411">
        <v>45164</v>
      </c>
      <c r="BO185" s="416">
        <f t="shared" si="7"/>
        <v>770</v>
      </c>
    </row>
    <row r="186" spans="1:67" ht="15.75" thickBot="1">
      <c r="A186" s="415">
        <f t="shared" si="8"/>
        <v>45479</v>
      </c>
      <c r="B186" s="416">
        <v>1250</v>
      </c>
      <c r="F186" s="730">
        <v>45112</v>
      </c>
      <c r="G186" s="731">
        <v>773.5</v>
      </c>
      <c r="AS186" s="411">
        <v>45177</v>
      </c>
      <c r="AT186" s="416">
        <f t="shared" si="9"/>
        <v>770</v>
      </c>
      <c r="AV186" s="411">
        <v>45111</v>
      </c>
      <c r="AW186" s="326">
        <f t="shared" si="6"/>
        <v>770</v>
      </c>
      <c r="BN186" s="411">
        <v>45165</v>
      </c>
      <c r="BO186" s="416">
        <f t="shared" si="7"/>
        <v>770</v>
      </c>
    </row>
    <row r="187" spans="1:67" ht="15.75" thickBot="1">
      <c r="A187" s="415">
        <f t="shared" si="8"/>
        <v>45480</v>
      </c>
      <c r="B187" s="416">
        <v>1250</v>
      </c>
      <c r="F187" s="730">
        <v>45113</v>
      </c>
      <c r="G187" s="731">
        <v>774.5</v>
      </c>
      <c r="AS187" s="411">
        <v>45178</v>
      </c>
      <c r="AT187" s="416">
        <f t="shared" si="9"/>
        <v>770</v>
      </c>
      <c r="AV187" s="411">
        <v>45112</v>
      </c>
      <c r="AW187" s="326">
        <f t="shared" si="6"/>
        <v>770.88000499999998</v>
      </c>
      <c r="BN187" s="411">
        <v>45166</v>
      </c>
      <c r="BO187" s="416">
        <f t="shared" si="7"/>
        <v>770</v>
      </c>
    </row>
    <row r="188" spans="1:67" ht="15.75" thickBot="1">
      <c r="A188" s="415">
        <f t="shared" si="8"/>
        <v>45481</v>
      </c>
      <c r="B188" s="416">
        <v>1250</v>
      </c>
      <c r="F188" s="730">
        <v>45114</v>
      </c>
      <c r="G188" s="731">
        <v>769.5</v>
      </c>
      <c r="AS188" s="411">
        <v>45179</v>
      </c>
      <c r="AT188" s="416">
        <f t="shared" si="9"/>
        <v>770</v>
      </c>
      <c r="AV188" s="411">
        <v>45113</v>
      </c>
      <c r="AW188" s="326">
        <f t="shared" si="6"/>
        <v>773</v>
      </c>
      <c r="BN188" s="411">
        <v>45167</v>
      </c>
      <c r="BO188" s="416">
        <f t="shared" si="7"/>
        <v>770</v>
      </c>
    </row>
    <row r="189" spans="1:67" ht="15.75" thickBot="1">
      <c r="A189" s="415">
        <f t="shared" si="8"/>
        <v>45482</v>
      </c>
      <c r="B189" s="416">
        <v>1250</v>
      </c>
      <c r="F189" s="730">
        <v>45115</v>
      </c>
      <c r="G189" s="731">
        <v>769.5</v>
      </c>
      <c r="AS189" s="411">
        <v>45180</v>
      </c>
      <c r="AT189" s="416">
        <f t="shared" si="9"/>
        <v>770</v>
      </c>
      <c r="AV189" s="411">
        <v>45114</v>
      </c>
      <c r="AW189" s="326">
        <f t="shared" si="6"/>
        <v>774</v>
      </c>
      <c r="BN189" s="411">
        <v>45168</v>
      </c>
      <c r="BO189" s="416">
        <f t="shared" si="7"/>
        <v>770</v>
      </c>
    </row>
    <row r="190" spans="1:67" ht="15.75" thickBot="1">
      <c r="A190" s="415">
        <f t="shared" si="8"/>
        <v>45483</v>
      </c>
      <c r="B190" s="416">
        <v>1250</v>
      </c>
      <c r="F190" s="730">
        <v>45116</v>
      </c>
      <c r="G190" s="731">
        <v>762.56</v>
      </c>
      <c r="AS190" s="411">
        <v>45181</v>
      </c>
      <c r="AT190" s="416">
        <f t="shared" si="9"/>
        <v>770</v>
      </c>
      <c r="AV190" s="411">
        <v>45115</v>
      </c>
      <c r="AW190" s="326">
        <f t="shared" si="6"/>
        <v>774</v>
      </c>
      <c r="BN190" s="411">
        <v>45169</v>
      </c>
      <c r="BO190" s="416">
        <f t="shared" si="7"/>
        <v>770</v>
      </c>
    </row>
    <row r="191" spans="1:67" ht="15.75" thickBot="1">
      <c r="A191" s="415">
        <f t="shared" si="8"/>
        <v>45484</v>
      </c>
      <c r="B191" s="416">
        <v>1250</v>
      </c>
      <c r="F191" s="730">
        <v>45117</v>
      </c>
      <c r="G191" s="731">
        <v>787.65</v>
      </c>
      <c r="AS191" s="411">
        <v>45182</v>
      </c>
      <c r="AT191" s="416">
        <f t="shared" si="9"/>
        <v>770</v>
      </c>
      <c r="AV191" s="411">
        <v>45116</v>
      </c>
      <c r="AW191" s="326">
        <f t="shared" si="6"/>
        <v>774</v>
      </c>
      <c r="BN191" s="411">
        <v>45170</v>
      </c>
      <c r="BO191" s="416">
        <f t="shared" si="7"/>
        <v>770</v>
      </c>
    </row>
    <row r="192" spans="1:67" ht="15.75" thickBot="1">
      <c r="A192" s="415">
        <f t="shared" si="8"/>
        <v>45485</v>
      </c>
      <c r="B192" s="416">
        <v>1250</v>
      </c>
      <c r="F192" s="730">
        <v>45118</v>
      </c>
      <c r="G192" s="731">
        <v>780.5</v>
      </c>
      <c r="AS192" s="411">
        <v>45183</v>
      </c>
      <c r="AT192" s="416">
        <f t="shared" si="9"/>
        <v>770</v>
      </c>
      <c r="AV192" s="411">
        <v>45117</v>
      </c>
      <c r="AW192" s="326">
        <f t="shared" si="6"/>
        <v>762.05999799999995</v>
      </c>
      <c r="BN192" s="411">
        <v>45171</v>
      </c>
      <c r="BO192" s="416">
        <f t="shared" si="7"/>
        <v>770</v>
      </c>
    </row>
    <row r="193" spans="1:67" ht="15.75" thickBot="1">
      <c r="A193" s="415">
        <f t="shared" si="8"/>
        <v>45486</v>
      </c>
      <c r="B193" s="416">
        <v>1250</v>
      </c>
      <c r="F193" s="730">
        <v>45119</v>
      </c>
      <c r="G193" s="731">
        <v>776.5</v>
      </c>
      <c r="AS193" s="411">
        <v>45184</v>
      </c>
      <c r="AT193" s="416">
        <f t="shared" si="9"/>
        <v>770</v>
      </c>
      <c r="AV193" s="411">
        <v>45118</v>
      </c>
      <c r="AW193" s="326">
        <f t="shared" si="6"/>
        <v>787.15002400000003</v>
      </c>
      <c r="BN193" s="411">
        <v>45172</v>
      </c>
      <c r="BO193" s="416">
        <f t="shared" si="7"/>
        <v>770</v>
      </c>
    </row>
    <row r="194" spans="1:67" ht="15.75" thickBot="1">
      <c r="A194" s="415">
        <f t="shared" si="8"/>
        <v>45487</v>
      </c>
      <c r="B194" s="416">
        <v>1250</v>
      </c>
      <c r="F194" s="730">
        <v>45120</v>
      </c>
      <c r="G194" s="731">
        <v>777.5</v>
      </c>
      <c r="AS194" s="411">
        <v>45185</v>
      </c>
      <c r="AT194" s="416">
        <f t="shared" si="9"/>
        <v>770</v>
      </c>
      <c r="AV194" s="411">
        <v>45119</v>
      </c>
      <c r="AW194" s="326">
        <f t="shared" si="6"/>
        <v>780</v>
      </c>
      <c r="BN194" s="411">
        <v>45173</v>
      </c>
      <c r="BO194" s="416">
        <f t="shared" si="7"/>
        <v>770</v>
      </c>
    </row>
    <row r="195" spans="1:67" ht="15.75" thickBot="1">
      <c r="A195" s="415">
        <f t="shared" si="8"/>
        <v>45488</v>
      </c>
      <c r="B195" s="416">
        <v>1250</v>
      </c>
      <c r="F195" s="730">
        <v>45121</v>
      </c>
      <c r="G195" s="731">
        <v>776.5</v>
      </c>
      <c r="AS195" s="411">
        <v>45186</v>
      </c>
      <c r="AT195" s="416">
        <f t="shared" si="9"/>
        <v>770</v>
      </c>
      <c r="AV195" s="411">
        <v>45120</v>
      </c>
      <c r="AW195" s="326">
        <f t="shared" ref="AW195:AW258" si="10">VLOOKUP(AV195,$AS$2:$AT$312,2,TRUE)</f>
        <v>776</v>
      </c>
      <c r="BN195" s="411">
        <v>45174</v>
      </c>
      <c r="BO195" s="416">
        <f t="shared" si="7"/>
        <v>770</v>
      </c>
    </row>
    <row r="196" spans="1:67" ht="15.75" thickBot="1">
      <c r="A196" s="415">
        <f t="shared" si="8"/>
        <v>45489</v>
      </c>
      <c r="B196" s="416">
        <v>1250</v>
      </c>
      <c r="F196" s="730">
        <v>45122</v>
      </c>
      <c r="G196" s="731">
        <v>776.5</v>
      </c>
      <c r="AS196" s="411">
        <v>45187</v>
      </c>
      <c r="AT196" s="416">
        <f t="shared" si="9"/>
        <v>770</v>
      </c>
      <c r="AV196" s="411">
        <v>45121</v>
      </c>
      <c r="AW196" s="326">
        <f t="shared" si="10"/>
        <v>777</v>
      </c>
      <c r="BN196" s="411">
        <v>45175</v>
      </c>
      <c r="BO196" s="416">
        <f t="shared" si="7"/>
        <v>770</v>
      </c>
    </row>
    <row r="197" spans="1:67" ht="15.75" thickBot="1">
      <c r="A197" s="415">
        <f t="shared" si="8"/>
        <v>45490</v>
      </c>
      <c r="B197" s="416">
        <v>1250</v>
      </c>
      <c r="F197" s="730">
        <v>45123</v>
      </c>
      <c r="G197" s="731">
        <v>776.5</v>
      </c>
      <c r="AS197" s="411">
        <v>45188</v>
      </c>
      <c r="AT197" s="416">
        <f t="shared" si="9"/>
        <v>770</v>
      </c>
      <c r="AV197" s="411">
        <v>45122</v>
      </c>
      <c r="AW197" s="326">
        <f t="shared" si="10"/>
        <v>777</v>
      </c>
      <c r="BN197" s="411">
        <v>45176</v>
      </c>
      <c r="BO197" s="416">
        <f t="shared" si="7"/>
        <v>770</v>
      </c>
    </row>
    <row r="198" spans="1:67" ht="15.75" thickBot="1">
      <c r="A198" s="415">
        <f t="shared" si="8"/>
        <v>45491</v>
      </c>
      <c r="B198" s="416">
        <v>1250</v>
      </c>
      <c r="F198" s="730">
        <v>45124</v>
      </c>
      <c r="G198" s="731">
        <v>777.5</v>
      </c>
      <c r="AS198" s="411">
        <v>45189</v>
      </c>
      <c r="AT198" s="416">
        <f t="shared" ref="AT198:AT261" si="11">AT197</f>
        <v>770</v>
      </c>
      <c r="AV198" s="411">
        <v>45123</v>
      </c>
      <c r="AW198" s="326">
        <f t="shared" si="10"/>
        <v>777</v>
      </c>
      <c r="BN198" s="411">
        <v>45177</v>
      </c>
      <c r="BO198" s="416">
        <f t="shared" ref="BO198:BO261" si="12">BO197</f>
        <v>770</v>
      </c>
    </row>
    <row r="199" spans="1:67" ht="15.75" thickBot="1">
      <c r="A199" s="415">
        <f t="shared" si="8"/>
        <v>45492</v>
      </c>
      <c r="B199" s="416">
        <v>1250</v>
      </c>
      <c r="F199" s="730">
        <v>45125</v>
      </c>
      <c r="G199" s="731">
        <v>789.5</v>
      </c>
      <c r="AS199" s="411">
        <v>45190</v>
      </c>
      <c r="AT199" s="416">
        <f t="shared" si="11"/>
        <v>770</v>
      </c>
      <c r="AV199" s="411">
        <v>45124</v>
      </c>
      <c r="AW199" s="326">
        <f t="shared" si="10"/>
        <v>776</v>
      </c>
      <c r="BN199" s="411">
        <v>45178</v>
      </c>
      <c r="BO199" s="416">
        <f t="shared" si="12"/>
        <v>770</v>
      </c>
    </row>
    <row r="200" spans="1:67" ht="15.75" thickBot="1">
      <c r="A200" s="415">
        <f t="shared" si="8"/>
        <v>45493</v>
      </c>
      <c r="B200" s="416">
        <v>1250</v>
      </c>
      <c r="F200" s="730">
        <v>45126</v>
      </c>
      <c r="G200" s="731">
        <v>791.51</v>
      </c>
      <c r="AS200" s="411">
        <v>45191</v>
      </c>
      <c r="AT200" s="416">
        <f t="shared" si="11"/>
        <v>770</v>
      </c>
      <c r="AV200" s="411">
        <v>45125</v>
      </c>
      <c r="AW200" s="326">
        <f t="shared" si="10"/>
        <v>777</v>
      </c>
      <c r="BN200" s="411">
        <v>45179</v>
      </c>
      <c r="BO200" s="416">
        <f t="shared" si="12"/>
        <v>770</v>
      </c>
    </row>
    <row r="201" spans="1:67" ht="15.75" thickBot="1">
      <c r="A201" s="415">
        <f t="shared" si="8"/>
        <v>45494</v>
      </c>
      <c r="B201" s="416">
        <v>1250</v>
      </c>
      <c r="F201" s="730">
        <v>45127</v>
      </c>
      <c r="G201" s="731">
        <v>791.01</v>
      </c>
      <c r="AS201" s="411">
        <v>45192</v>
      </c>
      <c r="AT201" s="416">
        <f t="shared" si="11"/>
        <v>770</v>
      </c>
      <c r="AV201" s="411">
        <v>45126</v>
      </c>
      <c r="AW201" s="326">
        <f t="shared" si="10"/>
        <v>789</v>
      </c>
      <c r="BN201" s="411">
        <v>45180</v>
      </c>
      <c r="BO201" s="416">
        <f t="shared" si="12"/>
        <v>770</v>
      </c>
    </row>
    <row r="202" spans="1:67" ht="15.75" thickBot="1">
      <c r="A202" s="415">
        <f t="shared" si="8"/>
        <v>45495</v>
      </c>
      <c r="B202" s="416">
        <v>1250</v>
      </c>
      <c r="F202" s="730">
        <v>45128</v>
      </c>
      <c r="G202" s="731">
        <v>776.5</v>
      </c>
      <c r="AS202" s="411">
        <v>45193</v>
      </c>
      <c r="AT202" s="416">
        <f t="shared" si="11"/>
        <v>770</v>
      </c>
      <c r="AV202" s="411">
        <v>45127</v>
      </c>
      <c r="AW202" s="326">
        <f t="shared" si="10"/>
        <v>791.01000999999997</v>
      </c>
      <c r="BN202" s="411">
        <v>45181</v>
      </c>
      <c r="BO202" s="416">
        <f t="shared" si="12"/>
        <v>770</v>
      </c>
    </row>
    <row r="203" spans="1:67" ht="15.75" thickBot="1">
      <c r="A203" s="415">
        <f t="shared" si="8"/>
        <v>45496</v>
      </c>
      <c r="B203" s="416">
        <v>1250</v>
      </c>
      <c r="F203" s="730">
        <v>45129</v>
      </c>
      <c r="G203" s="731">
        <v>776.5</v>
      </c>
      <c r="AS203" s="411">
        <v>45194</v>
      </c>
      <c r="AT203" s="416">
        <f t="shared" si="11"/>
        <v>770</v>
      </c>
      <c r="AV203" s="411">
        <v>45128</v>
      </c>
      <c r="AW203" s="326">
        <f t="shared" si="10"/>
        <v>790.51000999999997</v>
      </c>
      <c r="BN203" s="411">
        <v>45182</v>
      </c>
      <c r="BO203" s="416">
        <f t="shared" si="12"/>
        <v>770</v>
      </c>
    </row>
    <row r="204" spans="1:67" ht="15.75" thickBot="1">
      <c r="A204" s="415">
        <f t="shared" si="8"/>
        <v>45497</v>
      </c>
      <c r="B204" s="416">
        <v>1250</v>
      </c>
      <c r="F204" s="730">
        <v>45130</v>
      </c>
      <c r="G204" s="731">
        <v>792.01</v>
      </c>
      <c r="AS204" s="411">
        <v>45195</v>
      </c>
      <c r="AT204" s="416">
        <f t="shared" si="11"/>
        <v>770</v>
      </c>
      <c r="AV204" s="411">
        <v>45129</v>
      </c>
      <c r="AW204" s="326">
        <f t="shared" si="10"/>
        <v>790.51000999999997</v>
      </c>
      <c r="BN204" s="411">
        <v>45183</v>
      </c>
      <c r="BO204" s="416">
        <f t="shared" si="12"/>
        <v>770</v>
      </c>
    </row>
    <row r="205" spans="1:67" ht="15.75" thickBot="1">
      <c r="A205" s="415">
        <f t="shared" si="8"/>
        <v>45498</v>
      </c>
      <c r="B205" s="416">
        <v>1250</v>
      </c>
      <c r="F205" s="730">
        <v>45131</v>
      </c>
      <c r="G205" s="731">
        <v>793.32</v>
      </c>
      <c r="AS205" s="411">
        <v>45196</v>
      </c>
      <c r="AT205" s="416">
        <f t="shared" si="11"/>
        <v>770</v>
      </c>
      <c r="AV205" s="411">
        <v>45130</v>
      </c>
      <c r="AW205" s="326">
        <f t="shared" si="10"/>
        <v>790.51000999999997</v>
      </c>
      <c r="BN205" s="411">
        <v>45184</v>
      </c>
      <c r="BO205" s="416">
        <f t="shared" si="12"/>
        <v>770</v>
      </c>
    </row>
    <row r="206" spans="1:67" ht="15.75" thickBot="1">
      <c r="A206" s="415">
        <f t="shared" si="8"/>
        <v>45499</v>
      </c>
      <c r="B206" s="416">
        <v>1250</v>
      </c>
      <c r="F206" s="730">
        <v>45132</v>
      </c>
      <c r="G206" s="731">
        <v>793.32</v>
      </c>
      <c r="AS206" s="411">
        <v>45197</v>
      </c>
      <c r="AT206" s="416">
        <f t="shared" si="11"/>
        <v>770</v>
      </c>
      <c r="AV206" s="411">
        <v>45131</v>
      </c>
      <c r="AW206" s="326">
        <f t="shared" si="10"/>
        <v>791.51000999999997</v>
      </c>
      <c r="BN206" s="411">
        <v>45185</v>
      </c>
      <c r="BO206" s="416">
        <f t="shared" si="12"/>
        <v>770</v>
      </c>
    </row>
    <row r="207" spans="1:67" ht="15.75" thickBot="1">
      <c r="A207" s="415">
        <f t="shared" si="8"/>
        <v>45500</v>
      </c>
      <c r="B207" s="416">
        <v>1250</v>
      </c>
      <c r="F207" s="730">
        <v>45133</v>
      </c>
      <c r="G207" s="731">
        <v>788.5</v>
      </c>
      <c r="AS207" s="411">
        <v>45198</v>
      </c>
      <c r="AT207" s="416">
        <f t="shared" si="11"/>
        <v>770</v>
      </c>
      <c r="AV207" s="411">
        <v>45132</v>
      </c>
      <c r="AW207" s="326">
        <f t="shared" si="10"/>
        <v>792.82000700000003</v>
      </c>
      <c r="BN207" s="411">
        <v>45186</v>
      </c>
      <c r="BO207" s="416">
        <f t="shared" si="12"/>
        <v>770</v>
      </c>
    </row>
    <row r="208" spans="1:67" ht="15.75" thickBot="1">
      <c r="A208" s="415">
        <f t="shared" si="8"/>
        <v>45501</v>
      </c>
      <c r="B208" s="416">
        <v>1250</v>
      </c>
      <c r="F208" s="730">
        <v>45134</v>
      </c>
      <c r="G208" s="731">
        <v>775.5</v>
      </c>
      <c r="AS208" s="411">
        <v>45199</v>
      </c>
      <c r="AT208" s="416">
        <f t="shared" si="11"/>
        <v>770</v>
      </c>
      <c r="AV208" s="411">
        <v>45133</v>
      </c>
      <c r="AW208" s="326">
        <f t="shared" si="10"/>
        <v>792.82000700000003</v>
      </c>
      <c r="BN208" s="411">
        <v>45187</v>
      </c>
      <c r="BO208" s="416">
        <f t="shared" si="12"/>
        <v>770</v>
      </c>
    </row>
    <row r="209" spans="1:67" ht="15.75" thickBot="1">
      <c r="A209" s="415">
        <f t="shared" si="8"/>
        <v>45502</v>
      </c>
      <c r="B209" s="416">
        <v>1250</v>
      </c>
      <c r="F209" s="730">
        <v>45135</v>
      </c>
      <c r="G209" s="731">
        <v>775.78</v>
      </c>
      <c r="AS209" s="411">
        <v>45200</v>
      </c>
      <c r="AT209" s="416">
        <f t="shared" si="11"/>
        <v>770</v>
      </c>
      <c r="AV209" s="411">
        <v>45134</v>
      </c>
      <c r="AW209" s="326">
        <f t="shared" si="10"/>
        <v>788</v>
      </c>
      <c r="BN209" s="411">
        <v>45188</v>
      </c>
      <c r="BO209" s="416">
        <f t="shared" si="12"/>
        <v>770</v>
      </c>
    </row>
    <row r="210" spans="1:67" ht="15.75" thickBot="1">
      <c r="A210" s="415">
        <f t="shared" si="8"/>
        <v>45503</v>
      </c>
      <c r="B210" s="416">
        <v>1250</v>
      </c>
      <c r="F210" s="730">
        <v>45136</v>
      </c>
      <c r="G210" s="731">
        <v>775.78</v>
      </c>
      <c r="AS210" s="411">
        <v>45201</v>
      </c>
      <c r="AT210" s="416">
        <f t="shared" si="11"/>
        <v>770</v>
      </c>
      <c r="AV210" s="411">
        <v>45135</v>
      </c>
      <c r="AW210" s="326">
        <f t="shared" si="10"/>
        <v>775</v>
      </c>
      <c r="BN210" s="411">
        <v>45189</v>
      </c>
      <c r="BO210" s="416">
        <f t="shared" si="12"/>
        <v>770</v>
      </c>
    </row>
    <row r="211" spans="1:67" ht="15.75" thickBot="1">
      <c r="A211" s="415">
        <f t="shared" si="8"/>
        <v>45504</v>
      </c>
      <c r="B211" s="416">
        <v>1250</v>
      </c>
      <c r="F211" s="730">
        <v>45137</v>
      </c>
      <c r="G211" s="731">
        <v>772.44</v>
      </c>
      <c r="AS211" s="411">
        <v>45202</v>
      </c>
      <c r="AT211" s="416">
        <f t="shared" si="11"/>
        <v>770</v>
      </c>
      <c r="AV211" s="411">
        <v>45136</v>
      </c>
      <c r="AW211" s="326">
        <f t="shared" si="10"/>
        <v>775</v>
      </c>
      <c r="BN211" s="411">
        <v>45190</v>
      </c>
      <c r="BO211" s="416">
        <f t="shared" si="12"/>
        <v>770</v>
      </c>
    </row>
    <row r="212" spans="1:67" ht="15.75" thickBot="1">
      <c r="A212" s="415">
        <f t="shared" si="8"/>
        <v>45505</v>
      </c>
      <c r="B212" s="416">
        <v>1250</v>
      </c>
      <c r="F212" s="730">
        <v>45138</v>
      </c>
      <c r="G212" s="731">
        <v>760.4</v>
      </c>
      <c r="AS212" s="411">
        <v>45203</v>
      </c>
      <c r="AT212" s="416">
        <f t="shared" si="11"/>
        <v>770</v>
      </c>
      <c r="AV212" s="411">
        <v>45137</v>
      </c>
      <c r="AW212" s="326">
        <f t="shared" si="10"/>
        <v>775</v>
      </c>
      <c r="BN212" s="411">
        <v>45191</v>
      </c>
      <c r="BO212" s="416">
        <f t="shared" si="12"/>
        <v>770</v>
      </c>
    </row>
    <row r="213" spans="1:67" ht="15.75" thickBot="1">
      <c r="A213" s="415">
        <f t="shared" si="8"/>
        <v>45506</v>
      </c>
      <c r="B213" s="416">
        <v>1250</v>
      </c>
      <c r="F213" s="730">
        <v>45139</v>
      </c>
      <c r="G213" s="731">
        <v>758.52</v>
      </c>
      <c r="AS213" s="411">
        <v>45204</v>
      </c>
      <c r="AT213" s="416">
        <f t="shared" si="11"/>
        <v>770</v>
      </c>
      <c r="AV213" s="411">
        <v>45138</v>
      </c>
      <c r="AW213" s="326">
        <f t="shared" si="10"/>
        <v>771.94000200000005</v>
      </c>
      <c r="BN213" s="411">
        <v>45192</v>
      </c>
      <c r="BO213" s="416">
        <f t="shared" si="12"/>
        <v>770</v>
      </c>
    </row>
    <row r="214" spans="1:67" ht="15.75" thickBot="1">
      <c r="A214" s="415">
        <f t="shared" si="8"/>
        <v>45507</v>
      </c>
      <c r="B214" s="416">
        <v>1250</v>
      </c>
      <c r="F214" s="730">
        <v>45140</v>
      </c>
      <c r="G214" s="731">
        <v>776.36</v>
      </c>
      <c r="AS214" s="411">
        <v>45205</v>
      </c>
      <c r="AT214" s="416">
        <f t="shared" si="11"/>
        <v>770</v>
      </c>
      <c r="AV214" s="411">
        <v>45139</v>
      </c>
      <c r="AW214" s="326">
        <f t="shared" si="10"/>
        <v>759.90002400000003</v>
      </c>
      <c r="BN214" s="411">
        <v>45193</v>
      </c>
      <c r="BO214" s="416">
        <f t="shared" si="12"/>
        <v>770</v>
      </c>
    </row>
    <row r="215" spans="1:67" ht="15.75" thickBot="1">
      <c r="A215" s="415">
        <f t="shared" si="8"/>
        <v>45508</v>
      </c>
      <c r="B215" s="416">
        <v>1250</v>
      </c>
      <c r="F215" s="730">
        <v>45141</v>
      </c>
      <c r="G215" s="731">
        <v>778</v>
      </c>
      <c r="AS215" s="411">
        <v>45206</v>
      </c>
      <c r="AT215" s="416">
        <f t="shared" si="11"/>
        <v>770</v>
      </c>
      <c r="AV215" s="411">
        <v>45140</v>
      </c>
      <c r="AW215" s="326">
        <f t="shared" si="10"/>
        <v>758.02002000000005</v>
      </c>
      <c r="BN215" s="411">
        <v>45194</v>
      </c>
      <c r="BO215" s="416">
        <f t="shared" si="12"/>
        <v>770</v>
      </c>
    </row>
    <row r="216" spans="1:67" ht="15.75" thickBot="1">
      <c r="A216" s="415">
        <f t="shared" si="8"/>
        <v>45509</v>
      </c>
      <c r="B216" s="416">
        <v>1250</v>
      </c>
      <c r="F216" s="730">
        <v>45142</v>
      </c>
      <c r="G216" s="731">
        <v>767.45</v>
      </c>
      <c r="AS216" s="411">
        <v>45207</v>
      </c>
      <c r="AT216" s="416">
        <f t="shared" si="11"/>
        <v>770</v>
      </c>
      <c r="AV216" s="411">
        <v>45141</v>
      </c>
      <c r="AW216" s="326">
        <f t="shared" si="10"/>
        <v>775.85998500000005</v>
      </c>
      <c r="BN216" s="411">
        <v>45195</v>
      </c>
      <c r="BO216" s="416">
        <f t="shared" si="12"/>
        <v>770</v>
      </c>
    </row>
    <row r="217" spans="1:67" ht="15.75" thickBot="1">
      <c r="A217" s="415">
        <f t="shared" si="8"/>
        <v>45510</v>
      </c>
      <c r="B217" s="416">
        <v>1250</v>
      </c>
      <c r="F217" s="730">
        <v>45143</v>
      </c>
      <c r="G217" s="731">
        <v>767.45</v>
      </c>
      <c r="AS217" s="411">
        <v>45208</v>
      </c>
      <c r="AT217" s="416">
        <f t="shared" si="11"/>
        <v>770</v>
      </c>
      <c r="AV217" s="411">
        <v>45142</v>
      </c>
      <c r="AW217" s="326">
        <f t="shared" si="10"/>
        <v>777.5</v>
      </c>
      <c r="BN217" s="411">
        <v>45196</v>
      </c>
      <c r="BO217" s="416">
        <f t="shared" si="12"/>
        <v>770</v>
      </c>
    </row>
    <row r="218" spans="1:67" ht="15.75" thickBot="1">
      <c r="A218" s="415">
        <f t="shared" si="8"/>
        <v>45511</v>
      </c>
      <c r="B218" s="416">
        <v>1250</v>
      </c>
      <c r="F218" s="730">
        <v>45144</v>
      </c>
      <c r="G218" s="731">
        <v>765.59</v>
      </c>
      <c r="AS218" s="411">
        <v>45209</v>
      </c>
      <c r="AT218" s="416">
        <f t="shared" si="11"/>
        <v>770</v>
      </c>
      <c r="AV218" s="411">
        <v>45143</v>
      </c>
      <c r="AW218" s="326">
        <f t="shared" si="10"/>
        <v>777.5</v>
      </c>
      <c r="BN218" s="411">
        <v>45197</v>
      </c>
      <c r="BO218" s="416">
        <f t="shared" si="12"/>
        <v>770</v>
      </c>
    </row>
    <row r="219" spans="1:67" ht="15.75" thickBot="1">
      <c r="A219" s="415">
        <f t="shared" si="8"/>
        <v>45512</v>
      </c>
      <c r="B219" s="416">
        <v>1250</v>
      </c>
      <c r="F219" s="730">
        <v>45145</v>
      </c>
      <c r="G219" s="731">
        <v>751.12</v>
      </c>
      <c r="AS219" s="411">
        <v>45210</v>
      </c>
      <c r="AT219" s="416">
        <f t="shared" si="11"/>
        <v>770</v>
      </c>
      <c r="AV219" s="411">
        <v>45144</v>
      </c>
      <c r="AW219" s="326">
        <f t="shared" si="10"/>
        <v>777.5</v>
      </c>
      <c r="BN219" s="411">
        <v>45198</v>
      </c>
      <c r="BO219" s="416">
        <f t="shared" si="12"/>
        <v>770</v>
      </c>
    </row>
    <row r="220" spans="1:67" ht="15.75" thickBot="1">
      <c r="A220" s="415">
        <f t="shared" si="8"/>
        <v>45513</v>
      </c>
      <c r="B220" s="416">
        <v>1250</v>
      </c>
      <c r="F220" s="730">
        <v>45146</v>
      </c>
      <c r="G220" s="731">
        <v>750.97</v>
      </c>
      <c r="AS220" s="411">
        <v>45211</v>
      </c>
      <c r="AT220" s="416">
        <f t="shared" si="11"/>
        <v>770</v>
      </c>
      <c r="AV220" s="411">
        <v>45145</v>
      </c>
      <c r="AW220" s="326">
        <f t="shared" si="10"/>
        <v>765.09002699999996</v>
      </c>
      <c r="BN220" s="411">
        <v>45199</v>
      </c>
      <c r="BO220" s="416">
        <f t="shared" si="12"/>
        <v>770</v>
      </c>
    </row>
    <row r="221" spans="1:67" ht="15.75" thickBot="1">
      <c r="A221" s="415">
        <f t="shared" si="8"/>
        <v>45514</v>
      </c>
      <c r="B221" s="416">
        <v>1250</v>
      </c>
      <c r="F221" s="730">
        <v>45147</v>
      </c>
      <c r="G221" s="731">
        <v>769.27</v>
      </c>
      <c r="AS221" s="411">
        <v>45212</v>
      </c>
      <c r="AT221" s="416">
        <f t="shared" si="11"/>
        <v>770</v>
      </c>
      <c r="AV221" s="411">
        <v>45146</v>
      </c>
      <c r="AW221" s="326">
        <f t="shared" si="10"/>
        <v>750.61999500000002</v>
      </c>
      <c r="BN221" s="411">
        <v>45200</v>
      </c>
      <c r="BO221" s="416">
        <v>600</v>
      </c>
    </row>
    <row r="222" spans="1:67" ht="15.75" thickBot="1">
      <c r="A222" s="415">
        <f t="shared" si="8"/>
        <v>45515</v>
      </c>
      <c r="B222" s="416">
        <v>1250</v>
      </c>
      <c r="F222" s="730">
        <v>45148</v>
      </c>
      <c r="G222" s="731">
        <v>769.24</v>
      </c>
      <c r="AS222" s="411">
        <v>45213</v>
      </c>
      <c r="AT222" s="416">
        <f t="shared" si="11"/>
        <v>770</v>
      </c>
      <c r="AV222" s="411">
        <v>45147</v>
      </c>
      <c r="AW222" s="326">
        <f t="shared" si="10"/>
        <v>750.46997099999999</v>
      </c>
      <c r="BN222" s="411">
        <v>45201</v>
      </c>
      <c r="BO222" s="416">
        <f t="shared" si="12"/>
        <v>600</v>
      </c>
    </row>
    <row r="223" spans="1:67" ht="15.75" thickBot="1">
      <c r="A223" s="415">
        <f t="shared" si="8"/>
        <v>45516</v>
      </c>
      <c r="B223" s="416">
        <v>1250</v>
      </c>
      <c r="F223" s="730">
        <v>45149</v>
      </c>
      <c r="G223" s="731">
        <v>769.2</v>
      </c>
      <c r="AS223" s="411">
        <v>45214</v>
      </c>
      <c r="AT223" s="416">
        <f t="shared" si="11"/>
        <v>770</v>
      </c>
      <c r="AV223" s="411">
        <v>45148</v>
      </c>
      <c r="AW223" s="326">
        <f t="shared" si="10"/>
        <v>768.77002000000005</v>
      </c>
      <c r="BN223" s="411">
        <v>45202</v>
      </c>
      <c r="BO223" s="416">
        <f t="shared" si="12"/>
        <v>600</v>
      </c>
    </row>
    <row r="224" spans="1:67" ht="15.75" thickBot="1">
      <c r="A224" s="415">
        <f t="shared" si="8"/>
        <v>45517</v>
      </c>
      <c r="B224" s="416">
        <v>1250</v>
      </c>
      <c r="F224" s="730">
        <v>45150</v>
      </c>
      <c r="G224" s="731">
        <v>769.2</v>
      </c>
      <c r="AS224" s="411">
        <v>45215</v>
      </c>
      <c r="AT224" s="416">
        <f t="shared" si="11"/>
        <v>770</v>
      </c>
      <c r="AV224" s="411">
        <v>45149</v>
      </c>
      <c r="AW224" s="326">
        <f t="shared" si="10"/>
        <v>768.73999000000003</v>
      </c>
      <c r="BN224" s="411">
        <v>45203</v>
      </c>
      <c r="BO224" s="416">
        <f t="shared" si="12"/>
        <v>600</v>
      </c>
    </row>
    <row r="225" spans="1:67" ht="15.75" thickBot="1">
      <c r="A225" s="415">
        <f t="shared" si="8"/>
        <v>45518</v>
      </c>
      <c r="B225" s="416">
        <v>1250</v>
      </c>
      <c r="F225" s="730">
        <v>45151</v>
      </c>
      <c r="G225" s="731">
        <v>772.17</v>
      </c>
      <c r="AS225" s="411">
        <v>45216</v>
      </c>
      <c r="AT225" s="416">
        <f t="shared" si="11"/>
        <v>770</v>
      </c>
      <c r="AV225" s="411">
        <v>45150</v>
      </c>
      <c r="AW225" s="326">
        <f t="shared" si="10"/>
        <v>768.73999000000003</v>
      </c>
      <c r="BN225" s="411">
        <v>45204</v>
      </c>
      <c r="BO225" s="416">
        <f t="shared" si="12"/>
        <v>600</v>
      </c>
    </row>
    <row r="226" spans="1:67" ht="15.75" thickBot="1">
      <c r="A226" s="415">
        <f t="shared" si="8"/>
        <v>45519</v>
      </c>
      <c r="B226" s="416">
        <v>1250</v>
      </c>
      <c r="F226" s="730">
        <v>45152</v>
      </c>
      <c r="G226" s="731">
        <v>766.4</v>
      </c>
      <c r="AS226" s="411">
        <v>45217</v>
      </c>
      <c r="AT226" s="416">
        <f t="shared" si="11"/>
        <v>770</v>
      </c>
      <c r="AV226" s="411">
        <v>45151</v>
      </c>
      <c r="AW226" s="326">
        <f t="shared" si="10"/>
        <v>768.73999000000003</v>
      </c>
      <c r="BN226" s="411">
        <v>45205</v>
      </c>
      <c r="BO226" s="416">
        <f t="shared" si="12"/>
        <v>600</v>
      </c>
    </row>
    <row r="227" spans="1:67" ht="15.75" thickBot="1">
      <c r="A227" s="415">
        <f t="shared" si="8"/>
        <v>45520</v>
      </c>
      <c r="B227" s="416">
        <v>1250</v>
      </c>
      <c r="F227" s="730">
        <v>45153</v>
      </c>
      <c r="G227" s="731">
        <v>760.5</v>
      </c>
      <c r="AS227" s="411">
        <v>45218</v>
      </c>
      <c r="AT227" s="416">
        <f t="shared" si="11"/>
        <v>770</v>
      </c>
      <c r="AV227" s="411">
        <v>45152</v>
      </c>
      <c r="AW227" s="326">
        <f t="shared" si="10"/>
        <v>771.669983</v>
      </c>
      <c r="BN227" s="411">
        <v>45206</v>
      </c>
      <c r="BO227" s="416">
        <f t="shared" si="12"/>
        <v>600</v>
      </c>
    </row>
    <row r="228" spans="1:67" ht="15.75" thickBot="1">
      <c r="A228" s="415">
        <f t="shared" si="8"/>
        <v>45521</v>
      </c>
      <c r="B228" s="416">
        <v>1250</v>
      </c>
      <c r="F228" s="730">
        <v>45154</v>
      </c>
      <c r="G228" s="731">
        <v>785.89</v>
      </c>
      <c r="AS228" s="411">
        <v>45219</v>
      </c>
      <c r="AT228" s="416">
        <f t="shared" si="11"/>
        <v>770</v>
      </c>
      <c r="AV228" s="411">
        <v>45153</v>
      </c>
      <c r="AW228" s="326">
        <f t="shared" si="10"/>
        <v>765.90002400000003</v>
      </c>
      <c r="BN228" s="411">
        <v>45207</v>
      </c>
      <c r="BO228" s="416">
        <f t="shared" si="12"/>
        <v>600</v>
      </c>
    </row>
    <row r="229" spans="1:67" ht="15.75" thickBot="1">
      <c r="A229" s="415">
        <f t="shared" ref="A229:A292" si="13">A228+1</f>
        <v>45522</v>
      </c>
      <c r="B229" s="416">
        <v>1250</v>
      </c>
      <c r="F229" s="730">
        <v>45155</v>
      </c>
      <c r="G229" s="731">
        <v>767.97</v>
      </c>
      <c r="AS229" s="411">
        <v>45220</v>
      </c>
      <c r="AT229" s="416">
        <f t="shared" si="11"/>
        <v>770</v>
      </c>
      <c r="AV229" s="411">
        <v>45154</v>
      </c>
      <c r="AW229" s="326">
        <f t="shared" si="10"/>
        <v>760</v>
      </c>
      <c r="BN229" s="411">
        <v>45208</v>
      </c>
      <c r="BO229" s="416">
        <f t="shared" si="12"/>
        <v>600</v>
      </c>
    </row>
    <row r="230" spans="1:67" ht="15.75" thickBot="1">
      <c r="A230" s="415">
        <f t="shared" si="13"/>
        <v>45523</v>
      </c>
      <c r="B230" s="416">
        <v>1250</v>
      </c>
      <c r="F230" s="730">
        <v>45156</v>
      </c>
      <c r="G230" s="731">
        <v>769.5</v>
      </c>
      <c r="AS230" s="411">
        <v>45221</v>
      </c>
      <c r="AT230" s="416">
        <f t="shared" si="11"/>
        <v>770</v>
      </c>
      <c r="AV230" s="411">
        <v>45155</v>
      </c>
      <c r="AW230" s="326">
        <f t="shared" si="10"/>
        <v>784.39202899999998</v>
      </c>
      <c r="BN230" s="411">
        <v>45209</v>
      </c>
      <c r="BO230" s="416">
        <f t="shared" si="12"/>
        <v>600</v>
      </c>
    </row>
    <row r="231" spans="1:67" ht="15.75" thickBot="1">
      <c r="A231" s="415">
        <f t="shared" si="13"/>
        <v>45524</v>
      </c>
      <c r="B231" s="416">
        <v>1250</v>
      </c>
      <c r="F231" s="730">
        <v>45157</v>
      </c>
      <c r="G231" s="731">
        <v>769.5</v>
      </c>
      <c r="AS231" s="411">
        <v>45222</v>
      </c>
      <c r="AT231" s="416">
        <f t="shared" si="11"/>
        <v>770</v>
      </c>
      <c r="AV231" s="411">
        <v>45156</v>
      </c>
      <c r="AW231" s="326">
        <f t="shared" si="10"/>
        <v>770</v>
      </c>
      <c r="BN231" s="411">
        <v>45210</v>
      </c>
      <c r="BO231" s="416">
        <f t="shared" si="12"/>
        <v>600</v>
      </c>
    </row>
    <row r="232" spans="1:67" ht="15.75" thickBot="1">
      <c r="A232" s="415">
        <f t="shared" si="13"/>
        <v>45525</v>
      </c>
      <c r="B232" s="416">
        <v>1250</v>
      </c>
      <c r="F232" s="730">
        <v>45158</v>
      </c>
      <c r="G232" s="731">
        <v>746.43</v>
      </c>
      <c r="AS232" s="411">
        <v>45223</v>
      </c>
      <c r="AT232" s="416">
        <f t="shared" si="11"/>
        <v>770</v>
      </c>
      <c r="AV232" s="411">
        <v>45157</v>
      </c>
      <c r="AW232" s="326">
        <f t="shared" si="10"/>
        <v>770</v>
      </c>
      <c r="BN232" s="411">
        <v>45211</v>
      </c>
      <c r="BO232" s="416">
        <f t="shared" si="12"/>
        <v>600</v>
      </c>
    </row>
    <row r="233" spans="1:67" ht="15.75" thickBot="1">
      <c r="A233" s="415">
        <f t="shared" si="13"/>
        <v>45526</v>
      </c>
      <c r="B233" s="416">
        <v>1250</v>
      </c>
      <c r="F233" s="730">
        <v>45159</v>
      </c>
      <c r="G233" s="731">
        <v>765</v>
      </c>
      <c r="AS233" s="411">
        <v>45224</v>
      </c>
      <c r="AT233" s="416">
        <f t="shared" si="11"/>
        <v>770</v>
      </c>
      <c r="AV233" s="411">
        <v>45158</v>
      </c>
      <c r="AW233" s="326">
        <f t="shared" si="10"/>
        <v>770</v>
      </c>
      <c r="BN233" s="411">
        <v>45212</v>
      </c>
      <c r="BO233" s="416">
        <f t="shared" si="12"/>
        <v>600</v>
      </c>
    </row>
    <row r="234" spans="1:67" ht="15.75" thickBot="1">
      <c r="A234" s="415">
        <f t="shared" si="13"/>
        <v>45527</v>
      </c>
      <c r="B234" s="416">
        <v>1250</v>
      </c>
      <c r="F234" s="730">
        <v>45160</v>
      </c>
      <c r="G234" s="731">
        <v>762.29</v>
      </c>
      <c r="AS234" s="411">
        <v>45225</v>
      </c>
      <c r="AT234" s="416">
        <f t="shared" si="11"/>
        <v>770</v>
      </c>
      <c r="AV234" s="411">
        <v>45159</v>
      </c>
      <c r="AW234" s="326">
        <f t="shared" si="10"/>
        <v>770</v>
      </c>
      <c r="BN234" s="411">
        <v>45213</v>
      </c>
      <c r="BO234" s="416">
        <f t="shared" si="12"/>
        <v>600</v>
      </c>
    </row>
    <row r="235" spans="1:67" ht="15.75" thickBot="1">
      <c r="A235" s="415">
        <f t="shared" si="13"/>
        <v>45528</v>
      </c>
      <c r="B235" s="416">
        <v>1250</v>
      </c>
      <c r="F235" s="730">
        <v>45161</v>
      </c>
      <c r="G235" s="731">
        <v>760.5</v>
      </c>
      <c r="AS235" s="411">
        <v>45226</v>
      </c>
      <c r="AT235" s="416">
        <f t="shared" si="11"/>
        <v>770</v>
      </c>
      <c r="AV235" s="411">
        <v>45160</v>
      </c>
      <c r="AW235" s="326">
        <f t="shared" si="10"/>
        <v>770</v>
      </c>
      <c r="BN235" s="411">
        <v>45214</v>
      </c>
      <c r="BO235" s="416">
        <f t="shared" si="12"/>
        <v>600</v>
      </c>
    </row>
    <row r="236" spans="1:67" ht="15.75" thickBot="1">
      <c r="A236" s="415">
        <f t="shared" si="13"/>
        <v>45529</v>
      </c>
      <c r="B236" s="416">
        <v>1250</v>
      </c>
      <c r="F236" s="730">
        <v>45162</v>
      </c>
      <c r="G236" s="731">
        <v>755.71</v>
      </c>
      <c r="AS236" s="411">
        <v>45227</v>
      </c>
      <c r="AT236" s="416">
        <f t="shared" si="11"/>
        <v>770</v>
      </c>
      <c r="AV236" s="411">
        <v>45161</v>
      </c>
      <c r="AW236" s="326">
        <f t="shared" si="10"/>
        <v>770</v>
      </c>
      <c r="BN236" s="411">
        <v>45215</v>
      </c>
      <c r="BO236" s="416">
        <f t="shared" si="12"/>
        <v>600</v>
      </c>
    </row>
    <row r="237" spans="1:67" ht="15.75" thickBot="1">
      <c r="A237" s="415">
        <f t="shared" si="13"/>
        <v>45530</v>
      </c>
      <c r="B237" s="416">
        <v>1250</v>
      </c>
      <c r="F237" s="730">
        <v>45163</v>
      </c>
      <c r="G237" s="731">
        <v>772.34</v>
      </c>
      <c r="AS237" s="411">
        <v>45228</v>
      </c>
      <c r="AT237" s="416">
        <f t="shared" si="11"/>
        <v>770</v>
      </c>
      <c r="AV237" s="411">
        <v>45162</v>
      </c>
      <c r="AW237" s="326">
        <f t="shared" si="10"/>
        <v>770</v>
      </c>
      <c r="BN237" s="411">
        <v>45216</v>
      </c>
      <c r="BO237" s="416">
        <f t="shared" si="12"/>
        <v>600</v>
      </c>
    </row>
    <row r="238" spans="1:67" ht="15.75" thickBot="1">
      <c r="A238" s="415">
        <f t="shared" si="13"/>
        <v>45531</v>
      </c>
      <c r="B238" s="416">
        <v>1250</v>
      </c>
      <c r="F238" s="730">
        <v>45164</v>
      </c>
      <c r="G238" s="731">
        <v>772.34</v>
      </c>
      <c r="AS238" s="411">
        <v>45229</v>
      </c>
      <c r="AT238" s="416">
        <f t="shared" si="11"/>
        <v>770</v>
      </c>
      <c r="AV238" s="411">
        <v>45163</v>
      </c>
      <c r="AW238" s="326">
        <f t="shared" si="10"/>
        <v>770</v>
      </c>
      <c r="BN238" s="411">
        <v>45217</v>
      </c>
      <c r="BO238" s="416">
        <f t="shared" si="12"/>
        <v>600</v>
      </c>
    </row>
    <row r="239" spans="1:67" ht="15.75" thickBot="1">
      <c r="A239" s="415">
        <f t="shared" si="13"/>
        <v>45532</v>
      </c>
      <c r="B239" s="416">
        <v>1250</v>
      </c>
      <c r="F239" s="730">
        <v>45165</v>
      </c>
      <c r="G239" s="731">
        <v>771.34</v>
      </c>
      <c r="AS239" s="411">
        <v>45230</v>
      </c>
      <c r="AT239" s="416">
        <f t="shared" si="11"/>
        <v>770</v>
      </c>
      <c r="AV239" s="411">
        <v>45164</v>
      </c>
      <c r="AW239" s="326">
        <f t="shared" si="10"/>
        <v>770</v>
      </c>
      <c r="BN239" s="411">
        <v>45218</v>
      </c>
      <c r="BO239" s="416">
        <f t="shared" si="12"/>
        <v>600</v>
      </c>
    </row>
    <row r="240" spans="1:67" ht="15.75" thickBot="1">
      <c r="A240" s="415">
        <f t="shared" si="13"/>
        <v>45533</v>
      </c>
      <c r="B240" s="416">
        <v>1250</v>
      </c>
      <c r="F240" s="730">
        <v>45166</v>
      </c>
      <c r="G240" s="731">
        <v>772.95</v>
      </c>
      <c r="AS240" s="411">
        <v>45231</v>
      </c>
      <c r="AT240" s="416">
        <f t="shared" si="11"/>
        <v>770</v>
      </c>
      <c r="AV240" s="411">
        <v>45165</v>
      </c>
      <c r="AW240" s="326">
        <f t="shared" si="10"/>
        <v>770</v>
      </c>
      <c r="BN240" s="411">
        <v>45219</v>
      </c>
      <c r="BO240" s="416">
        <f t="shared" si="12"/>
        <v>600</v>
      </c>
    </row>
    <row r="241" spans="1:67" ht="15.75" thickBot="1">
      <c r="A241" s="415">
        <f t="shared" si="13"/>
        <v>45534</v>
      </c>
      <c r="B241" s="416">
        <v>1250</v>
      </c>
      <c r="F241" s="730">
        <v>45167</v>
      </c>
      <c r="G241" s="731">
        <v>772.47</v>
      </c>
      <c r="AS241" s="411">
        <v>45232</v>
      </c>
      <c r="AT241" s="416">
        <f t="shared" si="11"/>
        <v>770</v>
      </c>
      <c r="AV241" s="411">
        <v>45166</v>
      </c>
      <c r="AW241" s="326">
        <f t="shared" si="10"/>
        <v>770</v>
      </c>
      <c r="BN241" s="411">
        <v>45220</v>
      </c>
      <c r="BO241" s="416">
        <f t="shared" si="12"/>
        <v>600</v>
      </c>
    </row>
    <row r="242" spans="1:67" ht="15.75" thickBot="1">
      <c r="A242" s="415">
        <f t="shared" si="13"/>
        <v>45535</v>
      </c>
      <c r="B242" s="416">
        <v>1250</v>
      </c>
      <c r="F242" s="730">
        <v>45168</v>
      </c>
      <c r="G242" s="731">
        <v>773.5</v>
      </c>
      <c r="AS242" s="411">
        <v>45233</v>
      </c>
      <c r="AT242" s="416">
        <f t="shared" si="11"/>
        <v>770</v>
      </c>
      <c r="AV242" s="411">
        <v>45167</v>
      </c>
      <c r="AW242" s="326">
        <f t="shared" si="10"/>
        <v>770</v>
      </c>
      <c r="BN242" s="411">
        <v>45221</v>
      </c>
      <c r="BO242" s="416">
        <f t="shared" si="12"/>
        <v>600</v>
      </c>
    </row>
    <row r="243" spans="1:67" ht="15.75" thickBot="1">
      <c r="A243" s="415">
        <f t="shared" si="13"/>
        <v>45536</v>
      </c>
      <c r="B243" s="416">
        <v>1250</v>
      </c>
      <c r="F243" s="730">
        <v>45169</v>
      </c>
      <c r="G243" s="731">
        <v>773.5</v>
      </c>
      <c r="AS243" s="411">
        <v>45234</v>
      </c>
      <c r="AT243" s="416">
        <f t="shared" si="11"/>
        <v>770</v>
      </c>
      <c r="AV243" s="411">
        <v>45168</v>
      </c>
      <c r="AW243" s="326">
        <f t="shared" si="10"/>
        <v>770</v>
      </c>
      <c r="BN243" s="411">
        <v>45222</v>
      </c>
      <c r="BO243" s="416">
        <f t="shared" si="12"/>
        <v>600</v>
      </c>
    </row>
    <row r="244" spans="1:67" ht="15.75" thickBot="1">
      <c r="A244" s="415">
        <f t="shared" si="13"/>
        <v>45537</v>
      </c>
      <c r="B244" s="416">
        <v>1250</v>
      </c>
      <c r="F244" s="730">
        <v>45170</v>
      </c>
      <c r="G244" s="731">
        <v>757.02</v>
      </c>
      <c r="AS244" s="411">
        <v>45235</v>
      </c>
      <c r="AT244" s="416">
        <f t="shared" si="11"/>
        <v>770</v>
      </c>
      <c r="AV244" s="411">
        <v>45169</v>
      </c>
      <c r="AW244" s="326">
        <f t="shared" si="10"/>
        <v>770</v>
      </c>
      <c r="BN244" s="411">
        <v>45223</v>
      </c>
      <c r="BO244" s="416">
        <f t="shared" si="12"/>
        <v>600</v>
      </c>
    </row>
    <row r="245" spans="1:67" ht="15.75" thickBot="1">
      <c r="A245" s="415">
        <f t="shared" si="13"/>
        <v>45538</v>
      </c>
      <c r="B245" s="416">
        <v>1250</v>
      </c>
      <c r="F245" s="730">
        <v>45171</v>
      </c>
      <c r="G245" s="731">
        <v>757.02</v>
      </c>
      <c r="AS245" s="411">
        <v>45236</v>
      </c>
      <c r="AT245" s="416">
        <f t="shared" si="11"/>
        <v>770</v>
      </c>
      <c r="AV245" s="411">
        <v>45170</v>
      </c>
      <c r="AW245" s="326">
        <f t="shared" si="10"/>
        <v>770</v>
      </c>
      <c r="BN245" s="411">
        <v>45224</v>
      </c>
      <c r="BO245" s="416">
        <f t="shared" si="12"/>
        <v>600</v>
      </c>
    </row>
    <row r="246" spans="1:67" ht="15.75" thickBot="1">
      <c r="A246" s="415">
        <f t="shared" si="13"/>
        <v>45539</v>
      </c>
      <c r="B246" s="416">
        <v>1250</v>
      </c>
      <c r="F246" s="730">
        <v>45172</v>
      </c>
      <c r="G246" s="731">
        <v>757.02</v>
      </c>
      <c r="AS246" s="411">
        <v>45237</v>
      </c>
      <c r="AT246" s="416">
        <f t="shared" si="11"/>
        <v>770</v>
      </c>
      <c r="AV246" s="411">
        <v>45171</v>
      </c>
      <c r="AW246" s="326">
        <f t="shared" si="10"/>
        <v>770</v>
      </c>
      <c r="BN246" s="411">
        <v>45225</v>
      </c>
      <c r="BO246" s="416">
        <f t="shared" si="12"/>
        <v>600</v>
      </c>
    </row>
    <row r="247" spans="1:67" ht="15.75" thickBot="1">
      <c r="A247" s="415">
        <f t="shared" si="13"/>
        <v>45540</v>
      </c>
      <c r="B247" s="416">
        <v>1250</v>
      </c>
      <c r="F247" s="730">
        <v>45173</v>
      </c>
      <c r="G247" s="731">
        <v>757.49</v>
      </c>
      <c r="AS247" s="411">
        <v>45238</v>
      </c>
      <c r="AT247" s="416">
        <f t="shared" si="11"/>
        <v>770</v>
      </c>
      <c r="AV247" s="411">
        <v>45172</v>
      </c>
      <c r="AW247" s="326">
        <f t="shared" si="10"/>
        <v>770</v>
      </c>
      <c r="BN247" s="411">
        <v>45226</v>
      </c>
      <c r="BO247" s="416">
        <f t="shared" si="12"/>
        <v>600</v>
      </c>
    </row>
    <row r="248" spans="1:67" ht="15.75" thickBot="1">
      <c r="A248" s="415">
        <f t="shared" si="13"/>
        <v>45541</v>
      </c>
      <c r="B248" s="416">
        <v>1250</v>
      </c>
      <c r="F248" s="730">
        <v>45174</v>
      </c>
      <c r="G248" s="731">
        <v>761</v>
      </c>
      <c r="AS248" s="411">
        <v>45239</v>
      </c>
      <c r="AT248" s="416">
        <f t="shared" si="11"/>
        <v>770</v>
      </c>
      <c r="AV248" s="411">
        <v>45173</v>
      </c>
      <c r="AW248" s="326">
        <f t="shared" si="10"/>
        <v>770</v>
      </c>
      <c r="BN248" s="411">
        <v>45227</v>
      </c>
      <c r="BO248" s="416">
        <f t="shared" si="12"/>
        <v>600</v>
      </c>
    </row>
    <row r="249" spans="1:67" ht="15.75" thickBot="1">
      <c r="A249" s="415">
        <f t="shared" si="13"/>
        <v>45542</v>
      </c>
      <c r="B249" s="416">
        <v>1250</v>
      </c>
      <c r="F249" s="730">
        <v>45175</v>
      </c>
      <c r="G249" s="731">
        <v>754.36</v>
      </c>
      <c r="AS249" s="411">
        <v>45240</v>
      </c>
      <c r="AT249" s="416">
        <f t="shared" si="11"/>
        <v>770</v>
      </c>
      <c r="AV249" s="411">
        <v>45174</v>
      </c>
      <c r="AW249" s="326">
        <f t="shared" si="10"/>
        <v>770</v>
      </c>
      <c r="BN249" s="411">
        <v>45228</v>
      </c>
      <c r="BO249" s="416">
        <f t="shared" si="12"/>
        <v>600</v>
      </c>
    </row>
    <row r="250" spans="1:67" ht="15.75" thickBot="1">
      <c r="A250" s="415">
        <f t="shared" si="13"/>
        <v>45543</v>
      </c>
      <c r="B250" s="416">
        <v>1250</v>
      </c>
      <c r="F250" s="730">
        <v>45176</v>
      </c>
      <c r="G250" s="731">
        <v>785.5</v>
      </c>
      <c r="AS250" s="411">
        <v>45241</v>
      </c>
      <c r="AT250" s="416">
        <f t="shared" si="11"/>
        <v>770</v>
      </c>
      <c r="AV250" s="411">
        <v>45175</v>
      </c>
      <c r="AW250" s="326">
        <f t="shared" si="10"/>
        <v>770</v>
      </c>
      <c r="BN250" s="411">
        <v>45229</v>
      </c>
      <c r="BO250" s="416">
        <f t="shared" si="12"/>
        <v>600</v>
      </c>
    </row>
    <row r="251" spans="1:67" ht="15.75" thickBot="1">
      <c r="A251" s="415">
        <f t="shared" si="13"/>
        <v>45544</v>
      </c>
      <c r="B251" s="416">
        <v>1250</v>
      </c>
      <c r="F251" s="730">
        <v>45177</v>
      </c>
      <c r="G251" s="731">
        <v>789.5</v>
      </c>
      <c r="AS251" s="411">
        <v>45242</v>
      </c>
      <c r="AT251" s="416">
        <f t="shared" si="11"/>
        <v>770</v>
      </c>
      <c r="AV251" s="411">
        <v>45176</v>
      </c>
      <c r="AW251" s="326">
        <f t="shared" si="10"/>
        <v>770</v>
      </c>
      <c r="BN251" s="411">
        <v>45230</v>
      </c>
      <c r="BO251" s="416">
        <f t="shared" si="12"/>
        <v>600</v>
      </c>
    </row>
    <row r="252" spans="1:67" ht="15.75" thickBot="1">
      <c r="A252" s="415">
        <f t="shared" si="13"/>
        <v>45545</v>
      </c>
      <c r="B252" s="416">
        <v>1250</v>
      </c>
      <c r="F252" s="730">
        <v>45178</v>
      </c>
      <c r="G252" s="731">
        <v>789.5</v>
      </c>
      <c r="AS252" s="411">
        <v>45243</v>
      </c>
      <c r="AT252" s="416">
        <f t="shared" si="11"/>
        <v>770</v>
      </c>
      <c r="AV252" s="411">
        <v>45177</v>
      </c>
      <c r="AW252" s="326">
        <f t="shared" si="10"/>
        <v>770</v>
      </c>
      <c r="BN252" s="411">
        <v>45231</v>
      </c>
      <c r="BO252" s="416">
        <f t="shared" si="12"/>
        <v>600</v>
      </c>
    </row>
    <row r="253" spans="1:67" ht="15.75" thickBot="1">
      <c r="A253" s="415">
        <f t="shared" si="13"/>
        <v>45546</v>
      </c>
      <c r="B253" s="416">
        <v>1250</v>
      </c>
      <c r="F253" s="730">
        <v>45179</v>
      </c>
      <c r="G253" s="731">
        <v>789.5</v>
      </c>
      <c r="AS253" s="411">
        <v>45244</v>
      </c>
      <c r="AT253" s="416">
        <f t="shared" si="11"/>
        <v>770</v>
      </c>
      <c r="AV253" s="411">
        <v>45178</v>
      </c>
      <c r="AW253" s="326">
        <f t="shared" si="10"/>
        <v>770</v>
      </c>
      <c r="BN253" s="411">
        <v>45232</v>
      </c>
      <c r="BO253" s="416">
        <f t="shared" si="12"/>
        <v>600</v>
      </c>
    </row>
    <row r="254" spans="1:67" ht="15.75" thickBot="1">
      <c r="A254" s="415">
        <f t="shared" si="13"/>
        <v>45547</v>
      </c>
      <c r="B254" s="416">
        <v>1250</v>
      </c>
      <c r="F254" s="730">
        <v>45180</v>
      </c>
      <c r="G254" s="731">
        <v>779.04750000000001</v>
      </c>
      <c r="AS254" s="411">
        <v>45245</v>
      </c>
      <c r="AT254" s="416">
        <f t="shared" si="11"/>
        <v>770</v>
      </c>
      <c r="AV254" s="411">
        <v>45179</v>
      </c>
      <c r="AW254" s="326">
        <f t="shared" si="10"/>
        <v>770</v>
      </c>
      <c r="BN254" s="411">
        <v>45233</v>
      </c>
      <c r="BO254" s="416">
        <f t="shared" si="12"/>
        <v>600</v>
      </c>
    </row>
    <row r="255" spans="1:67" ht="15.75" thickBot="1">
      <c r="A255" s="415">
        <f t="shared" si="13"/>
        <v>45548</v>
      </c>
      <c r="B255" s="416">
        <v>1250</v>
      </c>
      <c r="F255" s="730">
        <v>45181</v>
      </c>
      <c r="G255" s="731">
        <v>755</v>
      </c>
      <c r="AS255" s="411">
        <v>45246</v>
      </c>
      <c r="AT255" s="416">
        <f t="shared" si="11"/>
        <v>770</v>
      </c>
      <c r="AV255" s="411">
        <v>45180</v>
      </c>
      <c r="AW255" s="326">
        <f t="shared" si="10"/>
        <v>770</v>
      </c>
      <c r="BN255" s="411">
        <v>45234</v>
      </c>
      <c r="BO255" s="416">
        <f t="shared" si="12"/>
        <v>600</v>
      </c>
    </row>
    <row r="256" spans="1:67" ht="15.75" thickBot="1">
      <c r="A256" s="415">
        <f t="shared" si="13"/>
        <v>45549</v>
      </c>
      <c r="B256" s="416">
        <v>1250</v>
      </c>
      <c r="F256" s="730">
        <v>45182</v>
      </c>
      <c r="G256" s="731">
        <v>784.5</v>
      </c>
      <c r="AS256" s="411">
        <v>45247</v>
      </c>
      <c r="AT256" s="416">
        <f t="shared" si="11"/>
        <v>770</v>
      </c>
      <c r="AV256" s="411">
        <v>45181</v>
      </c>
      <c r="AW256" s="326">
        <f t="shared" si="10"/>
        <v>770</v>
      </c>
      <c r="BN256" s="411">
        <v>45235</v>
      </c>
      <c r="BO256" s="416">
        <f t="shared" si="12"/>
        <v>600</v>
      </c>
    </row>
    <row r="257" spans="1:67" ht="15.75" thickBot="1">
      <c r="A257" s="415">
        <f t="shared" si="13"/>
        <v>45550</v>
      </c>
      <c r="B257" s="416">
        <v>1250</v>
      </c>
      <c r="F257" s="730">
        <v>45183</v>
      </c>
      <c r="G257" s="731">
        <v>784.5</v>
      </c>
      <c r="AS257" s="411">
        <v>45248</v>
      </c>
      <c r="AT257" s="416">
        <f t="shared" si="11"/>
        <v>770</v>
      </c>
      <c r="AV257" s="411">
        <v>45182</v>
      </c>
      <c r="AW257" s="326">
        <f t="shared" si="10"/>
        <v>770</v>
      </c>
      <c r="BN257" s="411">
        <v>45236</v>
      </c>
      <c r="BO257" s="416">
        <f t="shared" si="12"/>
        <v>600</v>
      </c>
    </row>
    <row r="258" spans="1:67" ht="15.75" thickBot="1">
      <c r="A258" s="415">
        <f t="shared" si="13"/>
        <v>45551</v>
      </c>
      <c r="B258" s="416">
        <v>1250</v>
      </c>
      <c r="F258" s="730">
        <v>45184</v>
      </c>
      <c r="G258" s="731">
        <v>784.74</v>
      </c>
      <c r="AS258" s="411">
        <v>45249</v>
      </c>
      <c r="AT258" s="416">
        <f t="shared" si="11"/>
        <v>770</v>
      </c>
      <c r="AV258" s="411">
        <v>45183</v>
      </c>
      <c r="AW258" s="326">
        <f t="shared" si="10"/>
        <v>770</v>
      </c>
      <c r="BN258" s="411">
        <v>45237</v>
      </c>
      <c r="BO258" s="416">
        <f t="shared" si="12"/>
        <v>600</v>
      </c>
    </row>
    <row r="259" spans="1:67" ht="15.75" thickBot="1">
      <c r="A259" s="415">
        <f t="shared" si="13"/>
        <v>45552</v>
      </c>
      <c r="B259" s="416">
        <v>1250</v>
      </c>
      <c r="F259" s="730">
        <v>45185</v>
      </c>
      <c r="G259" s="731">
        <v>784.74</v>
      </c>
      <c r="AS259" s="411">
        <v>45250</v>
      </c>
      <c r="AT259" s="416">
        <f t="shared" si="11"/>
        <v>770</v>
      </c>
      <c r="AV259" s="411">
        <v>45184</v>
      </c>
      <c r="AW259" s="326">
        <f t="shared" ref="AW259:AW322" si="14">VLOOKUP(AV259,$AS$2:$AT$312,2,TRUE)</f>
        <v>770</v>
      </c>
      <c r="BN259" s="411">
        <v>45238</v>
      </c>
      <c r="BO259" s="416">
        <f t="shared" si="12"/>
        <v>600</v>
      </c>
    </row>
    <row r="260" spans="1:67" ht="15.75" thickBot="1">
      <c r="A260" s="415">
        <f t="shared" si="13"/>
        <v>45553</v>
      </c>
      <c r="B260" s="416">
        <v>1250</v>
      </c>
      <c r="F260" s="730">
        <v>45186</v>
      </c>
      <c r="G260" s="731">
        <v>768.24</v>
      </c>
      <c r="AS260" s="411">
        <v>45251</v>
      </c>
      <c r="AT260" s="416">
        <f t="shared" si="11"/>
        <v>770</v>
      </c>
      <c r="AV260" s="411">
        <v>45185</v>
      </c>
      <c r="AW260" s="326">
        <f t="shared" si="14"/>
        <v>770</v>
      </c>
      <c r="BN260" s="411">
        <v>45239</v>
      </c>
      <c r="BO260" s="416">
        <f t="shared" si="12"/>
        <v>600</v>
      </c>
    </row>
    <row r="261" spans="1:67" ht="15.75" thickBot="1">
      <c r="A261" s="415">
        <f t="shared" si="13"/>
        <v>45554</v>
      </c>
      <c r="B261" s="416">
        <v>1250</v>
      </c>
      <c r="F261" s="730">
        <v>45187</v>
      </c>
      <c r="G261" s="731">
        <v>760.43</v>
      </c>
      <c r="AS261" s="411">
        <v>45252</v>
      </c>
      <c r="AT261" s="416">
        <f t="shared" si="11"/>
        <v>770</v>
      </c>
      <c r="AV261" s="411">
        <v>45186</v>
      </c>
      <c r="AW261" s="326">
        <f t="shared" si="14"/>
        <v>770</v>
      </c>
      <c r="BN261" s="411">
        <v>45240</v>
      </c>
      <c r="BO261" s="416">
        <f t="shared" si="12"/>
        <v>600</v>
      </c>
    </row>
    <row r="262" spans="1:67" ht="15.75" thickBot="1">
      <c r="A262" s="415">
        <f t="shared" si="13"/>
        <v>45555</v>
      </c>
      <c r="B262" s="416">
        <v>1250</v>
      </c>
      <c r="F262" s="730">
        <v>45188</v>
      </c>
      <c r="G262" s="731">
        <v>776.5</v>
      </c>
      <c r="AS262" s="411">
        <v>45253</v>
      </c>
      <c r="AT262" s="416">
        <f t="shared" ref="AT262:AT300" si="15">AT261</f>
        <v>770</v>
      </c>
      <c r="AV262" s="411">
        <v>45187</v>
      </c>
      <c r="AW262" s="326">
        <f t="shared" si="14"/>
        <v>770</v>
      </c>
      <c r="BN262" s="411">
        <v>45241</v>
      </c>
      <c r="BO262" s="416">
        <f t="shared" ref="BO262:BO312" si="16">BO261</f>
        <v>600</v>
      </c>
    </row>
    <row r="263" spans="1:67" ht="15.75" thickBot="1">
      <c r="A263" s="415">
        <f t="shared" si="13"/>
        <v>45556</v>
      </c>
      <c r="B263" s="416">
        <v>1250</v>
      </c>
      <c r="F263" s="730">
        <v>45189</v>
      </c>
      <c r="G263" s="731">
        <v>770.77</v>
      </c>
      <c r="AS263" s="411">
        <v>45254</v>
      </c>
      <c r="AT263" s="416">
        <f t="shared" si="15"/>
        <v>770</v>
      </c>
      <c r="AV263" s="411">
        <v>45188</v>
      </c>
      <c r="AW263" s="326">
        <f t="shared" si="14"/>
        <v>770</v>
      </c>
      <c r="BN263" s="411">
        <v>45242</v>
      </c>
      <c r="BO263" s="416">
        <f t="shared" si="16"/>
        <v>600</v>
      </c>
    </row>
    <row r="264" spans="1:67" ht="15.75" thickBot="1">
      <c r="A264" s="415">
        <f t="shared" si="13"/>
        <v>45557</v>
      </c>
      <c r="B264" s="416">
        <v>1250</v>
      </c>
      <c r="F264" s="730">
        <v>45190</v>
      </c>
      <c r="G264" s="731">
        <v>767.93</v>
      </c>
      <c r="AS264" s="411">
        <v>45255</v>
      </c>
      <c r="AT264" s="416">
        <f t="shared" si="15"/>
        <v>770</v>
      </c>
      <c r="AV264" s="411">
        <v>45189</v>
      </c>
      <c r="AW264" s="326">
        <f t="shared" si="14"/>
        <v>770</v>
      </c>
      <c r="BN264" s="411">
        <v>45243</v>
      </c>
      <c r="BO264" s="416">
        <f t="shared" si="16"/>
        <v>600</v>
      </c>
    </row>
    <row r="265" spans="1:67" ht="15.75" thickBot="1">
      <c r="A265" s="415">
        <f t="shared" si="13"/>
        <v>45558</v>
      </c>
      <c r="B265" s="416">
        <v>1250</v>
      </c>
      <c r="F265" s="730">
        <v>45191</v>
      </c>
      <c r="G265" s="731">
        <v>770.5</v>
      </c>
      <c r="AS265" s="411">
        <v>45256</v>
      </c>
      <c r="AT265" s="416">
        <f t="shared" si="15"/>
        <v>770</v>
      </c>
      <c r="AV265" s="411">
        <v>45190</v>
      </c>
      <c r="AW265" s="326">
        <f t="shared" si="14"/>
        <v>770</v>
      </c>
      <c r="BN265" s="411">
        <v>45244</v>
      </c>
      <c r="BO265" s="416">
        <f t="shared" si="16"/>
        <v>600</v>
      </c>
    </row>
    <row r="266" spans="1:67" ht="15.75" thickBot="1">
      <c r="A266" s="415">
        <f t="shared" si="13"/>
        <v>45559</v>
      </c>
      <c r="B266" s="416">
        <v>1250</v>
      </c>
      <c r="F266" s="730">
        <v>45192</v>
      </c>
      <c r="G266" s="731">
        <v>770.5</v>
      </c>
      <c r="AS266" s="411">
        <v>45257</v>
      </c>
      <c r="AT266" s="416">
        <f t="shared" si="15"/>
        <v>770</v>
      </c>
      <c r="AV266" s="411">
        <v>45191</v>
      </c>
      <c r="AW266" s="326">
        <f t="shared" si="14"/>
        <v>770</v>
      </c>
      <c r="BN266" s="411">
        <v>45245</v>
      </c>
      <c r="BO266" s="416">
        <f t="shared" si="16"/>
        <v>600</v>
      </c>
    </row>
    <row r="267" spans="1:67" ht="15.75" thickBot="1">
      <c r="A267" s="415">
        <f t="shared" si="13"/>
        <v>45560</v>
      </c>
      <c r="B267" s="416">
        <v>1250</v>
      </c>
      <c r="F267" s="730">
        <v>45193</v>
      </c>
      <c r="G267" s="731">
        <v>767.93</v>
      </c>
      <c r="AS267" s="411">
        <v>45258</v>
      </c>
      <c r="AT267" s="416">
        <f t="shared" si="15"/>
        <v>770</v>
      </c>
      <c r="AV267" s="411">
        <v>45192</v>
      </c>
      <c r="AW267" s="326">
        <f t="shared" si="14"/>
        <v>770</v>
      </c>
      <c r="BN267" s="411">
        <v>45246</v>
      </c>
      <c r="BO267" s="416">
        <f t="shared" si="16"/>
        <v>600</v>
      </c>
    </row>
    <row r="268" spans="1:67" ht="15.75" thickBot="1">
      <c r="A268" s="415">
        <f t="shared" si="13"/>
        <v>45561</v>
      </c>
      <c r="B268" s="416">
        <v>1250</v>
      </c>
      <c r="F268" s="730">
        <v>45194</v>
      </c>
      <c r="G268" s="731">
        <v>779.55</v>
      </c>
      <c r="AS268" s="411">
        <v>45259</v>
      </c>
      <c r="AT268" s="416">
        <f t="shared" si="15"/>
        <v>770</v>
      </c>
      <c r="AV268" s="411">
        <v>45193</v>
      </c>
      <c r="AW268" s="326">
        <f t="shared" si="14"/>
        <v>770</v>
      </c>
      <c r="BN268" s="411">
        <v>45247</v>
      </c>
      <c r="BO268" s="416">
        <f t="shared" si="16"/>
        <v>600</v>
      </c>
    </row>
    <row r="269" spans="1:67" ht="15.75" thickBot="1">
      <c r="A269" s="415">
        <f t="shared" si="13"/>
        <v>45562</v>
      </c>
      <c r="B269" s="416">
        <v>1250</v>
      </c>
      <c r="F269" s="730">
        <v>45195</v>
      </c>
      <c r="G269" s="731">
        <v>779.55</v>
      </c>
      <c r="AS269" s="411">
        <v>45260</v>
      </c>
      <c r="AT269" s="416">
        <f t="shared" si="15"/>
        <v>770</v>
      </c>
      <c r="AV269" s="411">
        <v>45194</v>
      </c>
      <c r="AW269" s="326">
        <f t="shared" si="14"/>
        <v>770</v>
      </c>
      <c r="BN269" s="411">
        <v>45248</v>
      </c>
      <c r="BO269" s="416">
        <f t="shared" si="16"/>
        <v>600</v>
      </c>
    </row>
    <row r="270" spans="1:67" ht="15.75" thickBot="1">
      <c r="A270" s="415">
        <f t="shared" si="13"/>
        <v>45563</v>
      </c>
      <c r="B270" s="416">
        <v>1250</v>
      </c>
      <c r="F270" s="730">
        <v>45196</v>
      </c>
      <c r="G270" s="731">
        <v>781.5</v>
      </c>
      <c r="AS270" s="411">
        <v>45261</v>
      </c>
      <c r="AT270" s="416">
        <f t="shared" si="15"/>
        <v>770</v>
      </c>
      <c r="AV270" s="411">
        <v>45195</v>
      </c>
      <c r="AW270" s="326">
        <f t="shared" si="14"/>
        <v>770</v>
      </c>
      <c r="BN270" s="411">
        <v>45249</v>
      </c>
      <c r="BO270" s="416">
        <f t="shared" si="16"/>
        <v>600</v>
      </c>
    </row>
    <row r="271" spans="1:67" ht="15.75" thickBot="1">
      <c r="A271" s="415">
        <f t="shared" si="13"/>
        <v>45564</v>
      </c>
      <c r="B271" s="416">
        <v>1250</v>
      </c>
      <c r="F271" s="730">
        <v>45197</v>
      </c>
      <c r="G271" s="731">
        <v>778.1</v>
      </c>
      <c r="AS271" s="411">
        <v>45262</v>
      </c>
      <c r="AT271" s="416">
        <f t="shared" si="15"/>
        <v>770</v>
      </c>
      <c r="AV271" s="411">
        <v>45196</v>
      </c>
      <c r="AW271" s="326">
        <f t="shared" si="14"/>
        <v>770</v>
      </c>
      <c r="BN271" s="411">
        <v>45250</v>
      </c>
      <c r="BO271" s="416">
        <f t="shared" si="16"/>
        <v>600</v>
      </c>
    </row>
    <row r="272" spans="1:67" ht="15.75" thickBot="1">
      <c r="A272" s="415">
        <f t="shared" si="13"/>
        <v>45565</v>
      </c>
      <c r="B272" s="416">
        <v>1250</v>
      </c>
      <c r="F272" s="730">
        <v>45198</v>
      </c>
      <c r="G272" s="731">
        <v>770.5</v>
      </c>
      <c r="AS272" s="411">
        <v>45263</v>
      </c>
      <c r="AT272" s="416">
        <f t="shared" si="15"/>
        <v>770</v>
      </c>
      <c r="AV272" s="411">
        <v>45197</v>
      </c>
      <c r="AW272" s="326">
        <f t="shared" si="14"/>
        <v>770</v>
      </c>
      <c r="BN272" s="411">
        <v>45251</v>
      </c>
      <c r="BO272" s="416">
        <f t="shared" si="16"/>
        <v>600</v>
      </c>
    </row>
    <row r="273" spans="1:67" ht="15.75" thickBot="1">
      <c r="A273" s="415">
        <f t="shared" si="13"/>
        <v>45566</v>
      </c>
      <c r="B273" s="416">
        <v>1250</v>
      </c>
      <c r="F273" s="730">
        <v>45199</v>
      </c>
      <c r="G273" s="731">
        <v>770.5</v>
      </c>
      <c r="AS273" s="411">
        <v>45264</v>
      </c>
      <c r="AT273" s="416">
        <f t="shared" si="15"/>
        <v>770</v>
      </c>
      <c r="AV273" s="411">
        <v>45198</v>
      </c>
      <c r="AW273" s="326">
        <f t="shared" si="14"/>
        <v>770</v>
      </c>
      <c r="BN273" s="411">
        <v>45252</v>
      </c>
      <c r="BO273" s="416">
        <f t="shared" si="16"/>
        <v>600</v>
      </c>
    </row>
    <row r="274" spans="1:67" ht="15.75" thickBot="1">
      <c r="A274" s="415">
        <f t="shared" si="13"/>
        <v>45567</v>
      </c>
      <c r="B274" s="416">
        <v>1250</v>
      </c>
      <c r="F274" s="730">
        <v>45200</v>
      </c>
      <c r="G274" s="731">
        <v>769.55</v>
      </c>
      <c r="AS274" s="411">
        <v>45265</v>
      </c>
      <c r="AT274" s="416">
        <f t="shared" si="15"/>
        <v>770</v>
      </c>
      <c r="AV274" s="411">
        <v>45199</v>
      </c>
      <c r="AW274" s="326">
        <f t="shared" si="14"/>
        <v>770</v>
      </c>
      <c r="BN274" s="411">
        <v>45253</v>
      </c>
      <c r="BO274" s="416">
        <f t="shared" si="16"/>
        <v>600</v>
      </c>
    </row>
    <row r="275" spans="1:67" ht="15.75" thickBot="1">
      <c r="A275" s="415">
        <f t="shared" si="13"/>
        <v>45568</v>
      </c>
      <c r="B275" s="416">
        <v>1250</v>
      </c>
      <c r="F275" s="730">
        <v>45201</v>
      </c>
      <c r="G275" s="731">
        <v>766.97</v>
      </c>
      <c r="AS275" s="411">
        <v>45266</v>
      </c>
      <c r="AT275" s="416">
        <f t="shared" si="15"/>
        <v>770</v>
      </c>
      <c r="AV275" s="411">
        <v>45200</v>
      </c>
      <c r="AW275" s="326">
        <f t="shared" si="14"/>
        <v>770</v>
      </c>
      <c r="BN275" s="411">
        <v>45254</v>
      </c>
      <c r="BO275" s="416">
        <f t="shared" si="16"/>
        <v>600</v>
      </c>
    </row>
    <row r="276" spans="1:67" ht="15.75" thickBot="1">
      <c r="A276" s="415">
        <f t="shared" si="13"/>
        <v>45569</v>
      </c>
      <c r="B276" s="416">
        <v>1250</v>
      </c>
      <c r="F276" s="730">
        <v>45202</v>
      </c>
      <c r="G276" s="731">
        <v>766</v>
      </c>
      <c r="AS276" s="411">
        <v>45267</v>
      </c>
      <c r="AT276" s="416">
        <f t="shared" si="15"/>
        <v>770</v>
      </c>
      <c r="AV276" s="411">
        <v>45201</v>
      </c>
      <c r="AW276" s="326">
        <f t="shared" si="14"/>
        <v>770</v>
      </c>
      <c r="BN276" s="411">
        <v>45255</v>
      </c>
      <c r="BO276" s="416">
        <f t="shared" si="16"/>
        <v>600</v>
      </c>
    </row>
    <row r="277" spans="1:67" ht="15.75" thickBot="1">
      <c r="A277" s="415">
        <f t="shared" si="13"/>
        <v>45570</v>
      </c>
      <c r="B277" s="416">
        <v>1250</v>
      </c>
      <c r="F277" s="730">
        <v>45203</v>
      </c>
      <c r="G277" s="731">
        <v>747.11</v>
      </c>
      <c r="AS277" s="411">
        <v>45268</v>
      </c>
      <c r="AT277" s="416">
        <f t="shared" si="15"/>
        <v>770</v>
      </c>
      <c r="AV277" s="411">
        <v>45202</v>
      </c>
      <c r="AW277" s="326">
        <f t="shared" si="14"/>
        <v>770</v>
      </c>
      <c r="BN277" s="411">
        <v>45256</v>
      </c>
      <c r="BO277" s="416">
        <f t="shared" si="16"/>
        <v>600</v>
      </c>
    </row>
    <row r="278" spans="1:67" ht="15.75" thickBot="1">
      <c r="A278" s="415">
        <f t="shared" si="13"/>
        <v>45571</v>
      </c>
      <c r="B278" s="416">
        <v>1250</v>
      </c>
      <c r="F278" s="730">
        <v>45204</v>
      </c>
      <c r="G278" s="731">
        <v>762.04</v>
      </c>
      <c r="AS278" s="411">
        <v>45269</v>
      </c>
      <c r="AT278" s="416">
        <f t="shared" si="15"/>
        <v>770</v>
      </c>
      <c r="AV278" s="411">
        <v>45203</v>
      </c>
      <c r="AW278" s="326">
        <f t="shared" si="14"/>
        <v>770</v>
      </c>
      <c r="BN278" s="411">
        <v>45257</v>
      </c>
      <c r="BO278" s="416">
        <f t="shared" si="16"/>
        <v>600</v>
      </c>
    </row>
    <row r="279" spans="1:67" ht="15.75" thickBot="1">
      <c r="A279" s="415">
        <f t="shared" si="13"/>
        <v>45572</v>
      </c>
      <c r="B279" s="416">
        <v>1250</v>
      </c>
      <c r="F279" s="730">
        <v>45205</v>
      </c>
      <c r="G279" s="731">
        <v>767</v>
      </c>
      <c r="AS279" s="411">
        <v>45270</v>
      </c>
      <c r="AT279" s="416">
        <f t="shared" si="15"/>
        <v>770</v>
      </c>
      <c r="AV279" s="411">
        <v>45204</v>
      </c>
      <c r="AW279" s="326">
        <f t="shared" si="14"/>
        <v>770</v>
      </c>
      <c r="BN279" s="411">
        <v>45258</v>
      </c>
      <c r="BO279" s="416">
        <f t="shared" si="16"/>
        <v>600</v>
      </c>
    </row>
    <row r="280" spans="1:67" ht="15.75" thickBot="1">
      <c r="A280" s="415">
        <f t="shared" si="13"/>
        <v>45573</v>
      </c>
      <c r="B280" s="416">
        <v>1250</v>
      </c>
      <c r="F280" s="730">
        <v>45206</v>
      </c>
      <c r="G280" s="731">
        <v>767</v>
      </c>
      <c r="AS280" s="411">
        <v>45271</v>
      </c>
      <c r="AT280" s="416">
        <f t="shared" si="15"/>
        <v>770</v>
      </c>
      <c r="AV280" s="411">
        <v>45205</v>
      </c>
      <c r="AW280" s="326">
        <f t="shared" si="14"/>
        <v>770</v>
      </c>
      <c r="BN280" s="411">
        <v>45259</v>
      </c>
      <c r="BO280" s="416">
        <f t="shared" si="16"/>
        <v>600</v>
      </c>
    </row>
    <row r="281" spans="1:67" ht="15.75" thickBot="1">
      <c r="A281" s="415">
        <f t="shared" si="13"/>
        <v>45574</v>
      </c>
      <c r="B281" s="416">
        <v>1250</v>
      </c>
      <c r="F281" s="730">
        <v>45207</v>
      </c>
      <c r="G281" s="731">
        <v>772.04</v>
      </c>
      <c r="AS281" s="411">
        <v>45272</v>
      </c>
      <c r="AT281" s="416">
        <f t="shared" si="15"/>
        <v>770</v>
      </c>
      <c r="AV281" s="411">
        <v>45206</v>
      </c>
      <c r="AW281" s="326">
        <f t="shared" si="14"/>
        <v>770</v>
      </c>
      <c r="BN281" s="411">
        <v>45260</v>
      </c>
      <c r="BO281" s="416">
        <f t="shared" si="16"/>
        <v>600</v>
      </c>
    </row>
    <row r="282" spans="1:67" ht="15.75" thickBot="1">
      <c r="A282" s="415">
        <f t="shared" si="13"/>
        <v>45575</v>
      </c>
      <c r="B282" s="416">
        <v>1250</v>
      </c>
      <c r="F282" s="730">
        <v>45208</v>
      </c>
      <c r="G282" s="731">
        <v>759.21</v>
      </c>
      <c r="AS282" s="411">
        <v>45273</v>
      </c>
      <c r="AT282" s="416">
        <f t="shared" si="15"/>
        <v>770</v>
      </c>
      <c r="AV282" s="411">
        <v>45207</v>
      </c>
      <c r="AW282" s="326">
        <f t="shared" si="14"/>
        <v>770</v>
      </c>
      <c r="BN282" s="411">
        <v>45261</v>
      </c>
      <c r="BO282" s="416">
        <f t="shared" si="16"/>
        <v>600</v>
      </c>
    </row>
    <row r="283" spans="1:67" ht="15.75" thickBot="1">
      <c r="A283" s="415">
        <f t="shared" si="13"/>
        <v>45576</v>
      </c>
      <c r="B283" s="416">
        <v>1250</v>
      </c>
      <c r="F283" s="730">
        <v>45209</v>
      </c>
      <c r="G283" s="731">
        <v>763.53</v>
      </c>
      <c r="AS283" s="411">
        <v>45274</v>
      </c>
      <c r="AT283" s="416">
        <f t="shared" si="15"/>
        <v>770</v>
      </c>
      <c r="AV283" s="411">
        <v>45208</v>
      </c>
      <c r="AW283" s="326">
        <f t="shared" si="14"/>
        <v>770</v>
      </c>
      <c r="BN283" s="411">
        <v>45262</v>
      </c>
      <c r="BO283" s="416">
        <f t="shared" si="16"/>
        <v>600</v>
      </c>
    </row>
    <row r="284" spans="1:67" ht="15.75" thickBot="1">
      <c r="A284" s="415">
        <f t="shared" si="13"/>
        <v>45577</v>
      </c>
      <c r="B284" s="416">
        <v>1250</v>
      </c>
      <c r="F284" s="730">
        <v>45210</v>
      </c>
      <c r="G284" s="731">
        <v>766.70899999999995</v>
      </c>
      <c r="AS284" s="411">
        <v>45275</v>
      </c>
      <c r="AT284" s="416">
        <f t="shared" si="15"/>
        <v>770</v>
      </c>
      <c r="AV284" s="411">
        <v>45209</v>
      </c>
      <c r="AW284" s="326">
        <f t="shared" si="14"/>
        <v>770</v>
      </c>
      <c r="BN284" s="411">
        <v>45263</v>
      </c>
      <c r="BO284" s="416">
        <f t="shared" si="16"/>
        <v>600</v>
      </c>
    </row>
    <row r="285" spans="1:67" ht="15.75" thickBot="1">
      <c r="A285" s="415">
        <f t="shared" si="13"/>
        <v>45578</v>
      </c>
      <c r="B285" s="416">
        <v>1250</v>
      </c>
      <c r="F285" s="730">
        <v>45211</v>
      </c>
      <c r="G285" s="731">
        <v>768.6</v>
      </c>
      <c r="AS285" s="411">
        <v>45276</v>
      </c>
      <c r="AT285" s="416">
        <f t="shared" si="15"/>
        <v>770</v>
      </c>
      <c r="AV285" s="411">
        <v>45210</v>
      </c>
      <c r="AW285" s="326">
        <f t="shared" si="14"/>
        <v>770</v>
      </c>
      <c r="BN285" s="411">
        <v>45264</v>
      </c>
      <c r="BO285" s="416">
        <f t="shared" si="16"/>
        <v>600</v>
      </c>
    </row>
    <row r="286" spans="1:67" ht="15.75" thickBot="1">
      <c r="A286" s="415">
        <f t="shared" si="13"/>
        <v>45579</v>
      </c>
      <c r="B286" s="416">
        <v>1250</v>
      </c>
      <c r="F286" s="730">
        <v>45212</v>
      </c>
      <c r="G286" s="731">
        <v>770.01</v>
      </c>
      <c r="AS286" s="411">
        <v>45277</v>
      </c>
      <c r="AT286" s="416">
        <f t="shared" si="15"/>
        <v>770</v>
      </c>
      <c r="AV286" s="411">
        <v>45211</v>
      </c>
      <c r="AW286" s="326">
        <f t="shared" si="14"/>
        <v>770</v>
      </c>
      <c r="BN286" s="411">
        <v>45265</v>
      </c>
      <c r="BO286" s="416">
        <f t="shared" si="16"/>
        <v>600</v>
      </c>
    </row>
    <row r="287" spans="1:67" ht="15.75" thickBot="1">
      <c r="A287" s="415">
        <f t="shared" si="13"/>
        <v>45580</v>
      </c>
      <c r="B287" s="416">
        <v>1250</v>
      </c>
      <c r="F287" s="730">
        <v>45213</v>
      </c>
      <c r="G287" s="731">
        <v>770.01</v>
      </c>
      <c r="AS287" s="411">
        <v>45278</v>
      </c>
      <c r="AT287" s="416">
        <f t="shared" si="15"/>
        <v>770</v>
      </c>
      <c r="AV287" s="411">
        <v>45212</v>
      </c>
      <c r="AW287" s="326">
        <f t="shared" si="14"/>
        <v>770</v>
      </c>
      <c r="BN287" s="411">
        <v>45266</v>
      </c>
      <c r="BO287" s="416">
        <f t="shared" si="16"/>
        <v>600</v>
      </c>
    </row>
    <row r="288" spans="1:67" ht="15.75" thickBot="1">
      <c r="A288" s="415">
        <f t="shared" si="13"/>
        <v>45581</v>
      </c>
      <c r="B288" s="416">
        <v>1250</v>
      </c>
      <c r="F288" s="730">
        <v>45214</v>
      </c>
      <c r="G288" s="731">
        <v>770.01</v>
      </c>
      <c r="AS288" s="411">
        <v>45279</v>
      </c>
      <c r="AT288" s="416">
        <f t="shared" si="15"/>
        <v>770</v>
      </c>
      <c r="AV288" s="411">
        <v>45213</v>
      </c>
      <c r="AW288" s="326">
        <f t="shared" si="14"/>
        <v>770</v>
      </c>
      <c r="BN288" s="411">
        <v>45267</v>
      </c>
      <c r="BO288" s="416">
        <f t="shared" si="16"/>
        <v>600</v>
      </c>
    </row>
    <row r="289" spans="1:67" ht="15.75" thickBot="1">
      <c r="A289" s="415">
        <f t="shared" si="13"/>
        <v>45582</v>
      </c>
      <c r="B289" s="416">
        <v>1250</v>
      </c>
      <c r="F289" s="730">
        <v>45215</v>
      </c>
      <c r="G289" s="731">
        <v>765.5</v>
      </c>
      <c r="AS289" s="411">
        <v>45280</v>
      </c>
      <c r="AT289" s="416">
        <f t="shared" si="15"/>
        <v>770</v>
      </c>
      <c r="AV289" s="411">
        <v>45214</v>
      </c>
      <c r="AW289" s="326">
        <f t="shared" si="14"/>
        <v>770</v>
      </c>
      <c r="BN289" s="411">
        <v>45268</v>
      </c>
      <c r="BO289" s="416">
        <f t="shared" si="16"/>
        <v>600</v>
      </c>
    </row>
    <row r="290" spans="1:67" ht="15.75" thickBot="1">
      <c r="A290" s="415">
        <f t="shared" si="13"/>
        <v>45583</v>
      </c>
      <c r="B290" s="416">
        <v>1250</v>
      </c>
      <c r="F290" s="730">
        <v>45216</v>
      </c>
      <c r="G290" s="731">
        <v>765.5</v>
      </c>
      <c r="AS290" s="411">
        <v>45281</v>
      </c>
      <c r="AT290" s="416">
        <f t="shared" si="15"/>
        <v>770</v>
      </c>
      <c r="AV290" s="411">
        <v>45215</v>
      </c>
      <c r="AW290" s="326">
        <f t="shared" si="14"/>
        <v>770</v>
      </c>
      <c r="BN290" s="411">
        <v>45269</v>
      </c>
      <c r="BO290" s="416">
        <f t="shared" si="16"/>
        <v>600</v>
      </c>
    </row>
    <row r="291" spans="1:67" ht="15.75" thickBot="1">
      <c r="A291" s="415">
        <f t="shared" si="13"/>
        <v>45584</v>
      </c>
      <c r="B291" s="416">
        <v>1250</v>
      </c>
      <c r="F291" s="730">
        <v>45217</v>
      </c>
      <c r="G291" s="731">
        <v>766</v>
      </c>
      <c r="AS291" s="411">
        <v>45282</v>
      </c>
      <c r="AT291" s="416">
        <f t="shared" si="15"/>
        <v>770</v>
      </c>
      <c r="AV291" s="411">
        <v>45216</v>
      </c>
      <c r="AW291" s="326">
        <f t="shared" si="14"/>
        <v>770</v>
      </c>
      <c r="BN291" s="411">
        <v>45270</v>
      </c>
      <c r="BO291" s="416">
        <f t="shared" si="16"/>
        <v>600</v>
      </c>
    </row>
    <row r="292" spans="1:67" ht="15.75" thickBot="1">
      <c r="A292" s="415">
        <f t="shared" si="13"/>
        <v>45585</v>
      </c>
      <c r="B292" s="416">
        <v>1250</v>
      </c>
      <c r="F292" s="730">
        <v>45218</v>
      </c>
      <c r="G292" s="731">
        <v>764</v>
      </c>
      <c r="AS292" s="411">
        <v>45283</v>
      </c>
      <c r="AT292" s="416">
        <f t="shared" si="15"/>
        <v>770</v>
      </c>
      <c r="AV292" s="411">
        <v>45217</v>
      </c>
      <c r="AW292" s="326">
        <f t="shared" si="14"/>
        <v>770</v>
      </c>
      <c r="BN292" s="411">
        <v>45271</v>
      </c>
      <c r="BO292" s="416">
        <f t="shared" si="16"/>
        <v>600</v>
      </c>
    </row>
    <row r="293" spans="1:67" ht="15.75" thickBot="1">
      <c r="A293" s="415">
        <f t="shared" ref="A293:A356" si="17">A292+1</f>
        <v>45586</v>
      </c>
      <c r="B293" s="416">
        <v>1250</v>
      </c>
      <c r="F293" s="730">
        <v>45219</v>
      </c>
      <c r="G293" s="731">
        <v>764</v>
      </c>
      <c r="AS293" s="411">
        <v>45284</v>
      </c>
      <c r="AT293" s="416">
        <f t="shared" si="15"/>
        <v>770</v>
      </c>
      <c r="AV293" s="411">
        <v>45218</v>
      </c>
      <c r="AW293" s="326">
        <f t="shared" si="14"/>
        <v>770</v>
      </c>
      <c r="BN293" s="411">
        <v>45272</v>
      </c>
      <c r="BO293" s="416">
        <f t="shared" si="16"/>
        <v>600</v>
      </c>
    </row>
    <row r="294" spans="1:67" ht="15.75" thickBot="1">
      <c r="A294" s="415">
        <f t="shared" si="17"/>
        <v>45587</v>
      </c>
      <c r="B294" s="416">
        <v>1250</v>
      </c>
      <c r="F294" s="730">
        <v>45220</v>
      </c>
      <c r="G294" s="731">
        <v>764</v>
      </c>
      <c r="AS294" s="411">
        <v>45285</v>
      </c>
      <c r="AT294" s="416">
        <f t="shared" si="15"/>
        <v>770</v>
      </c>
      <c r="AV294" s="411">
        <v>45219</v>
      </c>
      <c r="AW294" s="326">
        <f t="shared" si="14"/>
        <v>770</v>
      </c>
      <c r="BN294" s="411">
        <v>45273</v>
      </c>
      <c r="BO294" s="416">
        <f t="shared" si="16"/>
        <v>600</v>
      </c>
    </row>
    <row r="295" spans="1:67" ht="15.75" thickBot="1">
      <c r="A295" s="415">
        <f t="shared" si="17"/>
        <v>45588</v>
      </c>
      <c r="B295" s="416">
        <v>1250</v>
      </c>
      <c r="F295" s="730">
        <v>45221</v>
      </c>
      <c r="G295" s="731">
        <v>764</v>
      </c>
      <c r="AS295" s="411">
        <v>45286</v>
      </c>
      <c r="AT295" s="416">
        <f t="shared" si="15"/>
        <v>770</v>
      </c>
      <c r="AV295" s="411">
        <v>45220</v>
      </c>
      <c r="AW295" s="326">
        <f t="shared" si="14"/>
        <v>770</v>
      </c>
      <c r="BN295" s="411">
        <v>45274</v>
      </c>
      <c r="BO295" s="416">
        <f t="shared" si="16"/>
        <v>600</v>
      </c>
    </row>
    <row r="296" spans="1:67" ht="15.75" thickBot="1">
      <c r="A296" s="415">
        <f t="shared" si="17"/>
        <v>45589</v>
      </c>
      <c r="B296" s="416">
        <v>1250</v>
      </c>
      <c r="F296" s="730">
        <v>45222</v>
      </c>
      <c r="G296" s="731">
        <v>764.59500000000003</v>
      </c>
      <c r="AS296" s="411">
        <v>45287</v>
      </c>
      <c r="AT296" s="416">
        <f t="shared" si="15"/>
        <v>770</v>
      </c>
      <c r="AV296" s="411">
        <v>45221</v>
      </c>
      <c r="AW296" s="326">
        <f t="shared" si="14"/>
        <v>770</v>
      </c>
      <c r="BN296" s="411">
        <v>45275</v>
      </c>
      <c r="BO296" s="416">
        <f t="shared" si="16"/>
        <v>600</v>
      </c>
    </row>
    <row r="297" spans="1:67" ht="15.75" thickBot="1">
      <c r="A297" s="415">
        <f t="shared" si="17"/>
        <v>45590</v>
      </c>
      <c r="B297" s="416">
        <v>1250</v>
      </c>
      <c r="F297" s="730">
        <v>45223</v>
      </c>
      <c r="G297" s="731">
        <v>860.5</v>
      </c>
      <c r="AS297" s="411">
        <v>45288</v>
      </c>
      <c r="AT297" s="416">
        <f t="shared" si="15"/>
        <v>770</v>
      </c>
      <c r="AV297" s="411">
        <v>45222</v>
      </c>
      <c r="AW297" s="326">
        <f t="shared" si="14"/>
        <v>770</v>
      </c>
      <c r="BN297" s="411">
        <v>45276</v>
      </c>
      <c r="BO297" s="416">
        <f t="shared" si="16"/>
        <v>600</v>
      </c>
    </row>
    <row r="298" spans="1:67" ht="15.75" thickBot="1">
      <c r="A298" s="415">
        <f t="shared" si="17"/>
        <v>45591</v>
      </c>
      <c r="B298" s="416">
        <v>1250</v>
      </c>
      <c r="F298" s="730">
        <v>45224</v>
      </c>
      <c r="G298" s="731">
        <v>817.91</v>
      </c>
      <c r="AS298" s="411">
        <v>45289</v>
      </c>
      <c r="AT298" s="416">
        <f t="shared" si="15"/>
        <v>770</v>
      </c>
      <c r="AV298" s="411">
        <v>45223</v>
      </c>
      <c r="AW298" s="326">
        <f t="shared" si="14"/>
        <v>770</v>
      </c>
      <c r="BN298" s="411">
        <v>45277</v>
      </c>
      <c r="BO298" s="416">
        <f t="shared" si="16"/>
        <v>600</v>
      </c>
    </row>
    <row r="299" spans="1:67" ht="15.75" thickBot="1">
      <c r="A299" s="415">
        <f t="shared" si="17"/>
        <v>45592</v>
      </c>
      <c r="B299" s="416">
        <v>1250</v>
      </c>
      <c r="F299" s="730">
        <v>45225</v>
      </c>
      <c r="G299" s="731">
        <v>802.7</v>
      </c>
      <c r="AS299" s="411">
        <v>45290</v>
      </c>
      <c r="AT299" s="416">
        <f t="shared" si="15"/>
        <v>770</v>
      </c>
      <c r="AV299" s="411">
        <v>45224</v>
      </c>
      <c r="AW299" s="326">
        <f t="shared" si="14"/>
        <v>770</v>
      </c>
      <c r="BN299" s="411">
        <v>45278</v>
      </c>
      <c r="BO299" s="416">
        <f t="shared" si="16"/>
        <v>600</v>
      </c>
    </row>
    <row r="300" spans="1:67" ht="15.75" thickBot="1">
      <c r="A300" s="415">
        <f t="shared" si="17"/>
        <v>45593</v>
      </c>
      <c r="B300" s="416">
        <v>1250</v>
      </c>
      <c r="F300" s="730">
        <v>45226</v>
      </c>
      <c r="G300" s="731">
        <v>795</v>
      </c>
      <c r="AS300" s="411">
        <v>45291</v>
      </c>
      <c r="AT300" s="416">
        <f t="shared" si="15"/>
        <v>770</v>
      </c>
      <c r="AV300" s="411">
        <v>45225</v>
      </c>
      <c r="AW300" s="326">
        <f t="shared" si="14"/>
        <v>770</v>
      </c>
      <c r="BN300" s="411">
        <v>45279</v>
      </c>
      <c r="BO300" s="416">
        <f t="shared" si="16"/>
        <v>600</v>
      </c>
    </row>
    <row r="301" spans="1:67" ht="15.75" thickBot="1">
      <c r="A301" s="415">
        <f t="shared" si="17"/>
        <v>45594</v>
      </c>
      <c r="B301" s="416">
        <v>1250</v>
      </c>
      <c r="F301" s="730">
        <v>45227</v>
      </c>
      <c r="G301" s="731">
        <v>795</v>
      </c>
      <c r="AS301" s="411"/>
      <c r="AV301" s="411">
        <v>45226</v>
      </c>
      <c r="AW301" s="326">
        <f t="shared" si="14"/>
        <v>770</v>
      </c>
      <c r="BN301" s="411">
        <v>45280</v>
      </c>
      <c r="BO301" s="416">
        <f t="shared" si="16"/>
        <v>600</v>
      </c>
    </row>
    <row r="302" spans="1:67" ht="15.75" thickBot="1">
      <c r="A302" s="415">
        <f t="shared" si="17"/>
        <v>45595</v>
      </c>
      <c r="B302" s="416">
        <v>1250</v>
      </c>
      <c r="F302" s="730">
        <v>45228</v>
      </c>
      <c r="G302" s="731">
        <v>795</v>
      </c>
      <c r="AS302" s="411"/>
      <c r="AV302" s="411">
        <v>45227</v>
      </c>
      <c r="AW302" s="326">
        <f t="shared" si="14"/>
        <v>770</v>
      </c>
      <c r="BN302" s="411">
        <v>45281</v>
      </c>
      <c r="BO302" s="416">
        <f t="shared" si="16"/>
        <v>600</v>
      </c>
    </row>
    <row r="303" spans="1:67" ht="15.75" thickBot="1">
      <c r="A303" s="415">
        <f t="shared" si="17"/>
        <v>45596</v>
      </c>
      <c r="B303" s="416">
        <v>1250</v>
      </c>
      <c r="F303" s="730">
        <v>45229</v>
      </c>
      <c r="G303" s="731">
        <v>786.48</v>
      </c>
      <c r="AS303" s="411"/>
      <c r="AV303" s="411">
        <v>45228</v>
      </c>
      <c r="AW303" s="326">
        <f t="shared" si="14"/>
        <v>770</v>
      </c>
      <c r="BN303" s="411">
        <v>45282</v>
      </c>
      <c r="BO303" s="416">
        <f t="shared" si="16"/>
        <v>600</v>
      </c>
    </row>
    <row r="304" spans="1:67" ht="15.75" thickBot="1">
      <c r="A304" s="415">
        <f t="shared" si="17"/>
        <v>45597</v>
      </c>
      <c r="B304" s="416">
        <v>1250</v>
      </c>
      <c r="F304" s="730">
        <v>45230</v>
      </c>
      <c r="G304" s="731">
        <v>787</v>
      </c>
      <c r="AS304" s="411"/>
      <c r="AV304" s="411">
        <v>45229</v>
      </c>
      <c r="AW304" s="326">
        <f t="shared" si="14"/>
        <v>770</v>
      </c>
      <c r="BN304" s="411">
        <v>45283</v>
      </c>
      <c r="BO304" s="416">
        <f t="shared" si="16"/>
        <v>600</v>
      </c>
    </row>
    <row r="305" spans="1:67" ht="15.75" thickBot="1">
      <c r="A305" s="415">
        <f t="shared" si="17"/>
        <v>45598</v>
      </c>
      <c r="B305" s="416">
        <v>1250</v>
      </c>
      <c r="F305" s="730">
        <v>45231</v>
      </c>
      <c r="G305" s="731">
        <v>788.5</v>
      </c>
      <c r="AS305" s="411"/>
      <c r="AV305" s="411">
        <v>45230</v>
      </c>
      <c r="AW305" s="326">
        <f t="shared" si="14"/>
        <v>770</v>
      </c>
      <c r="BN305" s="411">
        <v>45284</v>
      </c>
      <c r="BO305" s="416">
        <f t="shared" si="16"/>
        <v>600</v>
      </c>
    </row>
    <row r="306" spans="1:67" ht="15.75" thickBot="1">
      <c r="A306" s="415">
        <f t="shared" si="17"/>
        <v>45599</v>
      </c>
      <c r="B306" s="416">
        <v>1250</v>
      </c>
      <c r="F306" s="730">
        <v>45232</v>
      </c>
      <c r="G306" s="731">
        <v>786.09</v>
      </c>
      <c r="AS306" s="411"/>
      <c r="AV306" s="411">
        <v>45231</v>
      </c>
      <c r="AW306" s="326">
        <f t="shared" si="14"/>
        <v>770</v>
      </c>
      <c r="BN306" s="411">
        <v>45285</v>
      </c>
      <c r="BO306" s="416">
        <f t="shared" si="16"/>
        <v>600</v>
      </c>
    </row>
    <row r="307" spans="1:67" ht="15.75" thickBot="1">
      <c r="A307" s="415">
        <f t="shared" si="17"/>
        <v>45600</v>
      </c>
      <c r="B307" s="416">
        <v>1250</v>
      </c>
      <c r="F307" s="730">
        <v>45233</v>
      </c>
      <c r="G307" s="731">
        <v>806.77</v>
      </c>
      <c r="AS307" s="411"/>
      <c r="AV307" s="411">
        <v>45232</v>
      </c>
      <c r="AW307" s="326">
        <f t="shared" si="14"/>
        <v>770</v>
      </c>
      <c r="BN307" s="411">
        <v>45286</v>
      </c>
      <c r="BO307" s="416">
        <f t="shared" si="16"/>
        <v>600</v>
      </c>
    </row>
    <row r="308" spans="1:67" ht="15.75" thickBot="1">
      <c r="A308" s="415">
        <f t="shared" si="17"/>
        <v>45601</v>
      </c>
      <c r="B308" s="416">
        <v>1250</v>
      </c>
      <c r="F308" s="730">
        <v>45234</v>
      </c>
      <c r="G308" s="731">
        <v>806.77</v>
      </c>
      <c r="AS308" s="411"/>
      <c r="AV308" s="411">
        <v>45233</v>
      </c>
      <c r="AW308" s="326">
        <f t="shared" si="14"/>
        <v>770</v>
      </c>
      <c r="BN308" s="411">
        <v>45287</v>
      </c>
      <c r="BO308" s="416">
        <f t="shared" si="16"/>
        <v>600</v>
      </c>
    </row>
    <row r="309" spans="1:67" ht="15.75" thickBot="1">
      <c r="A309" s="415">
        <f t="shared" si="17"/>
        <v>45602</v>
      </c>
      <c r="B309" s="416">
        <v>1250</v>
      </c>
      <c r="F309" s="730">
        <v>45235</v>
      </c>
      <c r="G309" s="731">
        <v>806.77</v>
      </c>
      <c r="AS309" s="411"/>
      <c r="AV309" s="411">
        <v>45234</v>
      </c>
      <c r="AW309" s="326">
        <f t="shared" si="14"/>
        <v>770</v>
      </c>
      <c r="BN309" s="411">
        <v>45288</v>
      </c>
      <c r="BO309" s="416">
        <f t="shared" si="16"/>
        <v>600</v>
      </c>
    </row>
    <row r="310" spans="1:67" ht="15.75" thickBot="1">
      <c r="A310" s="415">
        <f t="shared" si="17"/>
        <v>45603</v>
      </c>
      <c r="B310" s="416">
        <v>1250</v>
      </c>
      <c r="F310" s="730">
        <v>45236</v>
      </c>
      <c r="G310" s="731">
        <v>800</v>
      </c>
      <c r="AS310" s="411"/>
      <c r="AV310" s="411">
        <v>45235</v>
      </c>
      <c r="AW310" s="326">
        <f t="shared" si="14"/>
        <v>770</v>
      </c>
      <c r="BN310" s="411">
        <v>45289</v>
      </c>
      <c r="BO310" s="416">
        <f t="shared" si="16"/>
        <v>600</v>
      </c>
    </row>
    <row r="311" spans="1:67" ht="15.75" thickBot="1">
      <c r="A311" s="415">
        <f t="shared" si="17"/>
        <v>45604</v>
      </c>
      <c r="B311" s="416">
        <v>1250</v>
      </c>
      <c r="F311" s="730">
        <v>45237</v>
      </c>
      <c r="G311" s="731">
        <v>786.59</v>
      </c>
      <c r="AS311" s="411"/>
      <c r="AV311" s="411">
        <v>45236</v>
      </c>
      <c r="AW311" s="326">
        <f t="shared" si="14"/>
        <v>770</v>
      </c>
      <c r="BN311" s="411">
        <v>45290</v>
      </c>
      <c r="BO311" s="416">
        <f t="shared" si="16"/>
        <v>600</v>
      </c>
    </row>
    <row r="312" spans="1:67" ht="15.75" thickBot="1">
      <c r="A312" s="415">
        <f t="shared" si="17"/>
        <v>45605</v>
      </c>
      <c r="B312" s="416">
        <v>1250</v>
      </c>
      <c r="F312" s="730">
        <v>45238</v>
      </c>
      <c r="G312" s="731">
        <v>803.3</v>
      </c>
      <c r="AS312" s="411"/>
      <c r="AV312" s="411">
        <v>45237</v>
      </c>
      <c r="AW312" s="326">
        <f t="shared" si="14"/>
        <v>770</v>
      </c>
      <c r="BN312" s="411">
        <v>45291</v>
      </c>
      <c r="BO312" s="416">
        <f t="shared" si="16"/>
        <v>600</v>
      </c>
    </row>
    <row r="313" spans="1:67" ht="15.75" thickBot="1">
      <c r="A313" s="415">
        <f t="shared" si="17"/>
        <v>45606</v>
      </c>
      <c r="B313" s="416">
        <v>1250</v>
      </c>
      <c r="F313" s="730">
        <v>45239</v>
      </c>
      <c r="G313" s="731">
        <v>803.00599999999997</v>
      </c>
      <c r="AS313" s="411"/>
      <c r="AV313" s="411">
        <v>45238</v>
      </c>
      <c r="AW313" s="326">
        <f t="shared" si="14"/>
        <v>770</v>
      </c>
      <c r="BN313" s="411"/>
    </row>
    <row r="314" spans="1:67" ht="15.75" thickBot="1">
      <c r="A314" s="415">
        <f t="shared" si="17"/>
        <v>45607</v>
      </c>
      <c r="B314" s="416">
        <v>1250</v>
      </c>
      <c r="F314" s="730">
        <v>45240</v>
      </c>
      <c r="G314" s="731">
        <v>805</v>
      </c>
      <c r="AS314" s="411"/>
      <c r="AV314" s="411">
        <v>45239</v>
      </c>
      <c r="AW314" s="326">
        <f t="shared" si="14"/>
        <v>770</v>
      </c>
      <c r="BN314" s="411"/>
    </row>
    <row r="315" spans="1:67" ht="15.75" thickBot="1">
      <c r="A315" s="415">
        <f t="shared" si="17"/>
        <v>45608</v>
      </c>
      <c r="B315" s="416">
        <v>1250</v>
      </c>
      <c r="F315" s="730">
        <v>45241</v>
      </c>
      <c r="G315" s="731">
        <v>805</v>
      </c>
      <c r="AS315" s="411"/>
      <c r="AV315" s="411">
        <v>45240</v>
      </c>
      <c r="AW315" s="326">
        <f t="shared" si="14"/>
        <v>770</v>
      </c>
      <c r="BN315" s="411"/>
    </row>
    <row r="316" spans="1:67" ht="15.75" thickBot="1">
      <c r="A316" s="415">
        <f t="shared" si="17"/>
        <v>45609</v>
      </c>
      <c r="B316" s="416">
        <v>1250</v>
      </c>
      <c r="F316" s="730">
        <v>45242</v>
      </c>
      <c r="G316" s="731">
        <v>805</v>
      </c>
      <c r="AS316" s="411"/>
      <c r="AV316" s="411">
        <v>45241</v>
      </c>
      <c r="AW316" s="326">
        <f t="shared" si="14"/>
        <v>770</v>
      </c>
      <c r="BN316" s="411"/>
    </row>
    <row r="317" spans="1:67" ht="15.75" thickBot="1">
      <c r="A317" s="415">
        <f t="shared" si="17"/>
        <v>45610</v>
      </c>
      <c r="B317" s="416">
        <v>1250</v>
      </c>
      <c r="F317" s="730">
        <v>45243</v>
      </c>
      <c r="G317" s="731">
        <v>836</v>
      </c>
      <c r="AV317" s="411">
        <v>45242</v>
      </c>
      <c r="AW317" s="326">
        <f t="shared" si="14"/>
        <v>770</v>
      </c>
    </row>
    <row r="318" spans="1:67" ht="15.75" thickBot="1">
      <c r="A318" s="415">
        <f t="shared" si="17"/>
        <v>45611</v>
      </c>
      <c r="B318" s="416">
        <v>1250</v>
      </c>
      <c r="F318" s="730">
        <v>45244</v>
      </c>
      <c r="G318" s="731">
        <v>905.5</v>
      </c>
      <c r="AV318" s="411">
        <v>45243</v>
      </c>
      <c r="AW318" s="326">
        <f t="shared" si="14"/>
        <v>770</v>
      </c>
    </row>
    <row r="319" spans="1:67" ht="15.75" thickBot="1">
      <c r="A319" s="415">
        <f t="shared" si="17"/>
        <v>45612</v>
      </c>
      <c r="B319" s="416">
        <v>1250</v>
      </c>
      <c r="F319" s="730">
        <v>45245</v>
      </c>
      <c r="G319" s="731">
        <v>843.58</v>
      </c>
      <c r="AV319" s="411">
        <v>45244</v>
      </c>
      <c r="AW319" s="326">
        <f t="shared" si="14"/>
        <v>770</v>
      </c>
    </row>
    <row r="320" spans="1:67" ht="15.75" thickBot="1">
      <c r="A320" s="415">
        <f t="shared" si="17"/>
        <v>45613</v>
      </c>
      <c r="B320" s="416">
        <v>1250</v>
      </c>
      <c r="F320" s="730">
        <v>45246</v>
      </c>
      <c r="G320" s="731">
        <v>845.5</v>
      </c>
      <c r="AV320" s="411">
        <v>45245</v>
      </c>
      <c r="AW320" s="326">
        <f t="shared" si="14"/>
        <v>770</v>
      </c>
    </row>
    <row r="321" spans="1:49" ht="15.75" thickBot="1">
      <c r="A321" s="415">
        <f t="shared" si="17"/>
        <v>45614</v>
      </c>
      <c r="B321" s="416">
        <v>1250</v>
      </c>
      <c r="F321" s="730">
        <v>45247</v>
      </c>
      <c r="G321" s="731">
        <v>840.04</v>
      </c>
      <c r="AV321" s="411">
        <v>45246</v>
      </c>
      <c r="AW321" s="326">
        <f t="shared" si="14"/>
        <v>770</v>
      </c>
    </row>
    <row r="322" spans="1:49" ht="15.75" thickBot="1">
      <c r="A322" s="415">
        <f t="shared" si="17"/>
        <v>45615</v>
      </c>
      <c r="B322" s="416">
        <v>1250</v>
      </c>
      <c r="F322" s="730">
        <v>45248</v>
      </c>
      <c r="G322" s="731">
        <v>840.04</v>
      </c>
      <c r="AV322" s="411">
        <v>45247</v>
      </c>
      <c r="AW322" s="326">
        <f t="shared" si="14"/>
        <v>770</v>
      </c>
    </row>
    <row r="323" spans="1:49" ht="15.75" thickBot="1">
      <c r="A323" s="415">
        <f t="shared" si="17"/>
        <v>45616</v>
      </c>
      <c r="B323" s="416">
        <v>1250</v>
      </c>
      <c r="F323" s="730">
        <v>45249</v>
      </c>
      <c r="G323" s="731">
        <v>840.04</v>
      </c>
      <c r="AV323" s="411">
        <v>45248</v>
      </c>
      <c r="AW323" s="326">
        <f t="shared" ref="AW323:AW366" si="18">VLOOKUP(AV323,$AS$2:$AT$312,2,TRUE)</f>
        <v>770</v>
      </c>
    </row>
    <row r="324" spans="1:49" ht="15.75" thickBot="1">
      <c r="A324" s="415">
        <f t="shared" si="17"/>
        <v>45617</v>
      </c>
      <c r="B324" s="416">
        <v>1250</v>
      </c>
      <c r="F324" s="730">
        <v>45250</v>
      </c>
      <c r="G324" s="731">
        <v>820.18</v>
      </c>
      <c r="AV324" s="411">
        <v>45249</v>
      </c>
      <c r="AW324" s="326">
        <f t="shared" si="18"/>
        <v>770</v>
      </c>
    </row>
    <row r="325" spans="1:49" ht="15.75" thickBot="1">
      <c r="A325" s="415">
        <f t="shared" si="17"/>
        <v>45618</v>
      </c>
      <c r="B325" s="416">
        <v>1250</v>
      </c>
      <c r="F325" s="730">
        <v>45251</v>
      </c>
      <c r="G325" s="731">
        <v>816.6</v>
      </c>
      <c r="AV325" s="411">
        <v>45250</v>
      </c>
      <c r="AW325" s="326">
        <f t="shared" si="18"/>
        <v>770</v>
      </c>
    </row>
    <row r="326" spans="1:49" ht="15.75" thickBot="1">
      <c r="A326" s="415">
        <f t="shared" si="17"/>
        <v>45619</v>
      </c>
      <c r="B326" s="416">
        <v>1250</v>
      </c>
      <c r="F326" s="730">
        <v>45252</v>
      </c>
      <c r="G326" s="731">
        <v>804.39</v>
      </c>
      <c r="AV326" s="411">
        <v>45251</v>
      </c>
      <c r="AW326" s="326">
        <f t="shared" si="18"/>
        <v>770</v>
      </c>
    </row>
    <row r="327" spans="1:49" ht="15.75" thickBot="1">
      <c r="A327" s="415">
        <f t="shared" si="17"/>
        <v>45620</v>
      </c>
      <c r="B327" s="416">
        <v>1250</v>
      </c>
      <c r="F327" s="730">
        <v>45253</v>
      </c>
      <c r="G327" s="731">
        <v>804.94</v>
      </c>
      <c r="AV327" s="411">
        <v>45252</v>
      </c>
      <c r="AW327" s="326">
        <f t="shared" si="18"/>
        <v>770</v>
      </c>
    </row>
    <row r="328" spans="1:49" ht="15.75" thickBot="1">
      <c r="A328" s="415">
        <f t="shared" si="17"/>
        <v>45621</v>
      </c>
      <c r="B328" s="416">
        <v>1250</v>
      </c>
      <c r="F328" s="730">
        <v>45254</v>
      </c>
      <c r="G328" s="731">
        <v>812.5</v>
      </c>
      <c r="AV328" s="411">
        <v>45253</v>
      </c>
      <c r="AW328" s="326">
        <f t="shared" si="18"/>
        <v>770</v>
      </c>
    </row>
    <row r="329" spans="1:49" ht="15.75" thickBot="1">
      <c r="A329" s="415">
        <f t="shared" si="17"/>
        <v>45622</v>
      </c>
      <c r="B329" s="416">
        <v>1250</v>
      </c>
      <c r="F329" s="730">
        <v>45255</v>
      </c>
      <c r="G329" s="731">
        <v>812.5</v>
      </c>
      <c r="AV329" s="411">
        <v>45254</v>
      </c>
      <c r="AW329" s="326">
        <f t="shared" si="18"/>
        <v>770</v>
      </c>
    </row>
    <row r="330" spans="1:49" ht="15.75" thickBot="1">
      <c r="A330" s="415">
        <f t="shared" si="17"/>
        <v>45623</v>
      </c>
      <c r="B330" s="416">
        <v>1250</v>
      </c>
      <c r="F330" s="730">
        <v>45256</v>
      </c>
      <c r="G330" s="731">
        <v>812.5</v>
      </c>
      <c r="AV330" s="411">
        <v>45255</v>
      </c>
      <c r="AW330" s="326">
        <f t="shared" si="18"/>
        <v>770</v>
      </c>
    </row>
    <row r="331" spans="1:49" ht="15.75" thickBot="1">
      <c r="A331" s="415">
        <f t="shared" si="17"/>
        <v>45624</v>
      </c>
      <c r="B331" s="416">
        <v>1250</v>
      </c>
      <c r="F331" s="730">
        <v>45257</v>
      </c>
      <c r="G331" s="731">
        <v>799.5</v>
      </c>
      <c r="AV331" s="411">
        <v>45256</v>
      </c>
      <c r="AW331" s="326">
        <f t="shared" si="18"/>
        <v>770</v>
      </c>
    </row>
    <row r="332" spans="1:49" ht="15.75" thickBot="1">
      <c r="A332" s="415">
        <f t="shared" si="17"/>
        <v>45625</v>
      </c>
      <c r="B332" s="416">
        <v>1250</v>
      </c>
      <c r="F332" s="730">
        <v>45258</v>
      </c>
      <c r="G332" s="731">
        <v>799.5</v>
      </c>
      <c r="AV332" s="411">
        <v>45257</v>
      </c>
      <c r="AW332" s="326">
        <f t="shared" si="18"/>
        <v>770</v>
      </c>
    </row>
    <row r="333" spans="1:49" ht="15.75" thickBot="1">
      <c r="A333" s="415">
        <f t="shared" si="17"/>
        <v>45626</v>
      </c>
      <c r="B333" s="416">
        <v>1250</v>
      </c>
      <c r="F333" s="730">
        <v>45259</v>
      </c>
      <c r="G333" s="731">
        <v>794</v>
      </c>
      <c r="AV333" s="411">
        <v>45258</v>
      </c>
      <c r="AW333" s="326">
        <f t="shared" si="18"/>
        <v>770</v>
      </c>
    </row>
    <row r="334" spans="1:49" ht="15.75" thickBot="1">
      <c r="A334" s="415">
        <f t="shared" si="17"/>
        <v>45627</v>
      </c>
      <c r="B334" s="416">
        <v>1250</v>
      </c>
      <c r="F334" s="730">
        <v>45260</v>
      </c>
      <c r="G334" s="731">
        <v>790.5</v>
      </c>
      <c r="AV334" s="411">
        <v>45259</v>
      </c>
      <c r="AW334" s="326">
        <f t="shared" si="18"/>
        <v>770</v>
      </c>
    </row>
    <row r="335" spans="1:49" ht="15.75" thickBot="1">
      <c r="A335" s="415">
        <f t="shared" si="17"/>
        <v>45628</v>
      </c>
      <c r="B335" s="416">
        <v>1250</v>
      </c>
      <c r="F335" s="730">
        <v>45261</v>
      </c>
      <c r="G335" s="731">
        <v>789</v>
      </c>
      <c r="AV335" s="411">
        <v>45260</v>
      </c>
      <c r="AW335" s="326">
        <f t="shared" si="18"/>
        <v>770</v>
      </c>
    </row>
    <row r="336" spans="1:49" ht="15.75" thickBot="1">
      <c r="A336" s="415">
        <f t="shared" si="17"/>
        <v>45629</v>
      </c>
      <c r="B336" s="416">
        <v>1250</v>
      </c>
      <c r="F336" s="730">
        <v>45262</v>
      </c>
      <c r="G336" s="731">
        <v>789</v>
      </c>
      <c r="AV336" s="411">
        <v>45261</v>
      </c>
      <c r="AW336" s="326">
        <f t="shared" si="18"/>
        <v>770</v>
      </c>
    </row>
    <row r="337" spans="1:49" ht="15.75" thickBot="1">
      <c r="A337" s="415">
        <f t="shared" si="17"/>
        <v>45630</v>
      </c>
      <c r="B337" s="416">
        <v>1250</v>
      </c>
      <c r="F337" s="730">
        <v>45263</v>
      </c>
      <c r="G337" s="731">
        <v>789</v>
      </c>
      <c r="AV337" s="411">
        <v>45262</v>
      </c>
      <c r="AW337" s="326">
        <f t="shared" si="18"/>
        <v>770</v>
      </c>
    </row>
    <row r="338" spans="1:49" ht="15.75" thickBot="1">
      <c r="A338" s="415">
        <f t="shared" si="17"/>
        <v>45631</v>
      </c>
      <c r="B338" s="416">
        <v>1250</v>
      </c>
      <c r="F338" s="730">
        <v>45264</v>
      </c>
      <c r="G338" s="731">
        <v>799</v>
      </c>
      <c r="AV338" s="411">
        <v>45263</v>
      </c>
      <c r="AW338" s="326">
        <f t="shared" si="18"/>
        <v>770</v>
      </c>
    </row>
    <row r="339" spans="1:49" ht="15.75" thickBot="1">
      <c r="A339" s="415">
        <f t="shared" si="17"/>
        <v>45632</v>
      </c>
      <c r="B339" s="416">
        <v>1250</v>
      </c>
      <c r="F339" s="730">
        <v>45265</v>
      </c>
      <c r="G339" s="731">
        <v>802.5</v>
      </c>
      <c r="AV339" s="411">
        <v>45264</v>
      </c>
      <c r="AW339" s="326">
        <f t="shared" si="18"/>
        <v>770</v>
      </c>
    </row>
    <row r="340" spans="1:49" ht="15.75" thickBot="1">
      <c r="A340" s="415">
        <f t="shared" si="17"/>
        <v>45633</v>
      </c>
      <c r="B340" s="416">
        <v>1250</v>
      </c>
      <c r="F340" s="730">
        <v>45266</v>
      </c>
      <c r="G340" s="731">
        <v>803.5</v>
      </c>
      <c r="AV340" s="411">
        <v>45265</v>
      </c>
      <c r="AW340" s="326">
        <f t="shared" si="18"/>
        <v>770</v>
      </c>
    </row>
    <row r="341" spans="1:49" ht="15.75" thickBot="1">
      <c r="A341" s="415">
        <f t="shared" si="17"/>
        <v>45634</v>
      </c>
      <c r="B341" s="416">
        <v>1250</v>
      </c>
      <c r="F341" s="730">
        <v>45267</v>
      </c>
      <c r="G341" s="731">
        <v>801.75</v>
      </c>
      <c r="AV341" s="411">
        <v>45266</v>
      </c>
      <c r="AW341" s="326">
        <f t="shared" si="18"/>
        <v>770</v>
      </c>
    </row>
    <row r="342" spans="1:49" ht="15.75" thickBot="1">
      <c r="A342" s="415">
        <f t="shared" si="17"/>
        <v>45635</v>
      </c>
      <c r="B342" s="416">
        <v>1250</v>
      </c>
      <c r="F342" s="730">
        <v>45268</v>
      </c>
      <c r="G342" s="731">
        <v>802.5</v>
      </c>
      <c r="AV342" s="411">
        <v>45267</v>
      </c>
      <c r="AW342" s="326">
        <f t="shared" si="18"/>
        <v>770</v>
      </c>
    </row>
    <row r="343" spans="1:49" ht="15.75" thickBot="1">
      <c r="A343" s="415">
        <f t="shared" si="17"/>
        <v>45636</v>
      </c>
      <c r="B343" s="416">
        <v>1250</v>
      </c>
      <c r="F343" s="730">
        <v>45269</v>
      </c>
      <c r="G343" s="731">
        <v>803.5</v>
      </c>
      <c r="AV343" s="411">
        <v>45268</v>
      </c>
      <c r="AW343" s="326">
        <f t="shared" si="18"/>
        <v>770</v>
      </c>
    </row>
    <row r="344" spans="1:49" ht="15.75" thickBot="1">
      <c r="A344" s="415">
        <f t="shared" si="17"/>
        <v>45637</v>
      </c>
      <c r="B344" s="416">
        <v>1250</v>
      </c>
      <c r="F344" s="730">
        <v>45270</v>
      </c>
      <c r="G344" s="731">
        <v>803.5</v>
      </c>
      <c r="AV344" s="411">
        <v>45269</v>
      </c>
      <c r="AW344" s="326">
        <f t="shared" si="18"/>
        <v>770</v>
      </c>
    </row>
    <row r="345" spans="1:49" ht="15.75" thickBot="1">
      <c r="A345" s="415">
        <f t="shared" si="17"/>
        <v>45638</v>
      </c>
      <c r="B345" s="416">
        <v>1250</v>
      </c>
      <c r="F345" s="730">
        <v>45271</v>
      </c>
      <c r="G345" s="731">
        <v>798.5</v>
      </c>
      <c r="AV345" s="411">
        <v>45270</v>
      </c>
      <c r="AW345" s="326">
        <f t="shared" si="18"/>
        <v>770</v>
      </c>
    </row>
    <row r="346" spans="1:49" ht="15.75" thickBot="1">
      <c r="A346" s="415">
        <f t="shared" si="17"/>
        <v>45639</v>
      </c>
      <c r="B346" s="416">
        <v>1250</v>
      </c>
      <c r="F346" s="730">
        <v>45272</v>
      </c>
      <c r="G346" s="731">
        <v>802.42</v>
      </c>
      <c r="AV346" s="411">
        <v>45271</v>
      </c>
      <c r="AW346" s="326">
        <f t="shared" si="18"/>
        <v>770</v>
      </c>
    </row>
    <row r="347" spans="1:49" ht="15.75" thickBot="1">
      <c r="A347" s="415">
        <f t="shared" si="17"/>
        <v>45640</v>
      </c>
      <c r="B347" s="416">
        <v>1250</v>
      </c>
      <c r="F347" s="730">
        <v>45273</v>
      </c>
      <c r="G347" s="731">
        <v>802.5</v>
      </c>
      <c r="AV347" s="411">
        <v>45272</v>
      </c>
      <c r="AW347" s="326">
        <f t="shared" si="18"/>
        <v>770</v>
      </c>
    </row>
    <row r="348" spans="1:49" ht="15.75" thickBot="1">
      <c r="A348" s="415">
        <f t="shared" si="17"/>
        <v>45641</v>
      </c>
      <c r="B348" s="416">
        <v>1250</v>
      </c>
      <c r="F348" s="730">
        <v>45274</v>
      </c>
      <c r="G348" s="731">
        <v>791</v>
      </c>
      <c r="AV348" s="411">
        <v>45273</v>
      </c>
      <c r="AW348" s="326">
        <f t="shared" si="18"/>
        <v>770</v>
      </c>
    </row>
    <row r="349" spans="1:49" ht="15.75" thickBot="1">
      <c r="A349" s="415">
        <f t="shared" si="17"/>
        <v>45642</v>
      </c>
      <c r="B349" s="416">
        <v>1250</v>
      </c>
      <c r="F349" s="730">
        <v>45275</v>
      </c>
      <c r="G349" s="731">
        <v>802.99</v>
      </c>
      <c r="AV349" s="411">
        <v>45274</v>
      </c>
      <c r="AW349" s="326">
        <f t="shared" si="18"/>
        <v>770</v>
      </c>
    </row>
    <row r="350" spans="1:49" ht="15.75" thickBot="1">
      <c r="A350" s="415">
        <f t="shared" si="17"/>
        <v>45643</v>
      </c>
      <c r="B350" s="416">
        <v>1250</v>
      </c>
      <c r="F350" s="730">
        <v>45276</v>
      </c>
      <c r="G350" s="731">
        <v>802.99</v>
      </c>
      <c r="AV350" s="411">
        <v>45275</v>
      </c>
      <c r="AW350" s="326">
        <f t="shared" si="18"/>
        <v>770</v>
      </c>
    </row>
    <row r="351" spans="1:49" ht="15.75" thickBot="1">
      <c r="A351" s="415">
        <f t="shared" si="17"/>
        <v>45644</v>
      </c>
      <c r="B351" s="416">
        <v>1250</v>
      </c>
      <c r="F351" s="730">
        <v>45277</v>
      </c>
      <c r="G351" s="731">
        <v>802.99</v>
      </c>
      <c r="AV351" s="411">
        <v>45276</v>
      </c>
      <c r="AW351" s="326">
        <f t="shared" si="18"/>
        <v>770</v>
      </c>
    </row>
    <row r="352" spans="1:49" ht="15.75" thickBot="1">
      <c r="A352" s="415">
        <f t="shared" si="17"/>
        <v>45645</v>
      </c>
      <c r="B352" s="416">
        <v>1250</v>
      </c>
      <c r="F352" s="730">
        <v>45278</v>
      </c>
      <c r="G352" s="731">
        <v>789.91</v>
      </c>
      <c r="AV352" s="411">
        <v>45277</v>
      </c>
      <c r="AW352" s="326">
        <f t="shared" si="18"/>
        <v>770</v>
      </c>
    </row>
    <row r="353" spans="1:49" ht="15.75" thickBot="1">
      <c r="A353" s="415">
        <f t="shared" si="17"/>
        <v>45646</v>
      </c>
      <c r="B353" s="416">
        <v>1250</v>
      </c>
      <c r="F353" s="730">
        <v>45279</v>
      </c>
      <c r="G353" s="731">
        <v>802.5</v>
      </c>
      <c r="AV353" s="411">
        <v>45278</v>
      </c>
      <c r="AW353" s="326">
        <f t="shared" si="18"/>
        <v>770</v>
      </c>
    </row>
    <row r="354" spans="1:49" ht="15.75" thickBot="1">
      <c r="A354" s="415">
        <f t="shared" si="17"/>
        <v>45647</v>
      </c>
      <c r="B354" s="416">
        <v>1250</v>
      </c>
      <c r="F354" s="730">
        <v>45280</v>
      </c>
      <c r="G354" s="731">
        <v>825</v>
      </c>
      <c r="AV354" s="411">
        <v>45279</v>
      </c>
      <c r="AW354" s="326">
        <f t="shared" si="18"/>
        <v>770</v>
      </c>
    </row>
    <row r="355" spans="1:49" ht="15.75" thickBot="1">
      <c r="A355" s="415">
        <f t="shared" si="17"/>
        <v>45648</v>
      </c>
      <c r="B355" s="416">
        <v>1250</v>
      </c>
      <c r="F355" s="730">
        <v>45281</v>
      </c>
      <c r="G355" s="731">
        <v>825.0761</v>
      </c>
      <c r="AV355" s="411">
        <v>45280</v>
      </c>
      <c r="AW355" s="326">
        <f t="shared" si="18"/>
        <v>770</v>
      </c>
    </row>
    <row r="356" spans="1:49" ht="15.75" thickBot="1">
      <c r="A356" s="415">
        <f t="shared" si="17"/>
        <v>45649</v>
      </c>
      <c r="B356" s="416">
        <v>1250</v>
      </c>
      <c r="F356" s="730">
        <v>45282</v>
      </c>
      <c r="G356" s="731">
        <v>903.89</v>
      </c>
      <c r="AV356" s="411">
        <v>45281</v>
      </c>
      <c r="AW356" s="326">
        <f t="shared" si="18"/>
        <v>770</v>
      </c>
    </row>
    <row r="357" spans="1:49" ht="15.75" thickBot="1">
      <c r="A357" s="415">
        <f t="shared" ref="A357:A364" si="19">A356+1</f>
        <v>45650</v>
      </c>
      <c r="B357" s="416">
        <v>1250</v>
      </c>
      <c r="F357" s="730">
        <v>45283</v>
      </c>
      <c r="G357" s="731">
        <v>903.89</v>
      </c>
      <c r="AV357" s="411">
        <v>45282</v>
      </c>
      <c r="AW357" s="326">
        <f t="shared" si="18"/>
        <v>770</v>
      </c>
    </row>
    <row r="358" spans="1:49" ht="15.75" thickBot="1">
      <c r="A358" s="415">
        <f t="shared" si="19"/>
        <v>45651</v>
      </c>
      <c r="B358" s="416">
        <v>1250</v>
      </c>
      <c r="F358" s="730">
        <v>45284</v>
      </c>
      <c r="G358" s="731">
        <v>903.89</v>
      </c>
      <c r="AV358" s="411">
        <v>45283</v>
      </c>
      <c r="AW358" s="326">
        <f t="shared" si="18"/>
        <v>770</v>
      </c>
    </row>
    <row r="359" spans="1:49" ht="15.75" thickBot="1">
      <c r="A359" s="415">
        <f t="shared" si="19"/>
        <v>45652</v>
      </c>
      <c r="B359" s="416">
        <v>1250</v>
      </c>
      <c r="F359" s="730">
        <v>45285</v>
      </c>
      <c r="G359" s="731">
        <v>904.57</v>
      </c>
      <c r="AV359" s="411">
        <v>45284</v>
      </c>
      <c r="AW359" s="326">
        <f t="shared" si="18"/>
        <v>770</v>
      </c>
    </row>
    <row r="360" spans="1:49" ht="15.75" thickBot="1">
      <c r="A360" s="415">
        <f t="shared" si="19"/>
        <v>45653</v>
      </c>
      <c r="B360" s="416">
        <v>1250</v>
      </c>
      <c r="F360" s="730">
        <v>45286</v>
      </c>
      <c r="G360" s="731">
        <v>905.1</v>
      </c>
      <c r="AV360" s="411">
        <v>45285</v>
      </c>
      <c r="AW360" s="326">
        <f t="shared" si="18"/>
        <v>770</v>
      </c>
    </row>
    <row r="361" spans="1:49" ht="15.75" thickBot="1">
      <c r="A361" s="415">
        <f t="shared" si="19"/>
        <v>45654</v>
      </c>
      <c r="B361" s="416">
        <v>1250</v>
      </c>
      <c r="F361" s="730">
        <v>45287</v>
      </c>
      <c r="G361" s="731">
        <v>895.5</v>
      </c>
      <c r="AV361" s="411">
        <v>45286</v>
      </c>
      <c r="AW361" s="326">
        <f t="shared" si="18"/>
        <v>770</v>
      </c>
    </row>
    <row r="362" spans="1:49" ht="15.75" thickBot="1">
      <c r="A362" s="415">
        <f t="shared" si="19"/>
        <v>45655</v>
      </c>
      <c r="B362" s="416">
        <v>1250</v>
      </c>
      <c r="F362" s="730">
        <v>45288</v>
      </c>
      <c r="G362" s="731">
        <v>896.62</v>
      </c>
      <c r="AV362" s="411">
        <v>45287</v>
      </c>
      <c r="AW362" s="326">
        <f t="shared" si="18"/>
        <v>770</v>
      </c>
    </row>
    <row r="363" spans="1:49" ht="15.75" thickBot="1">
      <c r="A363" s="415">
        <f t="shared" si="19"/>
        <v>45656</v>
      </c>
      <c r="B363" s="416">
        <v>1250</v>
      </c>
      <c r="F363" s="730">
        <v>45289</v>
      </c>
      <c r="G363" s="731">
        <v>896.64</v>
      </c>
      <c r="AV363" s="411">
        <v>45288</v>
      </c>
      <c r="AW363" s="326">
        <f t="shared" si="18"/>
        <v>770</v>
      </c>
    </row>
    <row r="364" spans="1:49" ht="15.75" thickBot="1">
      <c r="A364" s="415">
        <f t="shared" si="19"/>
        <v>45657</v>
      </c>
      <c r="B364" s="416">
        <v>1250</v>
      </c>
      <c r="F364" s="730">
        <v>45290</v>
      </c>
      <c r="G364" s="731">
        <v>896.64</v>
      </c>
      <c r="AV364" s="411">
        <v>45289</v>
      </c>
      <c r="AW364" s="326">
        <f t="shared" si="18"/>
        <v>770</v>
      </c>
    </row>
    <row r="365" spans="1:49">
      <c r="AV365" s="411">
        <v>45290</v>
      </c>
      <c r="AW365" s="326">
        <f t="shared" si="18"/>
        <v>770</v>
      </c>
    </row>
    <row r="366" spans="1:49">
      <c r="AV366" s="411">
        <v>45291</v>
      </c>
      <c r="AW366" s="326">
        <f t="shared" si="18"/>
        <v>770</v>
      </c>
    </row>
    <row r="367" spans="1:49">
      <c r="AV367" s="411"/>
    </row>
    <row r="368" spans="1:49">
      <c r="AV368" s="411"/>
    </row>
    <row r="369" spans="48:48">
      <c r="AV369" s="411"/>
    </row>
    <row r="370" spans="48:48">
      <c r="AV370" s="411"/>
    </row>
    <row r="371" spans="48:48">
      <c r="AV371" s="411"/>
    </row>
    <row r="372" spans="48:48">
      <c r="AV372" s="411"/>
    </row>
    <row r="373" spans="48:48">
      <c r="AV373" s="411"/>
    </row>
    <row r="374" spans="48:48">
      <c r="AV374" s="411"/>
    </row>
    <row r="375" spans="48:48">
      <c r="AV375" s="411"/>
    </row>
    <row r="376" spans="48:48">
      <c r="AV376" s="411"/>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C1D14-E3F5-4145-B1B0-BD75DCEF4D62}">
  <sheetPr codeName="Sheet18"/>
  <dimension ref="A2:M94"/>
  <sheetViews>
    <sheetView showGridLines="0" zoomScale="75" zoomScaleNormal="75" workbookViewId="0">
      <selection activeCell="A29" sqref="A29"/>
    </sheetView>
  </sheetViews>
  <sheetFormatPr defaultColWidth="9.140625" defaultRowHeight="15"/>
  <cols>
    <col min="1" max="1" width="16.140625" style="1" bestFit="1" customWidth="1"/>
    <col min="2" max="3" width="12.42578125" style="1" bestFit="1" customWidth="1"/>
    <col min="4" max="4" width="13.5703125" style="1" bestFit="1" customWidth="1"/>
    <col min="5" max="5" width="39.5703125" style="1" customWidth="1"/>
    <col min="6" max="6" width="9.140625" style="1"/>
    <col min="7" max="8" width="12.42578125" style="1" bestFit="1" customWidth="1"/>
    <col min="9" max="16384" width="9.140625" style="1"/>
  </cols>
  <sheetData>
    <row r="2" spans="1:13">
      <c r="A2" s="69" t="s">
        <v>429</v>
      </c>
      <c r="B2" s="92" t="s">
        <v>414</v>
      </c>
      <c r="C2" s="96" t="s">
        <v>415</v>
      </c>
      <c r="D2" s="92" t="s">
        <v>416</v>
      </c>
      <c r="E2" s="87" t="s">
        <v>430</v>
      </c>
      <c r="G2" s="1" t="s">
        <v>417</v>
      </c>
    </row>
    <row r="3" spans="1:13">
      <c r="A3" s="41" t="s">
        <v>408</v>
      </c>
      <c r="B3" s="91">
        <f>Nigeria!G43*12</f>
        <v>42334.733836426676</v>
      </c>
      <c r="C3" s="95">
        <f>B3*2</f>
        <v>84669.467672853352</v>
      </c>
      <c r="D3" s="91">
        <f>B3*3</f>
        <v>127004.20150928003</v>
      </c>
      <c r="E3" s="83" t="s">
        <v>445</v>
      </c>
      <c r="G3" s="2">
        <f>C3-B3</f>
        <v>42334.733836426676</v>
      </c>
      <c r="H3" s="2">
        <f>D3-C3</f>
        <v>42334.733836426676</v>
      </c>
    </row>
    <row r="4" spans="1:13">
      <c r="A4" s="41" t="s">
        <v>298</v>
      </c>
      <c r="B4" s="91">
        <f>B3*B5</f>
        <v>24554.145625127472</v>
      </c>
      <c r="C4" s="95">
        <f>C3*C5</f>
        <v>51648.375280440545</v>
      </c>
      <c r="D4" s="91">
        <f>D3*D5</f>
        <v>80012.646950846422</v>
      </c>
      <c r="E4" s="83"/>
      <c r="G4" s="2">
        <f>C4-B4</f>
        <v>27094.229655313073</v>
      </c>
      <c r="H4" s="2">
        <f>D4-C4</f>
        <v>28364.271670405877</v>
      </c>
    </row>
    <row r="5" spans="1:13">
      <c r="A5" s="41" t="s">
        <v>15</v>
      </c>
      <c r="B5" s="90">
        <v>0.57999999999999996</v>
      </c>
      <c r="C5" s="67">
        <f>B5+3%</f>
        <v>0.61</v>
      </c>
      <c r="D5" s="90">
        <f>C5+2%</f>
        <v>0.63</v>
      </c>
      <c r="E5" s="83" t="s">
        <v>431</v>
      </c>
      <c r="G5" s="3">
        <f>G4/G3</f>
        <v>0.64</v>
      </c>
      <c r="H5" s="3">
        <f>H4/H3</f>
        <v>0.67</v>
      </c>
    </row>
    <row r="6" spans="1:13">
      <c r="A6" s="41" t="s">
        <v>316</v>
      </c>
      <c r="B6" s="91">
        <v>100000</v>
      </c>
      <c r="C6" s="95">
        <f>B6+8000</f>
        <v>108000</v>
      </c>
      <c r="D6" s="91">
        <f>C6+8000</f>
        <v>116000</v>
      </c>
      <c r="E6" s="83" t="s">
        <v>432</v>
      </c>
      <c r="M6" s="1" t="s">
        <v>418</v>
      </c>
    </row>
    <row r="7" spans="1:13">
      <c r="A7" s="41" t="s">
        <v>19</v>
      </c>
      <c r="B7" s="91">
        <f>B6/15</f>
        <v>6666.666666666667</v>
      </c>
      <c r="C7" s="95">
        <f>C6/15</f>
        <v>7200</v>
      </c>
      <c r="D7" s="91">
        <f>D6/15</f>
        <v>7733.333333333333</v>
      </c>
      <c r="E7" s="83"/>
    </row>
    <row r="8" spans="1:13">
      <c r="A8" s="41" t="s">
        <v>409</v>
      </c>
      <c r="B8" s="91">
        <f>B4-B7</f>
        <v>17887.478958460804</v>
      </c>
      <c r="C8" s="95">
        <f>C4-C7</f>
        <v>44448.375280440545</v>
      </c>
      <c r="D8" s="91">
        <f>D4-D7</f>
        <v>72279.313617513093</v>
      </c>
      <c r="E8" s="83"/>
    </row>
    <row r="9" spans="1:13">
      <c r="A9" s="41" t="s">
        <v>24</v>
      </c>
      <c r="B9" s="91">
        <f>B8*0.3</f>
        <v>5366.2436875382409</v>
      </c>
      <c r="C9" s="95">
        <f>C8*0.3</f>
        <v>13334.512584132162</v>
      </c>
      <c r="D9" s="91">
        <f>D8*0.3</f>
        <v>21683.794085253929</v>
      </c>
      <c r="E9" s="83"/>
    </row>
    <row r="10" spans="1:13">
      <c r="A10" s="41" t="s">
        <v>410</v>
      </c>
      <c r="B10" s="91">
        <f>(B4-B7)*0.7</f>
        <v>12521.235270922562</v>
      </c>
      <c r="C10" s="95">
        <f>(C4-C7)*0.7</f>
        <v>31113.862696308381</v>
      </c>
      <c r="D10" s="91">
        <f>(D4-D7)*0.7</f>
        <v>50595.519532259161</v>
      </c>
      <c r="E10" s="83"/>
    </row>
    <row r="11" spans="1:13">
      <c r="A11" s="41" t="s">
        <v>411</v>
      </c>
      <c r="B11" s="91">
        <f>B6/2</f>
        <v>50000</v>
      </c>
      <c r="C11" s="95">
        <f>C6/2</f>
        <v>54000</v>
      </c>
      <c r="D11" s="91">
        <f>D6/2</f>
        <v>58000</v>
      </c>
      <c r="E11" s="83"/>
    </row>
    <row r="12" spans="1:13">
      <c r="A12" s="41" t="s">
        <v>412</v>
      </c>
      <c r="B12" s="66">
        <f>(B4-B9)/B6</f>
        <v>0.1918790193758923</v>
      </c>
      <c r="C12" s="94">
        <f>(C4-C9)/C6</f>
        <v>0.35475798792878133</v>
      </c>
      <c r="D12" s="66">
        <f>(D4-D9)/D6</f>
        <v>0.50283493849648697</v>
      </c>
      <c r="E12" s="83"/>
    </row>
    <row r="13" spans="1:13" ht="15.75" thickBot="1">
      <c r="A13" s="41" t="s">
        <v>139</v>
      </c>
      <c r="B13" s="89">
        <v>0.157</v>
      </c>
      <c r="C13" s="93">
        <f>B13</f>
        <v>0.157</v>
      </c>
      <c r="D13" s="89">
        <f>C13</f>
        <v>0.157</v>
      </c>
      <c r="E13" s="83"/>
    </row>
    <row r="14" spans="1:13">
      <c r="A14" s="68" t="s">
        <v>413</v>
      </c>
      <c r="B14" s="78">
        <f>B12-B13</f>
        <v>3.4879019375892301E-2</v>
      </c>
      <c r="C14" s="78">
        <f>C12-C13</f>
        <v>0.19775798792878133</v>
      </c>
      <c r="D14" s="88">
        <f>D12-D13</f>
        <v>0.34583493849648694</v>
      </c>
      <c r="E14" s="97" t="s">
        <v>446</v>
      </c>
    </row>
    <row r="18" spans="1:5">
      <c r="A18" s="1" t="s">
        <v>170</v>
      </c>
      <c r="B18" s="2">
        <f>Nigeria!G54</f>
        <v>1037.836</v>
      </c>
    </row>
    <row r="19" spans="1:5">
      <c r="B19" s="2">
        <f>Nigeria!G70</f>
        <v>701.27300000000002</v>
      </c>
    </row>
    <row r="20" spans="1:5">
      <c r="A20" s="1" t="s">
        <v>419</v>
      </c>
      <c r="B20" s="3">
        <f>B19/B18</f>
        <v>0.6757069517727271</v>
      </c>
    </row>
    <row r="21" spans="1:5">
      <c r="A21" s="1" t="s">
        <v>420</v>
      </c>
      <c r="B21" s="2">
        <f>(Valuation!D28-Valuation!D7)*0.78</f>
        <v>-63.548939999999966</v>
      </c>
      <c r="C21" s="1" t="s">
        <v>421</v>
      </c>
    </row>
    <row r="22" spans="1:5">
      <c r="A22" s="1" t="s">
        <v>422</v>
      </c>
      <c r="B22" s="2">
        <f>B19+B21</f>
        <v>637.72406000000001</v>
      </c>
    </row>
    <row r="23" spans="1:5">
      <c r="A23" s="1" t="s">
        <v>423</v>
      </c>
      <c r="B23" s="3">
        <f>B22/B18</f>
        <v>0.61447479177827713</v>
      </c>
    </row>
    <row r="24" spans="1:5">
      <c r="A24" s="1" t="s">
        <v>424</v>
      </c>
    </row>
    <row r="29" spans="1:5">
      <c r="C29" s="1" t="s">
        <v>203</v>
      </c>
      <c r="D29" s="1" t="s">
        <v>486</v>
      </c>
    </row>
    <row r="30" spans="1:5">
      <c r="A30" s="105" t="s">
        <v>433</v>
      </c>
      <c r="B30" s="104"/>
      <c r="C30" s="84">
        <v>0.65</v>
      </c>
      <c r="D30" s="84">
        <f>1-C30</f>
        <v>0.35</v>
      </c>
      <c r="E30" s="1095">
        <f>Valuation!C51</f>
        <v>10.055391618999746</v>
      </c>
    </row>
    <row r="31" spans="1:5">
      <c r="A31" s="82" t="s">
        <v>434</v>
      </c>
      <c r="B31" s="75"/>
      <c r="C31" s="81">
        <v>0.12</v>
      </c>
      <c r="D31" s="81">
        <v>1.4800000000000001E-2</v>
      </c>
    </row>
    <row r="32" spans="1:5">
      <c r="A32" s="86" t="s">
        <v>435</v>
      </c>
      <c r="B32" s="75"/>
      <c r="C32" s="81">
        <v>0.08</v>
      </c>
      <c r="D32" s="81">
        <v>0.04</v>
      </c>
    </row>
    <row r="33" spans="1:6">
      <c r="A33" s="74" t="s">
        <v>436</v>
      </c>
      <c r="B33" s="75"/>
      <c r="C33" s="103">
        <v>1.2</v>
      </c>
      <c r="D33" s="103">
        <v>1.2</v>
      </c>
    </row>
    <row r="34" spans="1:6">
      <c r="A34" s="102" t="s">
        <v>437</v>
      </c>
      <c r="B34" s="75"/>
      <c r="C34" s="73">
        <f>C31+C32*C33</f>
        <v>0.216</v>
      </c>
      <c r="D34" s="73">
        <f>D31+D32*D33</f>
        <v>6.2799999999999995E-2</v>
      </c>
    </row>
    <row r="35" spans="1:6">
      <c r="A35" s="74" t="s">
        <v>438</v>
      </c>
      <c r="B35" s="75"/>
      <c r="C35" s="101">
        <f>C31+2%</f>
        <v>0.13999999999999999</v>
      </c>
      <c r="D35" s="101">
        <f>D31+2%</f>
        <v>3.4799999999999998E-2</v>
      </c>
    </row>
    <row r="36" spans="1:6">
      <c r="A36" s="74" t="s">
        <v>439</v>
      </c>
      <c r="B36" s="75"/>
      <c r="C36" s="81">
        <v>0.3</v>
      </c>
      <c r="D36" s="81">
        <v>0.21</v>
      </c>
    </row>
    <row r="37" spans="1:6">
      <c r="A37" s="102" t="s">
        <v>440</v>
      </c>
      <c r="B37" s="75"/>
      <c r="C37" s="73">
        <f>C35*(1-C36)</f>
        <v>9.799999999999999E-2</v>
      </c>
      <c r="D37" s="73">
        <f>D35*(1-D36)</f>
        <v>2.7491999999999999E-2</v>
      </c>
    </row>
    <row r="38" spans="1:6">
      <c r="A38" s="74" t="s">
        <v>441</v>
      </c>
      <c r="B38" s="75"/>
      <c r="C38" s="100">
        <v>0.5</v>
      </c>
      <c r="D38" s="100">
        <v>0.5</v>
      </c>
    </row>
    <row r="39" spans="1:6" ht="16.5">
      <c r="A39" s="72" t="s">
        <v>139</v>
      </c>
      <c r="B39" s="75"/>
      <c r="C39" s="85">
        <f>+(C38*C34)+((1-C38)*C37)</f>
        <v>0.157</v>
      </c>
      <c r="D39" s="85">
        <f>+(D38*D34)+((1-D38)*D37)</f>
        <v>4.5145999999999999E-2</v>
      </c>
    </row>
    <row r="40" spans="1:6">
      <c r="A40" s="102" t="s">
        <v>442</v>
      </c>
      <c r="B40" s="75"/>
      <c r="C40" s="73"/>
      <c r="D40" s="73"/>
    </row>
    <row r="41" spans="1:6">
      <c r="A41" s="86" t="s">
        <v>443</v>
      </c>
      <c r="B41" s="75"/>
      <c r="C41" s="71">
        <v>0.06</v>
      </c>
      <c r="D41" s="71">
        <v>0.02</v>
      </c>
    </row>
    <row r="42" spans="1:6">
      <c r="A42" s="80" t="s">
        <v>444</v>
      </c>
      <c r="B42" s="99"/>
      <c r="C42" s="98">
        <f>1/(C39-C41)</f>
        <v>10.309278350515463</v>
      </c>
      <c r="D42" s="98">
        <f>1/(D39-D41)</f>
        <v>39.76775630318938</v>
      </c>
    </row>
    <row r="43" spans="1:6">
      <c r="C43" s="70">
        <f>C39*C30</f>
        <v>0.10205</v>
      </c>
      <c r="D43" s="70">
        <f>D39*D30</f>
        <v>1.5801099999999998E-2</v>
      </c>
      <c r="E43" s="974">
        <f>D43+C43</f>
        <v>0.1178511</v>
      </c>
      <c r="F43" s="1" t="s">
        <v>139</v>
      </c>
    </row>
    <row r="44" spans="1:6">
      <c r="C44" s="79">
        <f>C41*C30</f>
        <v>3.9E-2</v>
      </c>
      <c r="D44" s="79">
        <f>D41*D30</f>
        <v>6.9999999999999993E-3</v>
      </c>
      <c r="E44" s="70">
        <f>D44+C44</f>
        <v>4.5999999999999999E-2</v>
      </c>
    </row>
    <row r="52" spans="1:4">
      <c r="B52" s="1" t="s">
        <v>473</v>
      </c>
      <c r="C52" s="1" t="s">
        <v>474</v>
      </c>
      <c r="D52" s="1" t="s">
        <v>475</v>
      </c>
    </row>
    <row r="53" spans="1:4">
      <c r="A53" s="1" t="s">
        <v>228</v>
      </c>
      <c r="B53" s="34">
        <v>1.4E-2</v>
      </c>
      <c r="C53" s="34">
        <v>8.5999999999999993E-2</v>
      </c>
      <c r="D53" s="34">
        <v>0.14099999999999999</v>
      </c>
    </row>
    <row r="54" spans="1:4">
      <c r="A54" s="1" t="s">
        <v>185</v>
      </c>
      <c r="B54" s="34">
        <v>-1.7999999999999999E-2</v>
      </c>
      <c r="C54" s="34">
        <v>1.2E-2</v>
      </c>
      <c r="D54" s="34">
        <v>0.03</v>
      </c>
    </row>
    <row r="55" spans="1:4">
      <c r="A55" s="1" t="s">
        <v>235</v>
      </c>
      <c r="B55" s="34">
        <v>2.9000000000000001E-2</v>
      </c>
      <c r="C55" s="34">
        <v>4.7E-2</v>
      </c>
      <c r="D55" s="34">
        <v>6.4000000000000001E-2</v>
      </c>
    </row>
    <row r="56" spans="1:4">
      <c r="A56" s="1" t="s">
        <v>157</v>
      </c>
      <c r="B56" s="34">
        <v>-8.0000000000000002E-3</v>
      </c>
      <c r="C56" s="34">
        <v>6.6000000000000003E-2</v>
      </c>
      <c r="D56" s="34">
        <v>0.14099999999999999</v>
      </c>
    </row>
    <row r="57" spans="1:4">
      <c r="A57" s="1" t="s">
        <v>471</v>
      </c>
      <c r="B57" s="34">
        <v>7.0000000000000001E-3</v>
      </c>
      <c r="C57" s="34">
        <v>3.4000000000000002E-2</v>
      </c>
      <c r="D57" s="34">
        <v>0.06</v>
      </c>
    </row>
    <row r="58" spans="1:4">
      <c r="A58" s="1" t="s">
        <v>472</v>
      </c>
      <c r="B58" s="34">
        <f>B14</f>
        <v>3.4879019375892301E-2</v>
      </c>
      <c r="C58" s="34">
        <f>C14</f>
        <v>0.19775798792878133</v>
      </c>
      <c r="D58" s="34">
        <f>D14</f>
        <v>0.34583493849648694</v>
      </c>
    </row>
    <row r="72" spans="1:2">
      <c r="A72" s="1" t="s">
        <v>476</v>
      </c>
      <c r="B72" s="1">
        <v>2.21</v>
      </c>
    </row>
    <row r="73" spans="1:2">
      <c r="A73" s="1" t="s">
        <v>477</v>
      </c>
      <c r="B73" s="1">
        <v>1.87</v>
      </c>
    </row>
    <row r="74" spans="1:2">
      <c r="A74" s="1" t="s">
        <v>478</v>
      </c>
      <c r="B74" s="1">
        <v>1.65</v>
      </c>
    </row>
    <row r="75" spans="1:2">
      <c r="A75" s="1" t="s">
        <v>479</v>
      </c>
      <c r="B75" s="1">
        <v>1.44</v>
      </c>
    </row>
    <row r="76" spans="1:2">
      <c r="A76" s="1" t="s">
        <v>480</v>
      </c>
      <c r="B76" s="1">
        <v>1.26</v>
      </c>
    </row>
    <row r="77" spans="1:2">
      <c r="A77" s="1">
        <v>2020</v>
      </c>
      <c r="B77" s="1">
        <v>1.07</v>
      </c>
    </row>
    <row r="84" spans="1:7">
      <c r="B84" s="1">
        <v>2016</v>
      </c>
      <c r="C84" s="1">
        <f>B84+1</f>
        <v>2017</v>
      </c>
      <c r="D84" s="1">
        <f>C84+1</f>
        <v>2018</v>
      </c>
      <c r="E84" s="1">
        <f>D84+1</f>
        <v>2019</v>
      </c>
      <c r="F84" s="1">
        <f>E84+1</f>
        <v>2020</v>
      </c>
      <c r="G84" s="1" t="s">
        <v>481</v>
      </c>
    </row>
    <row r="85" spans="1:7">
      <c r="A85" s="1" t="s">
        <v>161</v>
      </c>
      <c r="B85" s="1">
        <v>905.6</v>
      </c>
      <c r="C85" s="1">
        <v>1106.95</v>
      </c>
      <c r="D85" s="1">
        <v>1168</v>
      </c>
      <c r="E85" s="1">
        <v>1231</v>
      </c>
      <c r="F85" s="1">
        <v>1403</v>
      </c>
      <c r="G85" s="1">
        <f>(F85/B85)^(1/4)-1</f>
        <v>0.11565602281374576</v>
      </c>
    </row>
    <row r="86" spans="1:7">
      <c r="A86" s="1" t="s">
        <v>483</v>
      </c>
      <c r="B86" s="1">
        <f>B85-685.92</f>
        <v>219.68000000000006</v>
      </c>
      <c r="C86" s="1">
        <f>C85-788.2</f>
        <v>318.75</v>
      </c>
      <c r="D86" s="1">
        <f>D85-766.7</f>
        <v>401.29999999999995</v>
      </c>
      <c r="E86" s="1">
        <f>E85-810.96</f>
        <v>420.03999999999996</v>
      </c>
      <c r="F86" s="1">
        <f>F85-838.42</f>
        <v>564.58000000000004</v>
      </c>
    </row>
    <row r="87" spans="1:7">
      <c r="A87" s="1" t="s">
        <v>484</v>
      </c>
      <c r="B87" s="1">
        <f>B86/B85</f>
        <v>0.24257950530035341</v>
      </c>
      <c r="C87" s="1">
        <f>C86/C85</f>
        <v>0.28795338542842946</v>
      </c>
      <c r="D87" s="1">
        <f>D86/D85</f>
        <v>0.34357876712328761</v>
      </c>
      <c r="E87" s="1">
        <f>E86/E85</f>
        <v>0.3412185215272136</v>
      </c>
      <c r="F87" s="1">
        <f>F86/F85</f>
        <v>0.40240912330719891</v>
      </c>
    </row>
    <row r="88" spans="1:7">
      <c r="A88" s="1" t="s">
        <v>10</v>
      </c>
      <c r="B88" s="1">
        <v>382.96</v>
      </c>
      <c r="C88" s="1">
        <v>527.01900000000001</v>
      </c>
      <c r="D88" s="1">
        <v>550.72199999999998</v>
      </c>
      <c r="E88" s="1">
        <v>668.61400000000003</v>
      </c>
      <c r="F88" s="1">
        <v>819.01400000000001</v>
      </c>
      <c r="G88" s="1">
        <f>(F88/B88)^(1/4)-1</f>
        <v>0.20930118312027313</v>
      </c>
    </row>
    <row r="89" spans="1:7">
      <c r="A89" s="1" t="s">
        <v>482</v>
      </c>
      <c r="B89" s="1">
        <f>B88/B85</f>
        <v>0.42287985865724376</v>
      </c>
      <c r="C89" s="1">
        <f>C88/C85</f>
        <v>0.47610009485523286</v>
      </c>
      <c r="D89" s="1">
        <f>D88/D85</f>
        <v>0.47150856164383559</v>
      </c>
      <c r="E89" s="1">
        <f>E88/E85</f>
        <v>0.54314703493095051</v>
      </c>
      <c r="F89" s="1">
        <f>F88/F85</f>
        <v>0.58375908766928009</v>
      </c>
    </row>
    <row r="92" spans="1:7">
      <c r="B92" s="1">
        <v>2016</v>
      </c>
      <c r="C92" s="1">
        <f>C84</f>
        <v>2017</v>
      </c>
      <c r="D92" s="1">
        <f>D84</f>
        <v>2018</v>
      </c>
      <c r="E92" s="1">
        <f>E84</f>
        <v>2019</v>
      </c>
      <c r="F92" s="1">
        <f>F84</f>
        <v>2020</v>
      </c>
    </row>
    <row r="93" spans="1:7">
      <c r="A93" s="1" t="s">
        <v>484</v>
      </c>
      <c r="B93" s="3">
        <f>B87</f>
        <v>0.24257950530035341</v>
      </c>
      <c r="C93" s="3">
        <f>C87</f>
        <v>0.28795338542842946</v>
      </c>
      <c r="D93" s="3">
        <f>D87</f>
        <v>0.34357876712328761</v>
      </c>
      <c r="E93" s="3">
        <f>E87</f>
        <v>0.3412185215272136</v>
      </c>
      <c r="F93" s="3">
        <f>F87</f>
        <v>0.40240912330719891</v>
      </c>
    </row>
    <row r="94" spans="1:7">
      <c r="A94" s="1" t="s">
        <v>485</v>
      </c>
      <c r="B94" s="3">
        <f>B89</f>
        <v>0.42287985865724376</v>
      </c>
      <c r="C94" s="3">
        <f>C89</f>
        <v>0.47610009485523286</v>
      </c>
      <c r="D94" s="3">
        <f>D89</f>
        <v>0.47150856164383559</v>
      </c>
      <c r="E94" s="3">
        <f>E89</f>
        <v>0.54314703493095051</v>
      </c>
      <c r="F94" s="3">
        <f>F89</f>
        <v>0.58375908766928009</v>
      </c>
      <c r="G94" s="34">
        <f>F94-B94</f>
        <v>0.16087922901203633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8828B-D1BF-4E3F-983A-B4D01A7AB17D}">
  <sheetPr codeName="Sheet2">
    <tabColor theme="0"/>
  </sheetPr>
  <dimension ref="A1:FJ72"/>
  <sheetViews>
    <sheetView zoomScale="72" zoomScaleNormal="72" workbookViewId="0"/>
  </sheetViews>
  <sheetFormatPr defaultRowHeight="15"/>
  <cols>
    <col min="1" max="1" width="1.85546875" customWidth="1"/>
    <col min="2" max="2" width="255.5703125" bestFit="1" customWidth="1"/>
  </cols>
  <sheetData>
    <row r="1" spans="1:166">
      <c r="A1" s="480"/>
      <c r="B1" s="480"/>
      <c r="C1" s="480"/>
      <c r="D1" s="480"/>
      <c r="E1" s="480"/>
      <c r="F1" s="480"/>
      <c r="G1" s="480"/>
      <c r="H1" s="480"/>
      <c r="I1" s="480"/>
      <c r="J1" s="480"/>
      <c r="K1" s="480"/>
      <c r="L1" s="480"/>
      <c r="M1" s="480"/>
      <c r="N1" s="480"/>
      <c r="O1" s="480"/>
      <c r="P1" s="480"/>
      <c r="Q1" s="480"/>
      <c r="R1" s="480"/>
      <c r="S1" s="480"/>
      <c r="T1" s="480"/>
      <c r="U1" s="480"/>
      <c r="V1" s="481"/>
      <c r="W1" s="481"/>
      <c r="X1" s="481"/>
      <c r="Y1" s="481"/>
      <c r="Z1" s="481"/>
      <c r="AA1" s="481"/>
      <c r="AB1" s="481"/>
      <c r="AC1" s="481"/>
      <c r="AD1" s="481"/>
      <c r="AE1" s="481"/>
      <c r="AF1" s="481"/>
      <c r="AG1" s="481"/>
      <c r="AH1" s="481"/>
      <c r="AI1" s="481"/>
      <c r="AJ1" s="481"/>
      <c r="AK1" s="481"/>
      <c r="AL1" s="481"/>
      <c r="AM1" s="309"/>
      <c r="AN1" s="309"/>
      <c r="AO1" s="309"/>
      <c r="AP1" s="309"/>
      <c r="AQ1" s="309"/>
      <c r="AR1" s="310"/>
      <c r="AS1" s="310"/>
      <c r="AT1" s="310"/>
      <c r="AU1" s="310"/>
      <c r="AV1" s="310"/>
      <c r="AW1" s="310"/>
      <c r="AX1" s="310"/>
      <c r="AY1" s="310"/>
      <c r="AZ1" s="310"/>
      <c r="BA1" s="310"/>
      <c r="BB1" s="310"/>
      <c r="BC1" s="310"/>
      <c r="BD1" s="310"/>
      <c r="BE1" s="310"/>
      <c r="BF1" s="310"/>
      <c r="BG1" s="310"/>
      <c r="BH1" s="310"/>
      <c r="BI1" s="310"/>
      <c r="BJ1" s="310"/>
      <c r="BK1" s="122"/>
      <c r="BL1" s="122"/>
      <c r="BM1" s="122"/>
      <c r="BN1" s="122"/>
      <c r="BO1" s="122"/>
      <c r="BP1" s="122"/>
      <c r="BQ1" s="122"/>
      <c r="BR1" s="122"/>
      <c r="BS1" s="122"/>
      <c r="BT1" s="122"/>
      <c r="BU1" s="122"/>
      <c r="BV1" s="122"/>
      <c r="BW1" s="122"/>
      <c r="BX1" s="122"/>
      <c r="BY1" s="122"/>
      <c r="BZ1" s="122"/>
      <c r="CA1" s="122"/>
      <c r="CB1" s="122"/>
      <c r="CC1" s="122"/>
      <c r="CD1" s="122"/>
      <c r="CE1" s="122"/>
      <c r="CF1" s="122"/>
      <c r="CG1" s="122"/>
      <c r="CH1" s="122"/>
      <c r="CI1" s="122"/>
      <c r="CJ1" s="122"/>
      <c r="CK1" s="122"/>
      <c r="CL1" s="122"/>
      <c r="CM1" s="122"/>
      <c r="CN1" s="122"/>
      <c r="CO1" s="122"/>
      <c r="CP1" s="122"/>
      <c r="CQ1" s="122"/>
      <c r="CR1" s="122"/>
      <c r="CS1" s="122"/>
      <c r="CT1" s="122"/>
      <c r="CU1" s="122"/>
      <c r="CV1" s="122"/>
      <c r="CW1" s="122"/>
      <c r="CX1" s="122"/>
      <c r="CY1" s="122"/>
      <c r="CZ1" s="122"/>
      <c r="DA1" s="122"/>
      <c r="DB1" s="122"/>
      <c r="DC1" s="122"/>
      <c r="DD1" s="122"/>
      <c r="DE1" s="122"/>
      <c r="DF1" s="122"/>
      <c r="DG1" s="122"/>
      <c r="DH1" s="122"/>
      <c r="DI1" s="122"/>
      <c r="DJ1" s="122"/>
      <c r="DK1" s="122"/>
      <c r="DL1" s="122"/>
      <c r="DM1" s="122"/>
      <c r="DN1" s="122"/>
      <c r="DO1" s="122"/>
      <c r="DP1" s="122"/>
      <c r="DQ1" s="122"/>
      <c r="DR1" s="122"/>
      <c r="DS1" s="122"/>
      <c r="DT1" s="122"/>
      <c r="DU1" s="122"/>
      <c r="DV1" s="122"/>
      <c r="DW1" s="122"/>
      <c r="DX1" s="122"/>
      <c r="DY1" s="122"/>
      <c r="DZ1" s="122"/>
      <c r="EA1" s="122"/>
      <c r="EB1" s="122"/>
      <c r="EC1" s="122"/>
      <c r="ED1" s="122"/>
      <c r="EE1" s="122"/>
      <c r="EF1" s="122"/>
      <c r="EG1" s="122"/>
      <c r="EH1" s="122"/>
      <c r="EI1" s="122"/>
      <c r="EJ1" s="122"/>
      <c r="EK1" s="122"/>
      <c r="EL1" s="122"/>
      <c r="EM1" s="122"/>
      <c r="EN1" s="122"/>
      <c r="EO1" s="122"/>
      <c r="EP1" s="122"/>
      <c r="EQ1" s="122"/>
      <c r="ER1" s="122"/>
      <c r="ES1" s="122"/>
      <c r="ET1" s="122"/>
      <c r="EU1" s="122"/>
      <c r="EV1" s="122"/>
      <c r="EW1" s="122"/>
      <c r="EX1" s="122"/>
      <c r="EY1" s="122"/>
      <c r="EZ1" s="122"/>
      <c r="FA1" s="122"/>
      <c r="FB1" s="122"/>
      <c r="FC1" s="122"/>
      <c r="FD1" s="122"/>
      <c r="FE1" s="122"/>
      <c r="FF1" s="122"/>
      <c r="FG1" s="122"/>
      <c r="FH1" s="122"/>
      <c r="FI1" s="122"/>
      <c r="FJ1" s="122"/>
    </row>
    <row r="2" spans="1:166">
      <c r="A2" s="480"/>
      <c r="B2" s="480"/>
      <c r="C2" s="480"/>
      <c r="D2" s="480"/>
      <c r="E2" s="480"/>
      <c r="F2" s="480"/>
      <c r="G2" s="480"/>
      <c r="H2" s="480"/>
      <c r="I2" s="480"/>
      <c r="J2" s="480"/>
      <c r="K2" s="480"/>
      <c r="L2" s="480"/>
      <c r="M2" s="480"/>
      <c r="N2" s="480"/>
      <c r="O2" s="480"/>
      <c r="P2" s="480"/>
      <c r="Q2" s="480"/>
      <c r="R2" s="480"/>
      <c r="S2" s="480"/>
      <c r="T2" s="480"/>
      <c r="U2" s="480"/>
      <c r="V2" s="481"/>
      <c r="W2" s="481"/>
      <c r="X2" s="481"/>
      <c r="Y2" s="481"/>
      <c r="Z2" s="481"/>
      <c r="AA2" s="481"/>
      <c r="AB2" s="481"/>
      <c r="AC2" s="481"/>
      <c r="AD2" s="481"/>
      <c r="AE2" s="481"/>
      <c r="AF2" s="481"/>
      <c r="AG2" s="481"/>
      <c r="AH2" s="481"/>
      <c r="AI2" s="481"/>
      <c r="AJ2" s="481"/>
      <c r="AK2" s="481"/>
      <c r="AL2" s="481"/>
      <c r="AM2" s="309"/>
      <c r="AN2" s="309"/>
      <c r="AO2" s="309"/>
      <c r="AP2" s="309"/>
      <c r="AQ2" s="309"/>
      <c r="AR2" s="310"/>
      <c r="AS2" s="310"/>
      <c r="AT2" s="310"/>
      <c r="AU2" s="310"/>
      <c r="AV2" s="310"/>
      <c r="AW2" s="310"/>
      <c r="AX2" s="310"/>
      <c r="AY2" s="310"/>
      <c r="AZ2" s="310"/>
      <c r="BA2" s="310"/>
      <c r="BB2" s="310"/>
      <c r="BC2" s="310"/>
      <c r="BD2" s="310"/>
      <c r="BE2" s="310"/>
      <c r="BF2" s="310"/>
      <c r="BG2" s="310"/>
      <c r="BH2" s="310"/>
      <c r="BI2" s="310"/>
      <c r="BJ2" s="310"/>
      <c r="BK2" s="122"/>
      <c r="BL2" s="122"/>
      <c r="BM2" s="122"/>
      <c r="BN2" s="122"/>
      <c r="BO2" s="122"/>
      <c r="BP2" s="122"/>
      <c r="BQ2" s="122"/>
      <c r="BR2" s="122"/>
      <c r="BS2" s="122"/>
      <c r="BT2" s="122"/>
      <c r="BU2" s="122"/>
      <c r="BV2" s="122"/>
      <c r="BW2" s="122"/>
      <c r="BX2" s="122"/>
      <c r="BY2" s="122"/>
      <c r="BZ2" s="122"/>
      <c r="CA2" s="122"/>
      <c r="CB2" s="122"/>
      <c r="CC2" s="122"/>
      <c r="CD2" s="122"/>
      <c r="CE2" s="122"/>
      <c r="CF2" s="122"/>
      <c r="CG2" s="122"/>
      <c r="CH2" s="122"/>
      <c r="CI2" s="122"/>
      <c r="CJ2" s="122"/>
      <c r="CK2" s="122"/>
      <c r="CL2" s="122"/>
      <c r="CM2" s="122"/>
      <c r="CN2" s="122"/>
      <c r="CO2" s="122"/>
      <c r="CP2" s="122"/>
      <c r="CQ2" s="122"/>
      <c r="CR2" s="122"/>
      <c r="CS2" s="122"/>
      <c r="CT2" s="122"/>
      <c r="CU2" s="122"/>
      <c r="CV2" s="122"/>
      <c r="CW2" s="122"/>
      <c r="CX2" s="122"/>
      <c r="CY2" s="122"/>
      <c r="CZ2" s="122"/>
      <c r="DA2" s="122"/>
      <c r="DB2" s="122"/>
      <c r="DC2" s="122"/>
      <c r="DD2" s="122"/>
      <c r="DE2" s="122"/>
      <c r="DF2" s="122"/>
      <c r="DG2" s="122"/>
      <c r="DH2" s="122"/>
      <c r="DI2" s="122"/>
      <c r="DJ2" s="122"/>
      <c r="DK2" s="122"/>
      <c r="DL2" s="122"/>
      <c r="DM2" s="122"/>
      <c r="DN2" s="122"/>
      <c r="DO2" s="122"/>
      <c r="DP2" s="122"/>
      <c r="DQ2" s="122"/>
      <c r="DR2" s="122"/>
      <c r="DS2" s="122"/>
      <c r="DT2" s="122"/>
      <c r="DU2" s="122"/>
      <c r="DV2" s="122"/>
      <c r="DW2" s="122"/>
      <c r="DX2" s="122"/>
      <c r="DY2" s="122"/>
      <c r="DZ2" s="122"/>
      <c r="EA2" s="122"/>
      <c r="EB2" s="122"/>
      <c r="EC2" s="122"/>
      <c r="ED2" s="122"/>
      <c r="EE2" s="122"/>
      <c r="EF2" s="122"/>
      <c r="EG2" s="122"/>
      <c r="EH2" s="122"/>
      <c r="EI2" s="122"/>
      <c r="EJ2" s="122"/>
      <c r="EK2" s="122"/>
      <c r="EL2" s="122"/>
      <c r="EM2" s="122"/>
      <c r="EN2" s="122"/>
      <c r="EO2" s="122"/>
      <c r="EP2" s="122"/>
      <c r="EQ2" s="122"/>
      <c r="ER2" s="122"/>
      <c r="ES2" s="122"/>
      <c r="ET2" s="122"/>
      <c r="EU2" s="122"/>
      <c r="EV2" s="122"/>
      <c r="EW2" s="122"/>
      <c r="EX2" s="122"/>
      <c r="EY2" s="122"/>
      <c r="EZ2" s="122"/>
      <c r="FA2" s="122"/>
      <c r="FB2" s="122"/>
      <c r="FC2" s="122"/>
      <c r="FD2" s="122"/>
      <c r="FE2" s="122"/>
      <c r="FF2" s="122"/>
      <c r="FG2" s="122"/>
      <c r="FH2" s="122"/>
      <c r="FI2" s="122"/>
      <c r="FJ2" s="122"/>
    </row>
    <row r="3" spans="1:166">
      <c r="A3" s="480"/>
      <c r="B3" s="480"/>
      <c r="C3" s="480"/>
      <c r="D3" s="480"/>
      <c r="E3" s="480"/>
      <c r="F3" s="480"/>
      <c r="G3" s="480"/>
      <c r="H3" s="480"/>
      <c r="I3" s="480"/>
      <c r="J3" s="480"/>
      <c r="K3" s="480"/>
      <c r="L3" s="480"/>
      <c r="M3" s="480"/>
      <c r="N3" s="480"/>
      <c r="O3" s="480"/>
      <c r="P3" s="480"/>
      <c r="Q3" s="480"/>
      <c r="R3" s="480"/>
      <c r="S3" s="480"/>
      <c r="T3" s="480"/>
      <c r="U3" s="480"/>
      <c r="V3" s="481"/>
      <c r="W3" s="481"/>
      <c r="X3" s="481"/>
      <c r="Y3" s="481"/>
      <c r="Z3" s="481"/>
      <c r="AA3" s="481"/>
      <c r="AB3" s="481"/>
      <c r="AC3" s="481"/>
      <c r="AD3" s="481"/>
      <c r="AE3" s="481"/>
      <c r="AF3" s="481"/>
      <c r="AG3" s="481"/>
      <c r="AH3" s="481"/>
      <c r="AI3" s="481"/>
      <c r="AJ3" s="481"/>
      <c r="AK3" s="481"/>
      <c r="AL3" s="481"/>
      <c r="AM3" s="309"/>
      <c r="AN3" s="309"/>
      <c r="AO3" s="309"/>
      <c r="AP3" s="309"/>
      <c r="AQ3" s="309"/>
      <c r="AR3" s="310"/>
      <c r="AS3" s="310"/>
      <c r="AT3" s="310"/>
      <c r="AU3" s="310"/>
      <c r="AV3" s="310"/>
      <c r="AW3" s="310"/>
      <c r="AX3" s="310"/>
      <c r="AY3" s="310"/>
      <c r="AZ3" s="310"/>
      <c r="BA3" s="310"/>
      <c r="BB3" s="310"/>
      <c r="BC3" s="310"/>
      <c r="BD3" s="310"/>
      <c r="BE3" s="310"/>
      <c r="BF3" s="310"/>
      <c r="BG3" s="310"/>
      <c r="BH3" s="310"/>
      <c r="BI3" s="310"/>
      <c r="BJ3" s="310"/>
      <c r="BK3" s="122"/>
      <c r="BL3" s="122"/>
      <c r="BM3" s="122"/>
      <c r="BN3" s="122"/>
      <c r="BO3" s="122"/>
      <c r="BP3" s="122"/>
      <c r="BQ3" s="122"/>
      <c r="BR3" s="122"/>
      <c r="BS3" s="122"/>
      <c r="BT3" s="122"/>
      <c r="BU3" s="122"/>
      <c r="BV3" s="122"/>
      <c r="BW3" s="122"/>
      <c r="BX3" s="122"/>
      <c r="BY3" s="122"/>
      <c r="BZ3" s="122"/>
      <c r="CA3" s="122"/>
      <c r="CB3" s="122"/>
      <c r="CC3" s="122"/>
      <c r="CD3" s="122"/>
      <c r="CE3" s="122"/>
      <c r="CF3" s="122"/>
      <c r="CG3" s="122"/>
      <c r="CH3" s="122"/>
      <c r="CI3" s="122"/>
      <c r="CJ3" s="122"/>
      <c r="CK3" s="122"/>
      <c r="CL3" s="122"/>
      <c r="CM3" s="122"/>
      <c r="CN3" s="122"/>
      <c r="CO3" s="122"/>
      <c r="CP3" s="122"/>
      <c r="CQ3" s="122"/>
      <c r="CR3" s="122"/>
      <c r="CS3" s="122"/>
      <c r="CT3" s="122"/>
      <c r="CU3" s="122"/>
      <c r="CV3" s="122"/>
      <c r="CW3" s="122"/>
      <c r="CX3" s="122"/>
      <c r="CY3" s="122"/>
      <c r="CZ3" s="122"/>
      <c r="DA3" s="122"/>
      <c r="DB3" s="122"/>
      <c r="DC3" s="122"/>
      <c r="DD3" s="122"/>
      <c r="DE3" s="122"/>
      <c r="DF3" s="122"/>
      <c r="DG3" s="122"/>
      <c r="DH3" s="122"/>
      <c r="DI3" s="122"/>
      <c r="DJ3" s="122"/>
      <c r="DK3" s="122"/>
      <c r="DL3" s="122"/>
      <c r="DM3" s="122"/>
      <c r="DN3" s="122"/>
      <c r="DO3" s="122"/>
      <c r="DP3" s="122"/>
      <c r="DQ3" s="122"/>
      <c r="DR3" s="122"/>
      <c r="DS3" s="122"/>
      <c r="DT3" s="122"/>
      <c r="DU3" s="122"/>
      <c r="DV3" s="122"/>
      <c r="DW3" s="122"/>
      <c r="DX3" s="122"/>
      <c r="DY3" s="122"/>
      <c r="DZ3" s="122"/>
      <c r="EA3" s="122"/>
      <c r="EB3" s="122"/>
      <c r="EC3" s="122"/>
      <c r="ED3" s="122"/>
      <c r="EE3" s="122"/>
      <c r="EF3" s="122"/>
      <c r="EG3" s="122"/>
      <c r="EH3" s="122"/>
      <c r="EI3" s="122"/>
      <c r="EJ3" s="122"/>
      <c r="EK3" s="122"/>
      <c r="EL3" s="122"/>
      <c r="EM3" s="122"/>
      <c r="EN3" s="122"/>
      <c r="EO3" s="122"/>
      <c r="EP3" s="122"/>
      <c r="EQ3" s="122"/>
      <c r="ER3" s="122"/>
      <c r="ES3" s="122"/>
      <c r="ET3" s="122"/>
      <c r="EU3" s="122"/>
      <c r="EV3" s="122"/>
      <c r="EW3" s="122"/>
      <c r="EX3" s="122"/>
      <c r="EY3" s="122"/>
      <c r="EZ3" s="122"/>
      <c r="FA3" s="122"/>
      <c r="FB3" s="122"/>
      <c r="FC3" s="122"/>
      <c r="FD3" s="122"/>
      <c r="FE3" s="122"/>
      <c r="FF3" s="122"/>
      <c r="FG3" s="122"/>
      <c r="FH3" s="122"/>
      <c r="FI3" s="122"/>
      <c r="FJ3" s="122"/>
    </row>
    <row r="4" spans="1:166">
      <c r="A4" s="480"/>
      <c r="B4" s="480"/>
      <c r="C4" s="480"/>
      <c r="D4" s="480"/>
      <c r="E4" s="480"/>
      <c r="F4" s="480"/>
      <c r="G4" s="480"/>
      <c r="H4" s="480"/>
      <c r="I4" s="480"/>
      <c r="J4" s="480"/>
      <c r="K4" s="480"/>
      <c r="L4" s="480"/>
      <c r="M4" s="480"/>
      <c r="N4" s="480"/>
      <c r="O4" s="480"/>
      <c r="P4" s="480"/>
      <c r="Q4" s="480"/>
      <c r="R4" s="480"/>
      <c r="S4" s="480"/>
      <c r="T4" s="480"/>
      <c r="U4" s="480"/>
      <c r="V4" s="481"/>
      <c r="W4" s="481"/>
      <c r="X4" s="481"/>
      <c r="Y4" s="481"/>
      <c r="Z4" s="481"/>
      <c r="AA4" s="481"/>
      <c r="AB4" s="481"/>
      <c r="AC4" s="481"/>
      <c r="AD4" s="481"/>
      <c r="AE4" s="481"/>
      <c r="AF4" s="481"/>
      <c r="AG4" s="481"/>
      <c r="AH4" s="481"/>
      <c r="AI4" s="481"/>
      <c r="AJ4" s="481"/>
      <c r="AK4" s="481"/>
      <c r="AL4" s="481"/>
      <c r="AM4" s="309"/>
      <c r="AN4" s="309"/>
      <c r="AO4" s="309"/>
      <c r="AP4" s="309"/>
      <c r="AQ4" s="309"/>
      <c r="AR4" s="310"/>
      <c r="AS4" s="310"/>
      <c r="AT4" s="310"/>
      <c r="AU4" s="310"/>
      <c r="AV4" s="310"/>
      <c r="AW4" s="310"/>
      <c r="AX4" s="310"/>
      <c r="AY4" s="310"/>
      <c r="AZ4" s="310"/>
      <c r="BA4" s="310"/>
      <c r="BB4" s="310"/>
      <c r="BC4" s="310"/>
      <c r="BD4" s="310"/>
      <c r="BE4" s="310"/>
      <c r="BF4" s="310"/>
      <c r="BG4" s="310"/>
      <c r="BH4" s="310"/>
      <c r="BI4" s="310"/>
      <c r="BJ4" s="310"/>
      <c r="BK4" s="122"/>
      <c r="BL4" s="122"/>
      <c r="BM4" s="122"/>
      <c r="BN4" s="122"/>
      <c r="BO4" s="122"/>
      <c r="BP4" s="122"/>
      <c r="BQ4" s="122"/>
      <c r="BR4" s="122"/>
      <c r="BS4" s="122"/>
      <c r="BT4" s="122"/>
      <c r="BU4" s="122"/>
      <c r="BV4" s="122"/>
      <c r="BW4" s="122"/>
      <c r="BX4" s="122"/>
      <c r="BY4" s="122"/>
      <c r="BZ4" s="122"/>
      <c r="CA4" s="122"/>
      <c r="CB4" s="122"/>
      <c r="CC4" s="122"/>
      <c r="CD4" s="122"/>
      <c r="CE4" s="122"/>
      <c r="CF4" s="122"/>
      <c r="CG4" s="122"/>
      <c r="CH4" s="122"/>
      <c r="CI4" s="122"/>
      <c r="CJ4" s="122"/>
      <c r="CK4" s="122"/>
      <c r="CL4" s="122"/>
      <c r="CM4" s="122"/>
      <c r="CN4" s="122"/>
      <c r="CO4" s="122"/>
      <c r="CP4" s="122"/>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2"/>
      <c r="DU4" s="122"/>
      <c r="DV4" s="122"/>
      <c r="DW4" s="122"/>
      <c r="DX4" s="122"/>
      <c r="DY4" s="122"/>
      <c r="DZ4" s="122"/>
      <c r="EA4" s="122"/>
      <c r="EB4" s="122"/>
      <c r="EC4" s="122"/>
      <c r="ED4" s="122"/>
      <c r="EE4" s="122"/>
      <c r="EF4" s="122"/>
      <c r="EG4" s="122"/>
      <c r="EH4" s="122"/>
      <c r="EI4" s="122"/>
      <c r="EJ4" s="122"/>
      <c r="EK4" s="122"/>
      <c r="EL4" s="122"/>
      <c r="EM4" s="122"/>
      <c r="EN4" s="122"/>
      <c r="EO4" s="122"/>
      <c r="EP4" s="122"/>
      <c r="EQ4" s="122"/>
      <c r="ER4" s="122"/>
      <c r="ES4" s="122"/>
      <c r="ET4" s="122"/>
      <c r="EU4" s="122"/>
      <c r="EV4" s="122"/>
      <c r="EW4" s="122"/>
      <c r="EX4" s="122"/>
      <c r="EY4" s="122"/>
      <c r="EZ4" s="122"/>
      <c r="FA4" s="122"/>
      <c r="FB4" s="122"/>
      <c r="FC4" s="122"/>
      <c r="FD4" s="122"/>
      <c r="FE4" s="122"/>
      <c r="FF4" s="122"/>
      <c r="FG4" s="122"/>
      <c r="FH4" s="122"/>
      <c r="FI4" s="122"/>
      <c r="FJ4" s="122"/>
    </row>
    <row r="5" spans="1:166">
      <c r="A5" s="480"/>
      <c r="B5" s="480"/>
      <c r="C5" s="480"/>
      <c r="D5" s="481"/>
      <c r="E5" s="481"/>
      <c r="F5" s="481"/>
      <c r="G5" s="481"/>
      <c r="H5" s="481"/>
      <c r="I5" s="481"/>
      <c r="J5" s="481"/>
      <c r="K5" s="481"/>
      <c r="L5" s="481"/>
      <c r="M5" s="481"/>
      <c r="N5" s="481"/>
      <c r="O5" s="482"/>
      <c r="P5" s="480"/>
      <c r="Q5" s="480"/>
      <c r="R5" s="480"/>
      <c r="S5" s="480"/>
      <c r="T5" s="480"/>
      <c r="U5" s="480"/>
      <c r="V5" s="481"/>
      <c r="W5" s="481"/>
      <c r="X5" s="481"/>
      <c r="Y5" s="481"/>
      <c r="Z5" s="481"/>
      <c r="AA5" s="481"/>
      <c r="AB5" s="481"/>
      <c r="AC5" s="481"/>
      <c r="AD5" s="481"/>
      <c r="AE5" s="481"/>
      <c r="AF5" s="481"/>
      <c r="AG5" s="481"/>
      <c r="AH5" s="481"/>
      <c r="AI5" s="481"/>
      <c r="AJ5" s="481"/>
      <c r="AK5" s="481"/>
      <c r="AL5" s="481"/>
      <c r="AM5" s="309"/>
      <c r="AN5" s="309"/>
      <c r="AO5" s="309"/>
      <c r="AP5" s="309"/>
      <c r="AQ5" s="309"/>
      <c r="AR5" s="310"/>
      <c r="AS5" s="310"/>
      <c r="AT5" s="310"/>
      <c r="AU5" s="310"/>
      <c r="AV5" s="310"/>
      <c r="AW5" s="310"/>
      <c r="AX5" s="310"/>
      <c r="AY5" s="310"/>
      <c r="AZ5" s="310"/>
      <c r="BA5" s="310"/>
      <c r="BB5" s="310"/>
      <c r="BC5" s="310"/>
      <c r="BD5" s="310"/>
      <c r="BE5" s="310"/>
      <c r="BF5" s="310"/>
      <c r="BG5" s="310"/>
      <c r="BH5" s="310"/>
      <c r="BI5" s="310"/>
      <c r="BJ5" s="310"/>
      <c r="BK5" s="123"/>
      <c r="BL5" s="123"/>
      <c r="BM5" s="123"/>
      <c r="BN5" s="123"/>
      <c r="BO5" s="123"/>
      <c r="BP5" s="123"/>
      <c r="BQ5" s="123"/>
      <c r="BR5" s="123"/>
      <c r="BS5" s="123"/>
      <c r="BT5" s="123"/>
      <c r="BU5" s="123"/>
      <c r="BV5" s="123"/>
      <c r="BW5" s="123"/>
      <c r="BX5" s="123"/>
      <c r="BY5" s="123"/>
      <c r="BZ5" s="123"/>
      <c r="CA5" s="123"/>
      <c r="CB5" s="123"/>
      <c r="CC5" s="123"/>
      <c r="CD5" s="123"/>
      <c r="CE5" s="123"/>
      <c r="CF5" s="123"/>
      <c r="CG5" s="123"/>
      <c r="CH5" s="123"/>
      <c r="CI5" s="123"/>
      <c r="CJ5" s="123"/>
      <c r="CK5" s="123"/>
      <c r="CL5" s="123"/>
      <c r="CM5" s="123"/>
      <c r="CN5" s="123"/>
      <c r="CO5" s="123"/>
      <c r="CP5" s="123"/>
      <c r="CQ5" s="123"/>
      <c r="CR5" s="123"/>
      <c r="CS5" s="123"/>
      <c r="CT5" s="123"/>
      <c r="CU5" s="123"/>
      <c r="CV5" s="123"/>
      <c r="CW5" s="123"/>
      <c r="CX5" s="123"/>
      <c r="CY5" s="123"/>
      <c r="CZ5" s="123"/>
      <c r="DA5" s="123"/>
      <c r="DB5" s="123"/>
      <c r="DC5" s="123"/>
      <c r="DD5" s="123"/>
      <c r="DE5" s="123"/>
      <c r="DF5" s="123"/>
      <c r="DG5" s="123"/>
      <c r="DH5" s="123"/>
      <c r="DI5" s="123"/>
      <c r="DJ5" s="123"/>
      <c r="DK5" s="123"/>
      <c r="DL5" s="123"/>
      <c r="DM5" s="123"/>
      <c r="DN5" s="123"/>
      <c r="DO5" s="123"/>
      <c r="DP5" s="123"/>
      <c r="DQ5" s="123"/>
      <c r="DR5" s="123"/>
      <c r="DS5" s="123"/>
      <c r="DT5" s="123"/>
      <c r="DU5" s="123"/>
      <c r="DV5" s="123"/>
      <c r="DW5" s="123"/>
      <c r="DX5" s="123"/>
      <c r="DY5" s="123"/>
      <c r="DZ5" s="123"/>
      <c r="EA5" s="123"/>
      <c r="EB5" s="123"/>
      <c r="EC5" s="123"/>
      <c r="ED5" s="123"/>
      <c r="EE5" s="123"/>
      <c r="EF5" s="123"/>
      <c r="EG5" s="123"/>
      <c r="EH5" s="123"/>
      <c r="EI5" s="123"/>
      <c r="EJ5" s="123"/>
      <c r="EK5" s="123"/>
      <c r="EL5" s="123"/>
      <c r="EM5" s="123"/>
      <c r="EN5" s="123"/>
      <c r="EO5" s="123"/>
      <c r="EP5" s="123"/>
      <c r="EQ5" s="123"/>
      <c r="ER5" s="123"/>
      <c r="ES5" s="123"/>
      <c r="ET5" s="123"/>
      <c r="EU5" s="123"/>
      <c r="EV5" s="123"/>
      <c r="EW5" s="123"/>
      <c r="EX5" s="123"/>
      <c r="EY5" s="123"/>
      <c r="EZ5" s="123"/>
      <c r="FA5" s="123"/>
      <c r="FB5" s="123"/>
      <c r="FC5" s="123"/>
      <c r="FD5" s="123"/>
      <c r="FE5" s="123"/>
      <c r="FF5" s="123"/>
      <c r="FG5" s="123"/>
      <c r="FH5" s="123"/>
      <c r="FI5" s="123"/>
      <c r="FJ5" s="123"/>
    </row>
    <row r="6" spans="1:166">
      <c r="A6" s="480"/>
      <c r="B6" s="483"/>
      <c r="C6" s="480"/>
      <c r="D6" s="481"/>
      <c r="E6" s="481"/>
      <c r="F6" s="481"/>
      <c r="G6" s="481"/>
      <c r="H6" s="481"/>
      <c r="I6" s="481"/>
      <c r="J6" s="481"/>
      <c r="K6" s="481"/>
      <c r="L6" s="481"/>
      <c r="M6" s="481"/>
      <c r="N6" s="481"/>
      <c r="O6" s="482"/>
      <c r="P6" s="480"/>
      <c r="Q6" s="480"/>
      <c r="R6" s="480"/>
      <c r="S6" s="480"/>
      <c r="T6" s="480"/>
      <c r="U6" s="480"/>
      <c r="V6" s="481"/>
      <c r="W6" s="481"/>
      <c r="X6" s="481"/>
      <c r="Y6" s="481"/>
      <c r="Z6" s="481"/>
      <c r="AA6" s="481"/>
      <c r="AB6" s="481"/>
      <c r="AC6" s="481"/>
      <c r="AD6" s="481"/>
      <c r="AE6" s="481"/>
      <c r="AF6" s="481"/>
      <c r="AG6" s="481"/>
      <c r="AH6" s="481"/>
      <c r="AI6" s="481"/>
      <c r="AJ6" s="481"/>
      <c r="AK6" s="481"/>
      <c r="AL6" s="481"/>
      <c r="AM6" s="309"/>
      <c r="AN6" s="309"/>
      <c r="AO6" s="309"/>
      <c r="AP6" s="309"/>
      <c r="AQ6" s="309"/>
      <c r="AR6" s="310"/>
      <c r="AS6" s="310"/>
      <c r="AT6" s="310"/>
      <c r="AU6" s="310"/>
      <c r="AV6" s="310"/>
      <c r="AW6" s="310"/>
      <c r="AX6" s="310"/>
      <c r="AY6" s="310"/>
      <c r="AZ6" s="310"/>
      <c r="BA6" s="310"/>
      <c r="BB6" s="310"/>
      <c r="BC6" s="310"/>
      <c r="BD6" s="310"/>
      <c r="BE6" s="310"/>
      <c r="BF6" s="310"/>
      <c r="BG6" s="310"/>
      <c r="BH6" s="310"/>
      <c r="BI6" s="310"/>
      <c r="BJ6" s="310"/>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3"/>
      <c r="EG6" s="123"/>
      <c r="EH6" s="123"/>
      <c r="EI6" s="123"/>
      <c r="EJ6" s="123"/>
      <c r="EK6" s="123"/>
      <c r="EL6" s="123"/>
      <c r="EM6" s="123"/>
      <c r="EN6" s="123"/>
      <c r="EO6" s="123"/>
      <c r="EP6" s="123"/>
      <c r="EQ6" s="123"/>
      <c r="ER6" s="123"/>
      <c r="ES6" s="123"/>
      <c r="ET6" s="123"/>
      <c r="EU6" s="123"/>
      <c r="EV6" s="123"/>
      <c r="EW6" s="123"/>
      <c r="EX6" s="123"/>
      <c r="EY6" s="123"/>
      <c r="EZ6" s="123"/>
      <c r="FA6" s="123"/>
      <c r="FB6" s="123"/>
      <c r="FC6" s="123"/>
      <c r="FD6" s="123"/>
      <c r="FE6" s="123"/>
      <c r="FF6" s="123"/>
      <c r="FG6" s="123"/>
      <c r="FH6" s="123"/>
      <c r="FI6" s="123"/>
      <c r="FJ6" s="123"/>
    </row>
    <row r="7" spans="1:166">
      <c r="A7" s="480"/>
      <c r="B7" s="480"/>
      <c r="C7" s="482"/>
      <c r="D7" s="482"/>
      <c r="E7" s="482"/>
      <c r="F7" s="482"/>
      <c r="G7" s="482"/>
      <c r="H7" s="482"/>
      <c r="I7" s="482"/>
      <c r="J7" s="482"/>
      <c r="K7" s="482"/>
      <c r="L7" s="482"/>
      <c r="M7" s="482"/>
      <c r="N7" s="482"/>
      <c r="O7" s="482"/>
      <c r="P7" s="484"/>
      <c r="Q7" s="484"/>
      <c r="R7" s="484"/>
      <c r="S7" s="484"/>
      <c r="T7" s="484"/>
      <c r="U7" s="484"/>
      <c r="V7" s="485"/>
      <c r="W7" s="485"/>
      <c r="X7" s="485"/>
      <c r="Y7" s="485"/>
      <c r="Z7" s="481"/>
      <c r="AA7" s="481"/>
      <c r="AB7" s="481"/>
      <c r="AC7" s="481"/>
      <c r="AD7" s="481"/>
      <c r="AE7" s="481"/>
      <c r="AF7" s="481"/>
      <c r="AG7" s="481"/>
      <c r="AH7" s="481"/>
      <c r="AI7" s="481"/>
      <c r="AJ7" s="481"/>
      <c r="AK7" s="481"/>
      <c r="AL7" s="481"/>
      <c r="AM7" s="309"/>
      <c r="AN7" s="309"/>
      <c r="AO7" s="309"/>
      <c r="AP7" s="309"/>
      <c r="AQ7" s="309"/>
      <c r="AR7" s="310"/>
      <c r="AS7" s="310"/>
      <c r="AT7" s="310"/>
      <c r="AU7" s="310"/>
      <c r="AV7" s="310"/>
      <c r="AW7" s="310"/>
      <c r="AX7" s="310"/>
      <c r="AY7" s="310"/>
      <c r="AZ7" s="310"/>
      <c r="BA7" s="310"/>
      <c r="BB7" s="310"/>
      <c r="BC7" s="310"/>
      <c r="BD7" s="310"/>
      <c r="BE7" s="310"/>
      <c r="BF7" s="310"/>
      <c r="BG7" s="310"/>
      <c r="BH7" s="310"/>
      <c r="BI7" s="310"/>
      <c r="BJ7" s="310"/>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row>
    <row r="8" spans="1:166">
      <c r="A8" s="486"/>
      <c r="B8" s="486"/>
      <c r="C8" s="487"/>
      <c r="D8" s="487"/>
      <c r="E8" s="487"/>
      <c r="F8" s="487"/>
      <c r="G8" s="487"/>
      <c r="H8" s="487"/>
      <c r="I8" s="487"/>
      <c r="J8" s="487"/>
      <c r="K8" s="487"/>
      <c r="L8" s="487"/>
      <c r="M8" s="487"/>
      <c r="N8" s="487"/>
      <c r="O8" s="487"/>
      <c r="P8" s="488"/>
      <c r="Q8" s="488"/>
      <c r="R8" s="488"/>
      <c r="S8" s="488"/>
      <c r="T8" s="488"/>
      <c r="U8" s="488"/>
      <c r="V8" s="489"/>
      <c r="W8" s="489"/>
      <c r="X8" s="489"/>
      <c r="Y8" s="489"/>
      <c r="Z8" s="490"/>
      <c r="AA8" s="490"/>
      <c r="AB8" s="490"/>
      <c r="AC8" s="490"/>
      <c r="AD8" s="490"/>
      <c r="AE8" s="490"/>
      <c r="AF8" s="490"/>
      <c r="AG8" s="490"/>
      <c r="AH8" s="490"/>
      <c r="AI8" s="490"/>
      <c r="AJ8" s="490"/>
      <c r="AK8" s="490"/>
      <c r="AL8" s="490"/>
      <c r="AM8" s="312"/>
      <c r="AN8" s="312"/>
      <c r="AO8" s="312"/>
      <c r="AP8" s="312"/>
      <c r="AQ8" s="312"/>
      <c r="AR8" s="313"/>
      <c r="AS8" s="313"/>
      <c r="AT8" s="313"/>
      <c r="AU8" s="313"/>
      <c r="AV8" s="313"/>
      <c r="AW8" s="313"/>
      <c r="AX8" s="313"/>
      <c r="AY8" s="313"/>
      <c r="AZ8" s="313"/>
      <c r="BA8" s="313"/>
      <c r="BB8" s="313"/>
      <c r="BC8" s="313"/>
      <c r="BD8" s="313"/>
      <c r="BE8" s="313"/>
      <c r="BF8" s="313"/>
      <c r="BG8" s="313"/>
      <c r="BH8" s="313"/>
      <c r="BI8" s="313"/>
      <c r="BJ8" s="313"/>
      <c r="BK8" s="124"/>
      <c r="BL8" s="124"/>
      <c r="BM8" s="124"/>
      <c r="BN8" s="124"/>
      <c r="BO8" s="124"/>
      <c r="BP8" s="124"/>
      <c r="BQ8" s="124"/>
      <c r="BR8" s="124"/>
      <c r="BS8" s="124"/>
      <c r="BT8" s="124"/>
      <c r="BU8" s="124"/>
      <c r="BV8" s="124"/>
      <c r="BW8" s="124"/>
      <c r="BX8" s="124"/>
      <c r="BY8" s="124"/>
      <c r="BZ8" s="124"/>
      <c r="CA8" s="124"/>
      <c r="CB8" s="124"/>
      <c r="CC8" s="124"/>
      <c r="CD8" s="124"/>
      <c r="CE8" s="124"/>
      <c r="CF8" s="124"/>
      <c r="CG8" s="124"/>
      <c r="CH8" s="124"/>
      <c r="CI8" s="124"/>
      <c r="CJ8" s="124"/>
      <c r="CK8" s="124"/>
      <c r="CL8" s="124"/>
      <c r="CM8" s="124"/>
      <c r="CN8" s="124"/>
      <c r="CO8" s="124"/>
      <c r="CP8" s="124"/>
      <c r="CQ8" s="124"/>
      <c r="CR8" s="124"/>
      <c r="CS8" s="124"/>
      <c r="CT8" s="124"/>
      <c r="CU8" s="124"/>
      <c r="CV8" s="124"/>
      <c r="CW8" s="124"/>
      <c r="CX8" s="124"/>
      <c r="CY8" s="124"/>
      <c r="CZ8" s="124"/>
      <c r="DA8" s="124"/>
      <c r="DB8" s="124"/>
      <c r="DC8" s="124"/>
      <c r="DD8" s="124"/>
      <c r="DE8" s="124"/>
      <c r="DF8" s="124"/>
      <c r="DG8" s="124"/>
      <c r="DH8" s="124"/>
      <c r="DI8" s="124"/>
      <c r="DJ8" s="124"/>
      <c r="DK8" s="124"/>
      <c r="DL8" s="124"/>
      <c r="DM8" s="124"/>
      <c r="DN8" s="124"/>
      <c r="DO8" s="124"/>
      <c r="DP8" s="124"/>
      <c r="DQ8" s="124"/>
      <c r="DR8" s="124"/>
      <c r="DS8" s="124"/>
      <c r="DT8" s="124"/>
      <c r="DU8" s="124"/>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row>
    <row r="9" spans="1:166">
      <c r="A9" s="491"/>
      <c r="B9" s="492" t="s">
        <v>690</v>
      </c>
      <c r="C9" s="491"/>
      <c r="D9" s="491"/>
      <c r="E9" s="491"/>
      <c r="F9" s="491"/>
      <c r="G9" s="491"/>
      <c r="H9" s="491"/>
      <c r="I9" s="491"/>
      <c r="J9" s="491"/>
      <c r="K9" s="491"/>
      <c r="L9" s="491"/>
      <c r="M9" s="491"/>
      <c r="N9" s="491"/>
      <c r="O9" s="493"/>
      <c r="P9" s="491"/>
      <c r="Q9" s="491"/>
      <c r="R9" s="491"/>
      <c r="S9" s="491"/>
      <c r="T9" s="491"/>
      <c r="U9" s="491"/>
      <c r="V9" s="490"/>
      <c r="W9" s="490"/>
      <c r="X9" s="490"/>
      <c r="Y9" s="490"/>
      <c r="Z9" s="490"/>
      <c r="AA9" s="490"/>
      <c r="AB9" s="490"/>
      <c r="AC9" s="490"/>
      <c r="AD9" s="490"/>
      <c r="AE9" s="490"/>
      <c r="AF9" s="490"/>
      <c r="AG9" s="490"/>
      <c r="AH9" s="490"/>
      <c r="AI9" s="490"/>
      <c r="AJ9" s="490"/>
      <c r="AK9" s="490"/>
      <c r="AL9" s="490"/>
      <c r="AM9" s="312"/>
      <c r="AN9" s="312"/>
      <c r="AO9" s="312"/>
      <c r="AP9" s="312"/>
      <c r="AQ9" s="312"/>
      <c r="AR9" s="313"/>
      <c r="AS9" s="313"/>
      <c r="AT9" s="313"/>
      <c r="AU9" s="313"/>
      <c r="AV9" s="313"/>
      <c r="AW9" s="313"/>
      <c r="AX9" s="313"/>
      <c r="AY9" s="313"/>
      <c r="AZ9" s="313"/>
      <c r="BA9" s="313"/>
      <c r="BB9" s="313"/>
      <c r="BC9" s="313"/>
      <c r="BD9" s="313"/>
      <c r="BE9" s="313"/>
      <c r="BF9" s="313"/>
      <c r="BG9" s="313"/>
      <c r="BH9" s="313"/>
      <c r="BI9" s="313"/>
      <c r="BJ9" s="313"/>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row>
    <row r="10" spans="1:166" ht="15.75" thickBot="1">
      <c r="A10" s="491"/>
      <c r="B10" s="494"/>
      <c r="C10" s="494"/>
      <c r="D10" s="494"/>
      <c r="E10" s="494"/>
      <c r="F10" s="494"/>
      <c r="G10" s="494"/>
      <c r="H10" s="494"/>
      <c r="I10" s="494"/>
      <c r="J10" s="494"/>
      <c r="K10" s="494"/>
      <c r="L10" s="495"/>
      <c r="M10" s="493"/>
      <c r="N10" s="493"/>
      <c r="O10" s="493"/>
      <c r="P10" s="486"/>
      <c r="Q10" s="496"/>
      <c r="R10" s="486"/>
      <c r="S10" s="486"/>
      <c r="T10" s="486"/>
      <c r="U10" s="486"/>
      <c r="V10" s="490"/>
      <c r="W10" s="490"/>
      <c r="X10" s="490"/>
      <c r="Y10" s="490"/>
      <c r="Z10" s="490"/>
      <c r="AA10" s="490"/>
      <c r="AB10" s="490"/>
      <c r="AC10" s="490"/>
      <c r="AD10" s="490"/>
      <c r="AE10" s="490"/>
      <c r="AF10" s="490"/>
      <c r="AG10" s="490"/>
      <c r="AH10" s="490"/>
      <c r="AI10" s="490"/>
      <c r="AJ10" s="490"/>
      <c r="AK10" s="490"/>
      <c r="AL10" s="490"/>
      <c r="AM10" s="312"/>
      <c r="AN10" s="312"/>
      <c r="AO10" s="312"/>
      <c r="AP10" s="312"/>
      <c r="AQ10" s="312"/>
      <c r="AR10" s="313"/>
      <c r="AS10" s="313"/>
      <c r="AT10" s="313"/>
      <c r="AU10" s="313"/>
      <c r="AV10" s="313"/>
      <c r="AW10" s="313"/>
      <c r="AX10" s="313"/>
      <c r="AY10" s="313"/>
      <c r="AZ10" s="313"/>
      <c r="BA10" s="313"/>
      <c r="BB10" s="313"/>
      <c r="BC10" s="313"/>
      <c r="BD10" s="313"/>
      <c r="BE10" s="313"/>
      <c r="BF10" s="313"/>
      <c r="BG10" s="313"/>
      <c r="BH10" s="313"/>
      <c r="BI10" s="313"/>
      <c r="BJ10" s="313"/>
      <c r="BK10" s="125"/>
      <c r="BL10" s="125"/>
      <c r="BM10" s="125"/>
      <c r="BN10" s="125"/>
      <c r="BO10" s="125"/>
      <c r="BP10" s="125"/>
      <c r="BQ10" s="125"/>
      <c r="BR10" s="125"/>
      <c r="BS10" s="125"/>
      <c r="BT10" s="125"/>
      <c r="BU10" s="125"/>
      <c r="BV10" s="125"/>
      <c r="BW10" s="125"/>
      <c r="BX10" s="125"/>
      <c r="BY10" s="125"/>
      <c r="BZ10" s="125"/>
      <c r="CA10" s="125"/>
      <c r="CB10" s="125"/>
      <c r="CC10" s="125"/>
      <c r="CD10" s="125"/>
      <c r="CE10" s="125"/>
      <c r="CF10" s="125"/>
      <c r="CG10" s="125"/>
      <c r="CH10" s="125"/>
      <c r="CI10" s="125"/>
      <c r="CJ10" s="125"/>
      <c r="CK10" s="125"/>
      <c r="CL10" s="125"/>
      <c r="CM10" s="125"/>
      <c r="CN10" s="125"/>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5"/>
      <c r="EG10" s="125"/>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row>
    <row r="11" spans="1:166" ht="15.75" thickTop="1">
      <c r="A11" s="491"/>
      <c r="B11" s="497"/>
      <c r="C11" s="498"/>
      <c r="D11" s="499"/>
      <c r="E11" s="499"/>
      <c r="F11" s="497"/>
      <c r="G11" s="498"/>
      <c r="H11" s="499"/>
      <c r="I11" s="491"/>
      <c r="J11" s="497"/>
      <c r="K11" s="500"/>
      <c r="L11" s="499"/>
      <c r="M11" s="486"/>
      <c r="N11" s="486"/>
      <c r="O11" s="486"/>
      <c r="P11" s="486"/>
      <c r="Q11" s="486"/>
      <c r="R11" s="486"/>
      <c r="S11" s="486"/>
      <c r="T11" s="486"/>
      <c r="U11" s="486"/>
      <c r="V11" s="490"/>
      <c r="W11" s="490"/>
      <c r="X11" s="490"/>
      <c r="Y11" s="490"/>
      <c r="Z11" s="490"/>
      <c r="AA11" s="490"/>
      <c r="AB11" s="490"/>
      <c r="AC11" s="490"/>
      <c r="AD11" s="490"/>
      <c r="AE11" s="490"/>
      <c r="AF11" s="490"/>
      <c r="AG11" s="490"/>
      <c r="AH11" s="490"/>
      <c r="AI11" s="490"/>
      <c r="AJ11" s="490"/>
      <c r="AK11" s="490"/>
      <c r="AL11" s="490"/>
      <c r="AM11" s="312"/>
      <c r="AN11" s="312"/>
      <c r="AO11" s="312"/>
      <c r="AP11" s="312"/>
      <c r="AQ11" s="312"/>
      <c r="AR11" s="313"/>
      <c r="AS11" s="313"/>
      <c r="AT11" s="313"/>
      <c r="AU11" s="313"/>
      <c r="AV11" s="313"/>
      <c r="AW11" s="313"/>
      <c r="AX11" s="313"/>
      <c r="AY11" s="313"/>
      <c r="AZ11" s="313"/>
      <c r="BA11" s="313"/>
      <c r="BB11" s="313"/>
      <c r="BC11" s="313"/>
      <c r="BD11" s="313"/>
      <c r="BE11" s="313"/>
      <c r="BF11" s="313"/>
      <c r="BG11" s="313"/>
      <c r="BH11" s="313"/>
      <c r="BI11" s="313"/>
      <c r="BJ11" s="313"/>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c r="CJ11" s="128"/>
      <c r="CK11" s="128"/>
      <c r="CL11" s="128"/>
      <c r="CM11" s="128"/>
      <c r="CN11" s="128"/>
      <c r="CO11" s="128"/>
      <c r="CP11" s="128"/>
      <c r="CQ11" s="128"/>
      <c r="CR11" s="128"/>
      <c r="CS11" s="128"/>
      <c r="CT11" s="128"/>
      <c r="CU11" s="128"/>
      <c r="CV11" s="128"/>
      <c r="CW11" s="128"/>
      <c r="CX11" s="128"/>
      <c r="CY11" s="128"/>
      <c r="CZ11" s="128"/>
      <c r="DA11" s="128"/>
      <c r="DB11" s="128"/>
      <c r="DC11" s="128"/>
      <c r="DD11" s="128"/>
      <c r="DE11" s="128"/>
      <c r="DF11" s="128"/>
      <c r="DG11" s="128"/>
      <c r="DH11" s="128"/>
      <c r="DI11" s="128"/>
      <c r="DJ11" s="128"/>
      <c r="DK11" s="128"/>
      <c r="DL11" s="128"/>
      <c r="DM11" s="128"/>
      <c r="DN11" s="128"/>
      <c r="DO11" s="128"/>
      <c r="DP11" s="128"/>
      <c r="DQ11" s="128"/>
      <c r="DR11" s="128"/>
      <c r="DS11" s="128"/>
      <c r="DT11" s="128"/>
      <c r="DU11" s="128"/>
      <c r="DV11" s="128"/>
      <c r="DW11" s="128"/>
      <c r="DX11" s="128"/>
      <c r="DY11" s="128"/>
      <c r="DZ11" s="128"/>
      <c r="EA11" s="128"/>
      <c r="EB11" s="128"/>
      <c r="EC11" s="128"/>
      <c r="ED11" s="128"/>
      <c r="EE11" s="128"/>
      <c r="EF11" s="128"/>
      <c r="EG11" s="128"/>
      <c r="EH11" s="128"/>
      <c r="EI11" s="128"/>
      <c r="EJ11" s="128"/>
      <c r="EK11" s="128"/>
      <c r="EL11" s="128"/>
      <c r="EM11" s="128"/>
      <c r="EN11" s="128"/>
      <c r="EO11" s="128"/>
      <c r="EP11" s="128"/>
      <c r="EQ11" s="128"/>
      <c r="ER11" s="128"/>
      <c r="ES11" s="128"/>
      <c r="ET11" s="128"/>
      <c r="EU11" s="128"/>
      <c r="EV11" s="128"/>
      <c r="EW11" s="128"/>
      <c r="EX11" s="128"/>
      <c r="EY11" s="128"/>
      <c r="EZ11" s="128"/>
      <c r="FA11" s="128"/>
      <c r="FB11" s="128"/>
      <c r="FC11" s="128"/>
      <c r="FD11" s="128"/>
      <c r="FE11" s="128"/>
      <c r="FF11" s="128"/>
      <c r="FG11" s="128"/>
      <c r="FH11" s="128"/>
      <c r="FI11" s="128"/>
      <c r="FJ11" s="128"/>
    </row>
    <row r="12" spans="1:166">
      <c r="A12" s="491"/>
      <c r="B12" s="501" t="s">
        <v>691</v>
      </c>
      <c r="C12" s="501"/>
      <c r="D12" s="501"/>
      <c r="E12" s="501"/>
      <c r="F12" s="501"/>
      <c r="G12" s="501"/>
      <c r="H12" s="501"/>
      <c r="I12" s="501"/>
      <c r="J12" s="501"/>
      <c r="K12" s="501"/>
      <c r="L12" s="499"/>
      <c r="M12" s="502"/>
      <c r="N12" s="486"/>
      <c r="O12" s="502"/>
      <c r="P12" s="502"/>
      <c r="Q12" s="502"/>
      <c r="R12" s="486"/>
      <c r="S12" s="486"/>
      <c r="T12" s="486"/>
      <c r="U12" s="486"/>
      <c r="V12" s="490"/>
      <c r="W12" s="490"/>
      <c r="X12" s="490"/>
      <c r="Y12" s="490"/>
      <c r="Z12" s="490"/>
      <c r="AA12" s="490"/>
      <c r="AB12" s="490"/>
      <c r="AC12" s="490"/>
      <c r="AD12" s="490"/>
      <c r="AE12" s="490"/>
      <c r="AF12" s="490"/>
      <c r="AG12" s="490"/>
      <c r="AH12" s="490"/>
      <c r="AI12" s="490"/>
      <c r="AJ12" s="490"/>
      <c r="AK12" s="490"/>
      <c r="AL12" s="490"/>
      <c r="AM12" s="312"/>
      <c r="AN12" s="312"/>
      <c r="AO12" s="312"/>
      <c r="AP12" s="312"/>
      <c r="AQ12" s="312"/>
      <c r="AR12" s="313"/>
      <c r="AS12" s="313"/>
      <c r="AT12" s="313"/>
      <c r="AU12" s="313"/>
      <c r="AV12" s="313"/>
      <c r="AW12" s="313"/>
      <c r="AX12" s="313"/>
      <c r="AY12" s="313"/>
      <c r="AZ12" s="313"/>
      <c r="BA12" s="313"/>
      <c r="BB12" s="313"/>
      <c r="BC12" s="313"/>
      <c r="BD12" s="313"/>
      <c r="BE12" s="313"/>
      <c r="BF12" s="313"/>
      <c r="BG12" s="313"/>
      <c r="BH12" s="313"/>
      <c r="BI12" s="313"/>
      <c r="BJ12" s="313"/>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29"/>
      <c r="CN12" s="129"/>
      <c r="CO12" s="129"/>
      <c r="CP12" s="129"/>
      <c r="CQ12" s="129"/>
      <c r="CR12" s="129"/>
      <c r="CS12" s="129"/>
      <c r="CT12" s="129"/>
      <c r="CU12" s="129"/>
      <c r="CV12" s="129"/>
      <c r="CW12" s="129"/>
      <c r="CX12" s="129"/>
      <c r="CY12" s="129"/>
      <c r="CZ12" s="129"/>
      <c r="DA12" s="129"/>
      <c r="DB12" s="129"/>
      <c r="DC12" s="129"/>
      <c r="DD12" s="129"/>
      <c r="DE12" s="129"/>
      <c r="DF12" s="129"/>
      <c r="DG12" s="129"/>
      <c r="DH12" s="129"/>
      <c r="DI12" s="129"/>
      <c r="DJ12" s="129"/>
      <c r="DK12" s="129"/>
      <c r="DL12" s="129"/>
      <c r="DM12" s="129"/>
      <c r="DN12" s="129"/>
      <c r="DO12" s="129"/>
      <c r="DP12" s="129"/>
      <c r="DQ12" s="129"/>
      <c r="DR12" s="129"/>
      <c r="DS12" s="129"/>
      <c r="DT12" s="129"/>
      <c r="DU12" s="129"/>
      <c r="DV12" s="129"/>
      <c r="DW12" s="129"/>
      <c r="DX12" s="129"/>
      <c r="DY12" s="129"/>
      <c r="DZ12" s="129"/>
      <c r="EA12" s="129"/>
      <c r="EB12" s="129"/>
      <c r="EC12" s="129"/>
      <c r="ED12" s="129"/>
      <c r="EE12" s="129"/>
      <c r="EF12" s="129"/>
      <c r="EG12" s="129"/>
      <c r="EH12" s="129"/>
      <c r="EI12" s="129"/>
      <c r="EJ12" s="129"/>
      <c r="EK12" s="129"/>
      <c r="EL12" s="129"/>
      <c r="EM12" s="129"/>
      <c r="EN12" s="129"/>
      <c r="EO12" s="129"/>
      <c r="EP12" s="129"/>
      <c r="EQ12" s="129"/>
      <c r="ER12" s="129"/>
      <c r="ES12" s="129"/>
      <c r="ET12" s="129"/>
      <c r="EU12" s="129"/>
      <c r="EV12" s="129"/>
      <c r="EW12" s="129"/>
      <c r="EX12" s="129"/>
      <c r="EY12" s="129"/>
      <c r="EZ12" s="129"/>
      <c r="FA12" s="129"/>
      <c r="FB12" s="129"/>
      <c r="FC12" s="129"/>
      <c r="FD12" s="129"/>
      <c r="FE12" s="129"/>
      <c r="FF12" s="129"/>
      <c r="FG12" s="129"/>
      <c r="FH12" s="129"/>
      <c r="FI12" s="129"/>
      <c r="FJ12" s="129"/>
    </row>
    <row r="13" spans="1:166">
      <c r="A13" s="491"/>
      <c r="B13" s="501"/>
      <c r="C13" s="501"/>
      <c r="D13" s="501"/>
      <c r="E13" s="501"/>
      <c r="F13" s="501"/>
      <c r="G13" s="501"/>
      <c r="H13" s="501"/>
      <c r="I13" s="501"/>
      <c r="J13" s="501"/>
      <c r="K13" s="501"/>
      <c r="L13" s="499"/>
      <c r="M13" s="502"/>
      <c r="N13" s="486"/>
      <c r="O13" s="502"/>
      <c r="P13" s="502"/>
      <c r="Q13" s="502"/>
      <c r="R13" s="486"/>
      <c r="S13" s="486"/>
      <c r="T13" s="486"/>
      <c r="U13" s="486"/>
      <c r="V13" s="490"/>
      <c r="W13" s="490"/>
      <c r="X13" s="490"/>
      <c r="Y13" s="490"/>
      <c r="Z13" s="490"/>
      <c r="AA13" s="490"/>
      <c r="AB13" s="490"/>
      <c r="AC13" s="490"/>
      <c r="AD13" s="490"/>
      <c r="AE13" s="490"/>
      <c r="AF13" s="490"/>
      <c r="AG13" s="490"/>
      <c r="AH13" s="490"/>
      <c r="AI13" s="490"/>
      <c r="AJ13" s="490"/>
      <c r="AK13" s="490"/>
      <c r="AL13" s="490"/>
      <c r="AM13" s="312"/>
      <c r="AN13" s="312"/>
      <c r="AO13" s="312"/>
      <c r="AP13" s="312"/>
      <c r="AQ13" s="312"/>
      <c r="AR13" s="313"/>
      <c r="AS13" s="313"/>
      <c r="AT13" s="313"/>
      <c r="AU13" s="313"/>
      <c r="AV13" s="313"/>
      <c r="AW13" s="313"/>
      <c r="AX13" s="313"/>
      <c r="AY13" s="313"/>
      <c r="AZ13" s="313"/>
      <c r="BA13" s="313"/>
      <c r="BB13" s="313"/>
      <c r="BC13" s="313"/>
      <c r="BD13" s="313"/>
      <c r="BE13" s="313"/>
      <c r="BF13" s="313"/>
      <c r="BG13" s="313"/>
      <c r="BH13" s="313"/>
      <c r="BI13" s="313"/>
      <c r="BJ13" s="313"/>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c r="EA13" s="129"/>
      <c r="EB13" s="129"/>
      <c r="EC13" s="129"/>
      <c r="ED13" s="129"/>
      <c r="EE13" s="129"/>
      <c r="EF13" s="129"/>
      <c r="EG13" s="129"/>
      <c r="EH13" s="129"/>
      <c r="EI13" s="129"/>
      <c r="EJ13" s="129"/>
      <c r="EK13" s="129"/>
      <c r="EL13" s="129"/>
      <c r="EM13" s="129"/>
      <c r="EN13" s="129"/>
      <c r="EO13" s="129"/>
      <c r="EP13" s="129"/>
      <c r="EQ13" s="129"/>
      <c r="ER13" s="129"/>
      <c r="ES13" s="129"/>
      <c r="ET13" s="129"/>
      <c r="EU13" s="129"/>
      <c r="EV13" s="129"/>
      <c r="EW13" s="129"/>
      <c r="EX13" s="129"/>
      <c r="EY13" s="129"/>
      <c r="EZ13" s="129"/>
      <c r="FA13" s="129"/>
      <c r="FB13" s="129"/>
      <c r="FC13" s="129"/>
      <c r="FD13" s="129"/>
      <c r="FE13" s="129"/>
      <c r="FF13" s="129"/>
      <c r="FG13" s="129"/>
      <c r="FH13" s="129"/>
      <c r="FI13" s="129"/>
      <c r="FJ13" s="129"/>
    </row>
    <row r="14" spans="1:166">
      <c r="A14" s="491"/>
      <c r="B14" s="501" t="s">
        <v>692</v>
      </c>
      <c r="C14" s="501"/>
      <c r="D14" s="501"/>
      <c r="E14" s="501"/>
      <c r="F14" s="501"/>
      <c r="G14" s="501"/>
      <c r="H14" s="501"/>
      <c r="I14" s="501"/>
      <c r="J14" s="501"/>
      <c r="K14" s="501"/>
      <c r="L14" s="499"/>
      <c r="M14" s="503"/>
      <c r="N14" s="503"/>
      <c r="O14" s="504"/>
      <c r="P14" s="491"/>
      <c r="Q14" s="491"/>
      <c r="R14" s="491"/>
      <c r="S14" s="491"/>
      <c r="T14" s="491"/>
      <c r="U14" s="491"/>
      <c r="V14" s="490"/>
      <c r="W14" s="505"/>
      <c r="X14" s="505"/>
      <c r="Y14" s="505"/>
      <c r="Z14" s="505"/>
      <c r="AA14" s="490"/>
      <c r="AB14" s="490"/>
      <c r="AC14" s="490"/>
      <c r="AD14" s="490"/>
      <c r="AE14" s="490"/>
      <c r="AF14" s="490"/>
      <c r="AG14" s="490"/>
      <c r="AH14" s="490"/>
      <c r="AI14" s="490"/>
      <c r="AJ14" s="490"/>
      <c r="AK14" s="490"/>
      <c r="AL14" s="490"/>
      <c r="AM14" s="312"/>
      <c r="AN14" s="312"/>
      <c r="AO14" s="312"/>
      <c r="AP14" s="312"/>
      <c r="AQ14" s="312"/>
      <c r="AR14" s="313"/>
      <c r="AS14" s="313"/>
      <c r="AT14" s="313"/>
      <c r="AU14" s="313"/>
      <c r="AV14" s="313"/>
      <c r="AW14" s="313"/>
      <c r="AX14" s="313"/>
      <c r="AY14" s="313"/>
      <c r="AZ14" s="313"/>
      <c r="BA14" s="313"/>
      <c r="BB14" s="313"/>
      <c r="BC14" s="313"/>
      <c r="BD14" s="313"/>
      <c r="BE14" s="313"/>
      <c r="BF14" s="313"/>
      <c r="BG14" s="313"/>
      <c r="BH14" s="313"/>
      <c r="BI14" s="313"/>
      <c r="BJ14" s="313"/>
      <c r="BK14" s="130"/>
      <c r="BL14" s="130"/>
      <c r="BM14" s="130"/>
      <c r="BN14" s="130"/>
      <c r="BO14" s="130"/>
      <c r="BP14" s="130"/>
      <c r="BQ14" s="130"/>
      <c r="BR14" s="130"/>
      <c r="BS14" s="130"/>
      <c r="BT14" s="130"/>
      <c r="BU14" s="130"/>
      <c r="BV14" s="130"/>
      <c r="BW14" s="130"/>
      <c r="BX14" s="130"/>
      <c r="BY14" s="130"/>
      <c r="BZ14" s="130"/>
      <c r="CA14" s="130"/>
      <c r="CB14" s="130"/>
      <c r="CC14" s="130"/>
      <c r="CD14" s="130"/>
      <c r="CE14" s="130"/>
      <c r="CF14" s="130"/>
      <c r="CG14" s="130"/>
      <c r="CH14" s="130"/>
      <c r="CI14" s="130"/>
      <c r="CJ14" s="130"/>
      <c r="CK14" s="130"/>
      <c r="CL14" s="130"/>
      <c r="CM14" s="130"/>
      <c r="CN14" s="130"/>
      <c r="CO14" s="130"/>
      <c r="CP14" s="130"/>
      <c r="CQ14" s="130"/>
      <c r="CR14" s="130"/>
      <c r="CS14" s="130"/>
      <c r="CT14" s="130"/>
      <c r="CU14" s="130"/>
      <c r="CV14" s="130"/>
      <c r="CW14" s="130"/>
      <c r="CX14" s="130"/>
      <c r="CY14" s="130"/>
      <c r="CZ14" s="130"/>
      <c r="DA14" s="130"/>
      <c r="DB14" s="130"/>
      <c r="DC14" s="130"/>
      <c r="DD14" s="130"/>
      <c r="DE14" s="130"/>
      <c r="DF14" s="130"/>
      <c r="DG14" s="130"/>
      <c r="DH14" s="130"/>
      <c r="DI14" s="130"/>
      <c r="DJ14" s="130"/>
      <c r="DK14" s="130"/>
      <c r="DL14" s="130"/>
      <c r="DM14" s="130"/>
      <c r="DN14" s="130"/>
      <c r="DO14" s="130"/>
      <c r="DP14" s="130"/>
      <c r="DQ14" s="130"/>
      <c r="DR14" s="130"/>
      <c r="DS14" s="130"/>
      <c r="DT14" s="130"/>
      <c r="DU14" s="130"/>
      <c r="DV14" s="130"/>
      <c r="DW14" s="130"/>
      <c r="DX14" s="130"/>
      <c r="DY14" s="130"/>
      <c r="DZ14" s="130"/>
      <c r="EA14" s="130"/>
      <c r="EB14" s="130"/>
      <c r="EC14" s="130"/>
      <c r="ED14" s="130"/>
      <c r="EE14" s="130"/>
      <c r="EF14" s="130"/>
      <c r="EG14" s="130"/>
      <c r="EH14" s="130"/>
      <c r="EI14" s="130"/>
      <c r="EJ14" s="130"/>
      <c r="EK14" s="130"/>
      <c r="EL14" s="130"/>
      <c r="EM14" s="130"/>
      <c r="EN14" s="130"/>
      <c r="EO14" s="130"/>
      <c r="EP14" s="130"/>
      <c r="EQ14" s="130"/>
      <c r="ER14" s="130"/>
      <c r="ES14" s="130"/>
      <c r="ET14" s="130"/>
      <c r="EU14" s="130"/>
      <c r="EV14" s="130"/>
      <c r="EW14" s="130"/>
      <c r="EX14" s="130"/>
      <c r="EY14" s="130"/>
      <c r="EZ14" s="130"/>
      <c r="FA14" s="130"/>
      <c r="FB14" s="130"/>
      <c r="FC14" s="130"/>
      <c r="FD14" s="130"/>
      <c r="FE14" s="130"/>
      <c r="FF14" s="130"/>
      <c r="FG14" s="130"/>
      <c r="FH14" s="130"/>
      <c r="FI14" s="130"/>
      <c r="FJ14" s="130"/>
    </row>
    <row r="15" spans="1:166">
      <c r="A15" s="491"/>
      <c r="B15" s="501"/>
      <c r="C15" s="501"/>
      <c r="D15" s="501"/>
      <c r="E15" s="501"/>
      <c r="F15" s="501"/>
      <c r="G15" s="501"/>
      <c r="H15" s="501"/>
      <c r="I15" s="501"/>
      <c r="J15" s="501"/>
      <c r="K15" s="501"/>
      <c r="L15" s="499"/>
      <c r="M15" s="503"/>
      <c r="N15" s="503"/>
      <c r="O15" s="504"/>
      <c r="P15" s="491"/>
      <c r="Q15" s="491"/>
      <c r="R15" s="491"/>
      <c r="S15" s="491"/>
      <c r="T15" s="491"/>
      <c r="U15" s="491"/>
      <c r="V15" s="490"/>
      <c r="W15" s="505"/>
      <c r="X15" s="505"/>
      <c r="Y15" s="505"/>
      <c r="Z15" s="505"/>
      <c r="AA15" s="490"/>
      <c r="AB15" s="490"/>
      <c r="AC15" s="490"/>
      <c r="AD15" s="490"/>
      <c r="AE15" s="490"/>
      <c r="AF15" s="490"/>
      <c r="AG15" s="490"/>
      <c r="AH15" s="490"/>
      <c r="AI15" s="490"/>
      <c r="AJ15" s="490"/>
      <c r="AK15" s="490"/>
      <c r="AL15" s="490"/>
      <c r="AM15" s="312"/>
      <c r="AN15" s="312"/>
      <c r="AO15" s="312"/>
      <c r="AP15" s="312"/>
      <c r="AQ15" s="312"/>
      <c r="AR15" s="313"/>
      <c r="AS15" s="313"/>
      <c r="AT15" s="313"/>
      <c r="AU15" s="313"/>
      <c r="AV15" s="313"/>
      <c r="AW15" s="313"/>
      <c r="AX15" s="313"/>
      <c r="AY15" s="313"/>
      <c r="AZ15" s="313"/>
      <c r="BA15" s="313"/>
      <c r="BB15" s="313"/>
      <c r="BC15" s="313"/>
      <c r="BD15" s="313"/>
      <c r="BE15" s="313"/>
      <c r="BF15" s="313"/>
      <c r="BG15" s="313"/>
      <c r="BH15" s="313"/>
      <c r="BI15" s="313"/>
      <c r="BJ15" s="313"/>
      <c r="BK15" s="130"/>
      <c r="BL15" s="130"/>
      <c r="BM15" s="130"/>
      <c r="BN15" s="130"/>
      <c r="BO15" s="130"/>
      <c r="BP15" s="130"/>
      <c r="BQ15" s="130"/>
      <c r="BR15" s="130"/>
      <c r="BS15" s="130"/>
      <c r="BT15" s="130"/>
      <c r="BU15" s="130"/>
      <c r="BV15" s="130"/>
      <c r="BW15" s="130"/>
      <c r="BX15" s="130"/>
      <c r="BY15" s="130"/>
      <c r="BZ15" s="130"/>
      <c r="CA15" s="130"/>
      <c r="CB15" s="130"/>
      <c r="CC15" s="130"/>
      <c r="CD15" s="130"/>
      <c r="CE15" s="130"/>
      <c r="CF15" s="130"/>
      <c r="CG15" s="130"/>
      <c r="CH15" s="130"/>
      <c r="CI15" s="130"/>
      <c r="CJ15" s="130"/>
      <c r="CK15" s="130"/>
      <c r="CL15" s="130"/>
      <c r="CM15" s="130"/>
      <c r="CN15" s="130"/>
      <c r="CO15" s="130"/>
      <c r="CP15" s="130"/>
      <c r="CQ15" s="130"/>
      <c r="CR15" s="130"/>
      <c r="CS15" s="130"/>
      <c r="CT15" s="130"/>
      <c r="CU15" s="130"/>
      <c r="CV15" s="130"/>
      <c r="CW15" s="130"/>
      <c r="CX15" s="130"/>
      <c r="CY15" s="130"/>
      <c r="CZ15" s="130"/>
      <c r="DA15" s="130"/>
      <c r="DB15" s="130"/>
      <c r="DC15" s="130"/>
      <c r="DD15" s="130"/>
      <c r="DE15" s="130"/>
      <c r="DF15" s="130"/>
      <c r="DG15" s="130"/>
      <c r="DH15" s="130"/>
      <c r="DI15" s="130"/>
      <c r="DJ15" s="130"/>
      <c r="DK15" s="130"/>
      <c r="DL15" s="130"/>
      <c r="DM15" s="130"/>
      <c r="DN15" s="130"/>
      <c r="DO15" s="130"/>
      <c r="DP15" s="130"/>
      <c r="DQ15" s="130"/>
      <c r="DR15" s="130"/>
      <c r="DS15" s="130"/>
      <c r="DT15" s="130"/>
      <c r="DU15" s="130"/>
      <c r="DV15" s="130"/>
      <c r="DW15" s="130"/>
      <c r="DX15" s="130"/>
      <c r="DY15" s="130"/>
      <c r="DZ15" s="130"/>
      <c r="EA15" s="130"/>
      <c r="EB15" s="130"/>
      <c r="EC15" s="130"/>
      <c r="ED15" s="130"/>
      <c r="EE15" s="130"/>
      <c r="EF15" s="130"/>
      <c r="EG15" s="130"/>
      <c r="EH15" s="130"/>
      <c r="EI15" s="130"/>
      <c r="EJ15" s="130"/>
      <c r="EK15" s="130"/>
      <c r="EL15" s="130"/>
      <c r="EM15" s="130"/>
      <c r="EN15" s="130"/>
      <c r="EO15" s="130"/>
      <c r="EP15" s="130"/>
      <c r="EQ15" s="130"/>
      <c r="ER15" s="130"/>
      <c r="ES15" s="130"/>
      <c r="ET15" s="130"/>
      <c r="EU15" s="130"/>
      <c r="EV15" s="130"/>
      <c r="EW15" s="130"/>
      <c r="EX15" s="130"/>
      <c r="EY15" s="130"/>
      <c r="EZ15" s="130"/>
      <c r="FA15" s="130"/>
      <c r="FB15" s="130"/>
      <c r="FC15" s="130"/>
      <c r="FD15" s="130"/>
      <c r="FE15" s="130"/>
      <c r="FF15" s="130"/>
      <c r="FG15" s="130"/>
      <c r="FH15" s="130"/>
      <c r="FI15" s="130"/>
      <c r="FJ15" s="130"/>
    </row>
    <row r="16" spans="1:166">
      <c r="A16" s="491"/>
      <c r="B16" s="501" t="s">
        <v>693</v>
      </c>
      <c r="C16" s="501"/>
      <c r="D16" s="501"/>
      <c r="E16" s="501"/>
      <c r="F16" s="501"/>
      <c r="G16" s="501"/>
      <c r="H16" s="501"/>
      <c r="I16" s="501"/>
      <c r="J16" s="501"/>
      <c r="K16" s="501"/>
      <c r="L16" s="499"/>
      <c r="M16" s="503"/>
      <c r="N16" s="503"/>
      <c r="O16" s="504"/>
      <c r="P16" s="491"/>
      <c r="Q16" s="491"/>
      <c r="R16" s="491"/>
      <c r="S16" s="491"/>
      <c r="T16" s="491"/>
      <c r="U16" s="491"/>
      <c r="V16" s="490"/>
      <c r="W16" s="490"/>
      <c r="X16" s="490"/>
      <c r="Y16" s="490"/>
      <c r="Z16" s="490"/>
      <c r="AA16" s="490"/>
      <c r="AB16" s="490"/>
      <c r="AC16" s="490"/>
      <c r="AD16" s="490"/>
      <c r="AE16" s="490"/>
      <c r="AF16" s="490"/>
      <c r="AG16" s="490"/>
      <c r="AH16" s="490"/>
      <c r="AI16" s="490"/>
      <c r="AJ16" s="490"/>
      <c r="AK16" s="490"/>
      <c r="AL16" s="490"/>
      <c r="AM16" s="312"/>
      <c r="AN16" s="312"/>
      <c r="AO16" s="312"/>
      <c r="AP16" s="312"/>
      <c r="AQ16" s="312"/>
      <c r="AR16" s="313"/>
      <c r="AS16" s="313"/>
      <c r="AT16" s="313"/>
      <c r="AU16" s="313"/>
      <c r="AV16" s="313"/>
      <c r="AW16" s="313"/>
      <c r="AX16" s="313"/>
      <c r="AY16" s="313"/>
      <c r="AZ16" s="313"/>
      <c r="BA16" s="313"/>
      <c r="BB16" s="313"/>
      <c r="BC16" s="313"/>
      <c r="BD16" s="313"/>
      <c r="BE16" s="313"/>
      <c r="BF16" s="313"/>
      <c r="BG16" s="313"/>
      <c r="BH16" s="313"/>
      <c r="BI16" s="313"/>
      <c r="BJ16" s="313"/>
      <c r="BK16" s="130"/>
      <c r="BL16" s="130"/>
      <c r="BM16" s="130"/>
      <c r="BN16" s="130"/>
      <c r="BO16" s="130"/>
      <c r="BP16" s="130"/>
      <c r="BQ16" s="130"/>
      <c r="BR16" s="130"/>
      <c r="BS16" s="130"/>
      <c r="BT16" s="130"/>
      <c r="BU16" s="130"/>
      <c r="BV16" s="130"/>
      <c r="BW16" s="130"/>
      <c r="BX16" s="130"/>
      <c r="BY16" s="130"/>
      <c r="BZ16" s="130"/>
      <c r="CA16" s="130"/>
      <c r="CB16" s="130"/>
      <c r="CC16" s="130"/>
      <c r="CD16" s="130"/>
      <c r="CE16" s="130"/>
      <c r="CF16" s="130"/>
      <c r="CG16" s="130"/>
      <c r="CH16" s="130"/>
      <c r="CI16" s="130"/>
      <c r="CJ16" s="130"/>
      <c r="CK16" s="130"/>
      <c r="CL16" s="130"/>
      <c r="CM16" s="130"/>
      <c r="CN16" s="130"/>
      <c r="CO16" s="130"/>
      <c r="CP16" s="130"/>
      <c r="CQ16" s="130"/>
      <c r="CR16" s="130"/>
      <c r="CS16" s="130"/>
      <c r="CT16" s="130"/>
      <c r="CU16" s="130"/>
      <c r="CV16" s="130"/>
      <c r="CW16" s="130"/>
      <c r="CX16" s="130"/>
      <c r="CY16" s="130"/>
      <c r="CZ16" s="130"/>
      <c r="DA16" s="130"/>
      <c r="DB16" s="130"/>
      <c r="DC16" s="130"/>
      <c r="DD16" s="130"/>
      <c r="DE16" s="130"/>
      <c r="DF16" s="130"/>
      <c r="DG16" s="130"/>
      <c r="DH16" s="130"/>
      <c r="DI16" s="130"/>
      <c r="DJ16" s="130"/>
      <c r="DK16" s="130"/>
      <c r="DL16" s="130"/>
      <c r="DM16" s="130"/>
      <c r="DN16" s="130"/>
      <c r="DO16" s="130"/>
      <c r="DP16" s="130"/>
      <c r="DQ16" s="130"/>
      <c r="DR16" s="130"/>
      <c r="DS16" s="130"/>
      <c r="DT16" s="130"/>
      <c r="DU16" s="130"/>
      <c r="DV16" s="130"/>
      <c r="DW16" s="130"/>
      <c r="DX16" s="130"/>
      <c r="DY16" s="130"/>
      <c r="DZ16" s="130"/>
      <c r="EA16" s="130"/>
      <c r="EB16" s="130"/>
      <c r="EC16" s="130"/>
      <c r="ED16" s="130"/>
      <c r="EE16" s="130"/>
      <c r="EF16" s="130"/>
      <c r="EG16" s="130"/>
      <c r="EH16" s="130"/>
      <c r="EI16" s="130"/>
      <c r="EJ16" s="130"/>
      <c r="EK16" s="130"/>
      <c r="EL16" s="130"/>
      <c r="EM16" s="130"/>
      <c r="EN16" s="130"/>
      <c r="EO16" s="130"/>
      <c r="EP16" s="130"/>
      <c r="EQ16" s="130"/>
      <c r="ER16" s="130"/>
      <c r="ES16" s="130"/>
      <c r="ET16" s="130"/>
      <c r="EU16" s="130"/>
      <c r="EV16" s="130"/>
      <c r="EW16" s="130"/>
      <c r="EX16" s="130"/>
      <c r="EY16" s="130"/>
      <c r="EZ16" s="130"/>
      <c r="FA16" s="130"/>
      <c r="FB16" s="130"/>
      <c r="FC16" s="130"/>
      <c r="FD16" s="130"/>
      <c r="FE16" s="130"/>
      <c r="FF16" s="130"/>
      <c r="FG16" s="130"/>
      <c r="FH16" s="130"/>
      <c r="FI16" s="130"/>
      <c r="FJ16" s="130"/>
    </row>
    <row r="17" spans="1:166">
      <c r="A17" s="491"/>
      <c r="B17" s="501"/>
      <c r="C17" s="501"/>
      <c r="D17" s="501"/>
      <c r="E17" s="501"/>
      <c r="F17" s="501"/>
      <c r="G17" s="501"/>
      <c r="H17" s="501"/>
      <c r="I17" s="501"/>
      <c r="J17" s="501"/>
      <c r="K17" s="501"/>
      <c r="L17" s="499"/>
      <c r="M17" s="503"/>
      <c r="N17" s="503"/>
      <c r="O17" s="504"/>
      <c r="P17" s="491"/>
      <c r="Q17" s="491"/>
      <c r="R17" s="491"/>
      <c r="S17" s="491"/>
      <c r="T17" s="491"/>
      <c r="U17" s="491"/>
      <c r="V17" s="490"/>
      <c r="W17" s="490"/>
      <c r="X17" s="490"/>
      <c r="Y17" s="490"/>
      <c r="Z17" s="490"/>
      <c r="AA17" s="490"/>
      <c r="AB17" s="490"/>
      <c r="AC17" s="490"/>
      <c r="AD17" s="490"/>
      <c r="AE17" s="490"/>
      <c r="AF17" s="490"/>
      <c r="AG17" s="490"/>
      <c r="AH17" s="490"/>
      <c r="AI17" s="490"/>
      <c r="AJ17" s="490"/>
      <c r="AK17" s="490"/>
      <c r="AL17" s="490"/>
      <c r="AM17" s="312"/>
      <c r="AN17" s="312"/>
      <c r="AO17" s="312"/>
      <c r="AP17" s="312"/>
      <c r="AQ17" s="312"/>
      <c r="AR17" s="313"/>
      <c r="AS17" s="313"/>
      <c r="AT17" s="313"/>
      <c r="AU17" s="313"/>
      <c r="AV17" s="313"/>
      <c r="AW17" s="313"/>
      <c r="AX17" s="313"/>
      <c r="AY17" s="313"/>
      <c r="AZ17" s="313"/>
      <c r="BA17" s="313"/>
      <c r="BB17" s="313"/>
      <c r="BC17" s="313"/>
      <c r="BD17" s="313"/>
      <c r="BE17" s="313"/>
      <c r="BF17" s="313"/>
      <c r="BG17" s="313"/>
      <c r="BH17" s="313"/>
      <c r="BI17" s="313"/>
      <c r="BJ17" s="313"/>
      <c r="BK17" s="130"/>
      <c r="BL17" s="130"/>
      <c r="BM17" s="130"/>
      <c r="BN17" s="130"/>
      <c r="BO17" s="130"/>
      <c r="BP17" s="130"/>
      <c r="BQ17" s="130"/>
      <c r="BR17" s="130"/>
      <c r="BS17" s="130"/>
      <c r="BT17" s="130"/>
      <c r="BU17" s="130"/>
      <c r="BV17" s="130"/>
      <c r="BW17" s="130"/>
      <c r="BX17" s="130"/>
      <c r="BY17" s="130"/>
      <c r="BZ17" s="130"/>
      <c r="CA17" s="130"/>
      <c r="CB17" s="130"/>
      <c r="CC17" s="130"/>
      <c r="CD17" s="130"/>
      <c r="CE17" s="130"/>
      <c r="CF17" s="130"/>
      <c r="CG17" s="130"/>
      <c r="CH17" s="130"/>
      <c r="CI17" s="130"/>
      <c r="CJ17" s="130"/>
      <c r="CK17" s="130"/>
      <c r="CL17" s="130"/>
      <c r="CM17" s="130"/>
      <c r="CN17" s="130"/>
      <c r="CO17" s="130"/>
      <c r="CP17" s="130"/>
      <c r="CQ17" s="130"/>
      <c r="CR17" s="130"/>
      <c r="CS17" s="130"/>
      <c r="CT17" s="130"/>
      <c r="CU17" s="130"/>
      <c r="CV17" s="130"/>
      <c r="CW17" s="130"/>
      <c r="CX17" s="130"/>
      <c r="CY17" s="130"/>
      <c r="CZ17" s="130"/>
      <c r="DA17" s="130"/>
      <c r="DB17" s="130"/>
      <c r="DC17" s="130"/>
      <c r="DD17" s="130"/>
      <c r="DE17" s="130"/>
      <c r="DF17" s="130"/>
      <c r="DG17" s="130"/>
      <c r="DH17" s="130"/>
      <c r="DI17" s="130"/>
      <c r="DJ17" s="130"/>
      <c r="DK17" s="130"/>
      <c r="DL17" s="130"/>
      <c r="DM17" s="130"/>
      <c r="DN17" s="130"/>
      <c r="DO17" s="130"/>
      <c r="DP17" s="130"/>
      <c r="DQ17" s="130"/>
      <c r="DR17" s="130"/>
      <c r="DS17" s="130"/>
      <c r="DT17" s="130"/>
      <c r="DU17" s="130"/>
      <c r="DV17" s="130"/>
      <c r="DW17" s="130"/>
      <c r="DX17" s="130"/>
      <c r="DY17" s="130"/>
      <c r="DZ17" s="130"/>
      <c r="EA17" s="130"/>
      <c r="EB17" s="130"/>
      <c r="EC17" s="130"/>
      <c r="ED17" s="130"/>
      <c r="EE17" s="130"/>
      <c r="EF17" s="130"/>
      <c r="EG17" s="130"/>
      <c r="EH17" s="130"/>
      <c r="EI17" s="130"/>
      <c r="EJ17" s="130"/>
      <c r="EK17" s="130"/>
      <c r="EL17" s="130"/>
      <c r="EM17" s="130"/>
      <c r="EN17" s="130"/>
      <c r="EO17" s="130"/>
      <c r="EP17" s="130"/>
      <c r="EQ17" s="130"/>
      <c r="ER17" s="130"/>
      <c r="ES17" s="130"/>
      <c r="ET17" s="130"/>
      <c r="EU17" s="130"/>
      <c r="EV17" s="130"/>
      <c r="EW17" s="130"/>
      <c r="EX17" s="130"/>
      <c r="EY17" s="130"/>
      <c r="EZ17" s="130"/>
      <c r="FA17" s="130"/>
      <c r="FB17" s="130"/>
      <c r="FC17" s="130"/>
      <c r="FD17" s="130"/>
      <c r="FE17" s="130"/>
      <c r="FF17" s="130"/>
      <c r="FG17" s="130"/>
      <c r="FH17" s="130"/>
      <c r="FI17" s="130"/>
      <c r="FJ17" s="130"/>
    </row>
    <row r="18" spans="1:166">
      <c r="A18" s="491"/>
      <c r="B18" s="501" t="s">
        <v>694</v>
      </c>
      <c r="C18" s="501"/>
      <c r="D18" s="501"/>
      <c r="E18" s="501"/>
      <c r="F18" s="501"/>
      <c r="G18" s="501"/>
      <c r="H18" s="501"/>
      <c r="I18" s="501"/>
      <c r="J18" s="501"/>
      <c r="K18" s="501"/>
      <c r="L18" s="499"/>
      <c r="M18" s="506"/>
      <c r="N18" s="506"/>
      <c r="O18" s="506"/>
      <c r="P18" s="491"/>
      <c r="Q18" s="491"/>
      <c r="R18" s="491"/>
      <c r="S18" s="491"/>
      <c r="T18" s="491"/>
      <c r="U18" s="491"/>
      <c r="V18" s="490"/>
      <c r="W18" s="490"/>
      <c r="X18" s="490"/>
      <c r="Y18" s="490"/>
      <c r="Z18" s="490"/>
      <c r="AA18" s="490"/>
      <c r="AB18" s="490"/>
      <c r="AC18" s="490"/>
      <c r="AD18" s="490"/>
      <c r="AE18" s="490"/>
      <c r="AF18" s="490"/>
      <c r="AG18" s="490"/>
      <c r="AH18" s="490"/>
      <c r="AI18" s="490"/>
      <c r="AJ18" s="490"/>
      <c r="AK18" s="490"/>
      <c r="AL18" s="490"/>
      <c r="AM18" s="312"/>
      <c r="AN18" s="312"/>
      <c r="AO18" s="312"/>
      <c r="AP18" s="312"/>
      <c r="AQ18" s="312"/>
      <c r="AR18" s="313"/>
      <c r="AS18" s="313"/>
      <c r="AT18" s="313"/>
      <c r="AU18" s="313"/>
      <c r="AV18" s="313"/>
      <c r="AW18" s="313"/>
      <c r="AX18" s="313"/>
      <c r="AY18" s="313"/>
      <c r="AZ18" s="313"/>
      <c r="BA18" s="313"/>
      <c r="BB18" s="313"/>
      <c r="BC18" s="313"/>
      <c r="BD18" s="313"/>
      <c r="BE18" s="313"/>
      <c r="BF18" s="313"/>
      <c r="BG18" s="313"/>
      <c r="BH18" s="313"/>
      <c r="BI18" s="313"/>
      <c r="BJ18" s="313"/>
      <c r="BK18" s="131"/>
      <c r="BL18" s="131"/>
      <c r="BM18" s="131"/>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c r="CV18" s="131"/>
      <c r="CW18" s="131"/>
      <c r="CX18" s="131"/>
      <c r="CY18" s="131"/>
      <c r="CZ18" s="131"/>
      <c r="DA18" s="131"/>
      <c r="DB18" s="131"/>
      <c r="DC18" s="131"/>
      <c r="DD18" s="131"/>
      <c r="DE18" s="131"/>
      <c r="DF18" s="131"/>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row>
    <row r="19" spans="1:166">
      <c r="A19" s="491"/>
      <c r="B19" s="501"/>
      <c r="C19" s="501"/>
      <c r="D19" s="501"/>
      <c r="E19" s="501"/>
      <c r="F19" s="501"/>
      <c r="G19" s="501"/>
      <c r="H19" s="501"/>
      <c r="I19" s="501"/>
      <c r="J19" s="501"/>
      <c r="K19" s="501"/>
      <c r="L19" s="499"/>
      <c r="M19" s="506"/>
      <c r="N19" s="506"/>
      <c r="O19" s="506"/>
      <c r="P19" s="491"/>
      <c r="Q19" s="491"/>
      <c r="R19" s="491"/>
      <c r="S19" s="491"/>
      <c r="T19" s="491"/>
      <c r="U19" s="491"/>
      <c r="V19" s="490"/>
      <c r="W19" s="490"/>
      <c r="X19" s="490"/>
      <c r="Y19" s="490"/>
      <c r="Z19" s="490"/>
      <c r="AA19" s="490"/>
      <c r="AB19" s="490"/>
      <c r="AC19" s="490"/>
      <c r="AD19" s="490"/>
      <c r="AE19" s="490"/>
      <c r="AF19" s="490"/>
      <c r="AG19" s="490"/>
      <c r="AH19" s="490"/>
      <c r="AI19" s="490"/>
      <c r="AJ19" s="490"/>
      <c r="AK19" s="490"/>
      <c r="AL19" s="490"/>
      <c r="AM19" s="312"/>
      <c r="AN19" s="312"/>
      <c r="AO19" s="312"/>
      <c r="AP19" s="312"/>
      <c r="AQ19" s="312"/>
      <c r="AR19" s="313"/>
      <c r="AS19" s="313"/>
      <c r="AT19" s="313"/>
      <c r="AU19" s="313"/>
      <c r="AV19" s="313"/>
      <c r="AW19" s="313"/>
      <c r="AX19" s="313"/>
      <c r="AY19" s="313"/>
      <c r="AZ19" s="313"/>
      <c r="BA19" s="313"/>
      <c r="BB19" s="313"/>
      <c r="BC19" s="313"/>
      <c r="BD19" s="313"/>
      <c r="BE19" s="313"/>
      <c r="BF19" s="313"/>
      <c r="BG19" s="313"/>
      <c r="BH19" s="313"/>
      <c r="BI19" s="313"/>
      <c r="BJ19" s="313"/>
      <c r="BK19" s="131"/>
      <c r="BL19" s="131"/>
      <c r="BM19" s="131"/>
      <c r="BN19" s="131"/>
      <c r="BO19" s="131"/>
      <c r="BP19" s="131"/>
      <c r="BQ19" s="131"/>
      <c r="BR19" s="131"/>
      <c r="BS19" s="131"/>
      <c r="BT19" s="131"/>
      <c r="BU19" s="131"/>
      <c r="BV19" s="131"/>
      <c r="BW19" s="131"/>
      <c r="BX19" s="131"/>
      <c r="BY19" s="131"/>
      <c r="BZ19" s="131"/>
      <c r="CA19" s="131"/>
      <c r="CB19" s="131"/>
      <c r="CC19" s="131"/>
      <c r="CD19" s="131"/>
      <c r="CE19" s="131"/>
      <c r="CF19" s="131"/>
      <c r="CG19" s="131"/>
      <c r="CH19" s="131"/>
      <c r="CI19" s="131"/>
      <c r="CJ19" s="131"/>
      <c r="CK19" s="131"/>
      <c r="CL19" s="131"/>
      <c r="CM19" s="131"/>
      <c r="CN19" s="131"/>
      <c r="CO19" s="131"/>
      <c r="CP19" s="131"/>
      <c r="CQ19" s="131"/>
      <c r="CR19" s="131"/>
      <c r="CS19" s="131"/>
      <c r="CT19" s="131"/>
      <c r="CU19" s="131"/>
      <c r="CV19" s="131"/>
      <c r="CW19" s="131"/>
      <c r="CX19" s="131"/>
      <c r="CY19" s="131"/>
      <c r="CZ19" s="131"/>
      <c r="DA19" s="131"/>
      <c r="DB19" s="131"/>
      <c r="DC19" s="131"/>
      <c r="DD19" s="131"/>
      <c r="DE19" s="131"/>
      <c r="DF19" s="131"/>
      <c r="DG19" s="131"/>
      <c r="DH19" s="131"/>
      <c r="DI19" s="131"/>
      <c r="DJ19" s="131"/>
      <c r="DK19" s="131"/>
      <c r="DL19" s="131"/>
      <c r="DM19" s="131"/>
      <c r="DN19" s="131"/>
      <c r="DO19" s="131"/>
      <c r="DP19" s="131"/>
      <c r="DQ19" s="131"/>
      <c r="DR19" s="131"/>
      <c r="DS19" s="131"/>
      <c r="DT19" s="131"/>
      <c r="DU19" s="131"/>
      <c r="DV19" s="131"/>
      <c r="DW19" s="131"/>
      <c r="DX19" s="131"/>
      <c r="DY19" s="131"/>
      <c r="DZ19" s="131"/>
      <c r="EA19" s="131"/>
      <c r="EB19" s="131"/>
      <c r="EC19" s="131"/>
      <c r="ED19" s="131"/>
      <c r="EE19" s="131"/>
      <c r="EF19" s="131"/>
      <c r="EG19" s="131"/>
      <c r="EH19" s="131"/>
      <c r="EI19" s="131"/>
      <c r="EJ19" s="131"/>
      <c r="EK19" s="131"/>
      <c r="EL19" s="131"/>
      <c r="EM19" s="131"/>
      <c r="EN19" s="131"/>
      <c r="EO19" s="131"/>
      <c r="EP19" s="131"/>
      <c r="EQ19" s="131"/>
      <c r="ER19" s="131"/>
      <c r="ES19" s="131"/>
      <c r="ET19" s="131"/>
      <c r="EU19" s="131"/>
      <c r="EV19" s="131"/>
      <c r="EW19" s="131"/>
      <c r="EX19" s="131"/>
      <c r="EY19" s="131"/>
      <c r="EZ19" s="131"/>
      <c r="FA19" s="131"/>
      <c r="FB19" s="131"/>
      <c r="FC19" s="131"/>
      <c r="FD19" s="131"/>
      <c r="FE19" s="131"/>
      <c r="FF19" s="131"/>
      <c r="FG19" s="131"/>
      <c r="FH19" s="131"/>
      <c r="FI19" s="131"/>
      <c r="FJ19" s="131"/>
    </row>
    <row r="20" spans="1:166">
      <c r="A20" s="491"/>
      <c r="B20" s="501" t="s">
        <v>1127</v>
      </c>
      <c r="C20" s="501"/>
      <c r="D20" s="501"/>
      <c r="E20" s="501"/>
      <c r="F20" s="501"/>
      <c r="G20" s="501"/>
      <c r="H20" s="501"/>
      <c r="I20" s="501"/>
      <c r="J20" s="501"/>
      <c r="K20" s="501"/>
      <c r="L20" s="499"/>
      <c r="M20" s="503"/>
      <c r="N20" s="503"/>
      <c r="O20" s="504"/>
      <c r="P20" s="491"/>
      <c r="Q20" s="497"/>
      <c r="R20" s="486"/>
      <c r="S20" s="486"/>
      <c r="T20" s="486"/>
      <c r="U20" s="491"/>
      <c r="V20" s="490"/>
      <c r="W20" s="490"/>
      <c r="X20" s="490"/>
      <c r="Y20" s="490"/>
      <c r="Z20" s="490"/>
      <c r="AA20" s="490"/>
      <c r="AB20" s="490"/>
      <c r="AC20" s="490"/>
      <c r="AD20" s="490"/>
      <c r="AE20" s="490"/>
      <c r="AF20" s="490"/>
      <c r="AG20" s="490"/>
      <c r="AH20" s="490"/>
      <c r="AI20" s="490"/>
      <c r="AJ20" s="490"/>
      <c r="AK20" s="490"/>
      <c r="AL20" s="490"/>
      <c r="AM20" s="312"/>
      <c r="AN20" s="312"/>
      <c r="AO20" s="312"/>
      <c r="AP20" s="312"/>
      <c r="AQ20" s="312"/>
      <c r="AR20" s="313"/>
      <c r="AS20" s="313"/>
      <c r="AT20" s="313"/>
      <c r="AU20" s="313"/>
      <c r="AV20" s="313"/>
      <c r="AW20" s="313"/>
      <c r="AX20" s="313"/>
      <c r="AY20" s="313"/>
      <c r="AZ20" s="313"/>
      <c r="BA20" s="313"/>
      <c r="BB20" s="313"/>
      <c r="BC20" s="313"/>
      <c r="BD20" s="313"/>
      <c r="BE20" s="313"/>
      <c r="BF20" s="313"/>
      <c r="BG20" s="313"/>
      <c r="BH20" s="313"/>
      <c r="BI20" s="313"/>
      <c r="BJ20" s="313"/>
      <c r="BK20" s="130"/>
      <c r="BL20" s="130"/>
      <c r="BM20" s="130"/>
      <c r="BN20" s="130"/>
      <c r="BO20" s="130"/>
      <c r="BP20" s="130"/>
      <c r="BQ20" s="130"/>
      <c r="BR20" s="130"/>
      <c r="BS20" s="130"/>
      <c r="BT20" s="130"/>
      <c r="BU20" s="130"/>
      <c r="BV20" s="130"/>
      <c r="BW20" s="130"/>
      <c r="BX20" s="130"/>
      <c r="BY20" s="130"/>
      <c r="BZ20" s="130"/>
      <c r="CA20" s="130"/>
      <c r="CB20" s="130"/>
      <c r="CC20" s="130"/>
      <c r="CD20" s="130"/>
      <c r="CE20" s="130"/>
      <c r="CF20" s="130"/>
      <c r="CG20" s="130"/>
      <c r="CH20" s="130"/>
      <c r="CI20" s="130"/>
      <c r="CJ20" s="130"/>
      <c r="CK20" s="130"/>
      <c r="CL20" s="130"/>
      <c r="CM20" s="130"/>
      <c r="CN20" s="130"/>
      <c r="CO20" s="130"/>
      <c r="CP20" s="130"/>
      <c r="CQ20" s="130"/>
      <c r="CR20" s="130"/>
      <c r="CS20" s="130"/>
      <c r="CT20" s="130"/>
      <c r="CU20" s="130"/>
      <c r="CV20" s="130"/>
      <c r="CW20" s="130"/>
      <c r="CX20" s="130"/>
      <c r="CY20" s="130"/>
      <c r="CZ20" s="130"/>
      <c r="DA20" s="130"/>
      <c r="DB20" s="130"/>
      <c r="DC20" s="130"/>
      <c r="DD20" s="130"/>
      <c r="DE20" s="130"/>
      <c r="DF20" s="130"/>
      <c r="DG20" s="130"/>
      <c r="DH20" s="130"/>
      <c r="DI20" s="130"/>
      <c r="DJ20" s="130"/>
      <c r="DK20" s="130"/>
      <c r="DL20" s="130"/>
      <c r="DM20" s="130"/>
      <c r="DN20" s="130"/>
      <c r="DO20" s="130"/>
      <c r="DP20" s="130"/>
      <c r="DQ20" s="130"/>
      <c r="DR20" s="130"/>
      <c r="DS20" s="130"/>
      <c r="DT20" s="130"/>
      <c r="DU20" s="130"/>
      <c r="DV20" s="130"/>
      <c r="DW20" s="130"/>
      <c r="DX20" s="130"/>
      <c r="DY20" s="130"/>
      <c r="DZ20" s="130"/>
      <c r="EA20" s="130"/>
      <c r="EB20" s="130"/>
      <c r="EC20" s="130"/>
      <c r="ED20" s="130"/>
      <c r="EE20" s="130"/>
      <c r="EF20" s="130"/>
      <c r="EG20" s="130"/>
      <c r="EH20" s="130"/>
      <c r="EI20" s="130"/>
      <c r="EJ20" s="130"/>
      <c r="EK20" s="130"/>
      <c r="EL20" s="130"/>
      <c r="EM20" s="130"/>
      <c r="EN20" s="130"/>
      <c r="EO20" s="130"/>
      <c r="EP20" s="130"/>
      <c r="EQ20" s="130"/>
      <c r="ER20" s="130"/>
      <c r="ES20" s="130"/>
      <c r="ET20" s="130"/>
      <c r="EU20" s="130"/>
      <c r="EV20" s="130"/>
      <c r="EW20" s="130"/>
      <c r="EX20" s="130"/>
      <c r="EY20" s="130"/>
      <c r="EZ20" s="130"/>
      <c r="FA20" s="130"/>
      <c r="FB20" s="130"/>
      <c r="FC20" s="130"/>
      <c r="FD20" s="130"/>
      <c r="FE20" s="130"/>
      <c r="FF20" s="130"/>
      <c r="FG20" s="130"/>
      <c r="FH20" s="130"/>
      <c r="FI20" s="130"/>
      <c r="FJ20" s="130"/>
    </row>
    <row r="21" spans="1:166">
      <c r="A21" s="491"/>
      <c r="B21" s="491"/>
      <c r="C21" s="497"/>
      <c r="D21" s="507"/>
      <c r="E21" s="507"/>
      <c r="F21" s="497"/>
      <c r="G21" s="498"/>
      <c r="H21" s="499"/>
      <c r="I21" s="491"/>
      <c r="J21" s="497"/>
      <c r="K21" s="498"/>
      <c r="L21" s="499"/>
      <c r="M21" s="507"/>
      <c r="N21" s="507"/>
      <c r="O21" s="508"/>
      <c r="P21" s="491"/>
      <c r="Q21" s="491"/>
      <c r="R21" s="491"/>
      <c r="S21" s="491"/>
      <c r="T21" s="491"/>
      <c r="U21" s="491"/>
      <c r="V21" s="490"/>
      <c r="W21" s="490"/>
      <c r="X21" s="490"/>
      <c r="Y21" s="490"/>
      <c r="Z21" s="490"/>
      <c r="AA21" s="490"/>
      <c r="AB21" s="490"/>
      <c r="AC21" s="490"/>
      <c r="AD21" s="490"/>
      <c r="AE21" s="490"/>
      <c r="AF21" s="490"/>
      <c r="AG21" s="490"/>
      <c r="AH21" s="490"/>
      <c r="AI21" s="490"/>
      <c r="AJ21" s="490"/>
      <c r="AK21" s="490"/>
      <c r="AL21" s="490"/>
      <c r="AM21" s="312"/>
      <c r="AN21" s="312"/>
      <c r="AO21" s="312"/>
      <c r="AP21" s="312"/>
      <c r="AQ21" s="312"/>
      <c r="AR21" s="313"/>
      <c r="AS21" s="313"/>
      <c r="AT21" s="313"/>
      <c r="AU21" s="313"/>
      <c r="AV21" s="313"/>
      <c r="AW21" s="313"/>
      <c r="AX21" s="313"/>
      <c r="AY21" s="313"/>
      <c r="AZ21" s="313"/>
      <c r="BA21" s="313"/>
      <c r="BB21" s="313"/>
      <c r="BC21" s="313"/>
      <c r="BD21" s="313"/>
      <c r="BE21" s="313"/>
      <c r="BF21" s="313"/>
      <c r="BG21" s="313"/>
      <c r="BH21" s="313"/>
      <c r="BI21" s="313"/>
      <c r="BJ21" s="313"/>
      <c r="BK21" s="132"/>
      <c r="BL21" s="132"/>
      <c r="BM21" s="132"/>
      <c r="BN21" s="132"/>
      <c r="BO21" s="132"/>
      <c r="BP21" s="132"/>
      <c r="BQ21" s="132"/>
      <c r="BR21" s="132"/>
      <c r="BS21" s="132"/>
      <c r="BT21" s="132"/>
      <c r="BU21" s="132"/>
      <c r="BV21" s="132"/>
      <c r="BW21" s="132"/>
      <c r="BX21" s="132"/>
      <c r="BY21" s="132"/>
      <c r="BZ21" s="132"/>
      <c r="CA21" s="132"/>
      <c r="CB21" s="132"/>
      <c r="CC21" s="132"/>
      <c r="CD21" s="132"/>
      <c r="CE21" s="132"/>
      <c r="CF21" s="132"/>
      <c r="CG21" s="132"/>
      <c r="CH21" s="132"/>
      <c r="CI21" s="132"/>
      <c r="CJ21" s="132"/>
      <c r="CK21" s="132"/>
      <c r="CL21" s="132"/>
      <c r="CM21" s="132"/>
      <c r="CN21" s="132"/>
      <c r="CO21" s="132"/>
      <c r="CP21" s="132"/>
      <c r="CQ21" s="132"/>
      <c r="CR21" s="132"/>
      <c r="CS21" s="132"/>
      <c r="CT21" s="132"/>
      <c r="CU21" s="132"/>
      <c r="CV21" s="132"/>
      <c r="CW21" s="132"/>
      <c r="CX21" s="132"/>
      <c r="CY21" s="132"/>
      <c r="CZ21" s="132"/>
      <c r="DA21" s="132"/>
      <c r="DB21" s="132"/>
      <c r="DC21" s="132"/>
      <c r="DD21" s="132"/>
      <c r="DE21" s="132"/>
      <c r="DF21" s="132"/>
      <c r="DG21" s="132"/>
      <c r="DH21" s="132"/>
      <c r="DI21" s="132"/>
      <c r="DJ21" s="132"/>
      <c r="DK21" s="132"/>
      <c r="DL21" s="132"/>
      <c r="DM21" s="132"/>
      <c r="DN21" s="132"/>
      <c r="DO21" s="132"/>
      <c r="DP21" s="132"/>
      <c r="DQ21" s="132"/>
      <c r="DR21" s="132"/>
      <c r="DS21" s="132"/>
      <c r="DT21" s="132"/>
      <c r="DU21" s="132"/>
      <c r="DV21" s="132"/>
      <c r="DW21" s="132"/>
      <c r="DX21" s="132"/>
      <c r="DY21" s="132"/>
      <c r="DZ21" s="132"/>
      <c r="EA21" s="132"/>
      <c r="EB21" s="132"/>
      <c r="EC21" s="132"/>
      <c r="ED21" s="132"/>
      <c r="EE21" s="132"/>
      <c r="EF21" s="132"/>
      <c r="EG21" s="132"/>
      <c r="EH21" s="132"/>
      <c r="EI21" s="132"/>
      <c r="EJ21" s="132"/>
      <c r="EK21" s="132"/>
      <c r="EL21" s="132"/>
      <c r="EM21" s="132"/>
      <c r="EN21" s="132"/>
      <c r="EO21" s="132"/>
      <c r="EP21" s="132"/>
      <c r="EQ21" s="132"/>
      <c r="ER21" s="132"/>
      <c r="ES21" s="132"/>
      <c r="ET21" s="132"/>
      <c r="EU21" s="132"/>
      <c r="EV21" s="132"/>
      <c r="EW21" s="132"/>
      <c r="EX21" s="132"/>
      <c r="EY21" s="132"/>
      <c r="EZ21" s="132"/>
      <c r="FA21" s="132"/>
      <c r="FB21" s="132"/>
      <c r="FC21" s="132"/>
      <c r="FD21" s="132"/>
      <c r="FE21" s="132"/>
      <c r="FF21" s="132"/>
      <c r="FG21" s="132"/>
      <c r="FH21" s="132"/>
      <c r="FI21" s="132"/>
      <c r="FJ21" s="132"/>
    </row>
    <row r="22" spans="1:166">
      <c r="A22" s="491"/>
      <c r="B22" s="509" t="s">
        <v>695</v>
      </c>
      <c r="C22" s="498"/>
      <c r="D22" s="503"/>
      <c r="E22" s="503"/>
      <c r="F22" s="497"/>
      <c r="G22" s="498"/>
      <c r="H22" s="499"/>
      <c r="I22" s="491"/>
      <c r="J22" s="497"/>
      <c r="K22" s="498"/>
      <c r="L22" s="499"/>
      <c r="M22" s="504"/>
      <c r="N22" s="504"/>
      <c r="O22" s="504"/>
      <c r="P22" s="491"/>
      <c r="Q22" s="491"/>
      <c r="R22" s="491"/>
      <c r="S22" s="491"/>
      <c r="T22" s="491"/>
      <c r="U22" s="491"/>
      <c r="V22" s="490"/>
      <c r="W22" s="490"/>
      <c r="X22" s="490"/>
      <c r="Y22" s="490"/>
      <c r="Z22" s="490"/>
      <c r="AA22" s="490"/>
      <c r="AB22" s="490"/>
      <c r="AC22" s="490"/>
      <c r="AD22" s="490"/>
      <c r="AE22" s="490"/>
      <c r="AF22" s="490"/>
      <c r="AG22" s="490"/>
      <c r="AH22" s="490"/>
      <c r="AI22" s="490"/>
      <c r="AJ22" s="490"/>
      <c r="AK22" s="490"/>
      <c r="AL22" s="490"/>
      <c r="AM22" s="312"/>
      <c r="AN22" s="312"/>
      <c r="AO22" s="312"/>
      <c r="AP22" s="312"/>
      <c r="AQ22" s="312"/>
      <c r="AR22" s="313"/>
      <c r="AS22" s="313"/>
      <c r="AT22" s="313"/>
      <c r="AU22" s="313"/>
      <c r="AV22" s="313"/>
      <c r="AW22" s="313"/>
      <c r="AX22" s="313"/>
      <c r="AY22" s="313"/>
      <c r="AZ22" s="313"/>
      <c r="BA22" s="313"/>
      <c r="BB22" s="313"/>
      <c r="BC22" s="313"/>
      <c r="BD22" s="313"/>
      <c r="BE22" s="313"/>
      <c r="BF22" s="313"/>
      <c r="BG22" s="313"/>
      <c r="BH22" s="313"/>
      <c r="BI22" s="313"/>
      <c r="BJ22" s="313"/>
      <c r="BK22" s="133"/>
      <c r="BL22" s="133"/>
      <c r="BM22" s="133"/>
      <c r="BN22" s="133"/>
      <c r="BO22" s="133"/>
      <c r="BP22" s="133"/>
      <c r="BQ22" s="133"/>
      <c r="BR22" s="133"/>
      <c r="BS22" s="133"/>
      <c r="BT22" s="133"/>
      <c r="BU22" s="133"/>
      <c r="BV22" s="133"/>
      <c r="BW22" s="133"/>
      <c r="BX22" s="133"/>
      <c r="BY22" s="133"/>
      <c r="BZ22" s="133"/>
      <c r="CA22" s="133"/>
      <c r="CB22" s="133"/>
      <c r="CC22" s="133"/>
      <c r="CD22" s="133"/>
      <c r="CE22" s="133"/>
      <c r="CF22" s="133"/>
      <c r="CG22" s="133"/>
      <c r="CH22" s="133"/>
      <c r="CI22" s="133"/>
      <c r="CJ22" s="133"/>
      <c r="CK22" s="133"/>
      <c r="CL22" s="133"/>
      <c r="CM22" s="133"/>
      <c r="CN22" s="133"/>
      <c r="CO22" s="133"/>
      <c r="CP22" s="133"/>
      <c r="CQ22" s="133"/>
      <c r="CR22" s="133"/>
      <c r="CS22" s="133"/>
      <c r="CT22" s="133"/>
      <c r="CU22" s="133"/>
      <c r="CV22" s="133"/>
      <c r="CW22" s="133"/>
      <c r="CX22" s="133"/>
      <c r="CY22" s="133"/>
      <c r="CZ22" s="133"/>
      <c r="DA22" s="133"/>
      <c r="DB22" s="133"/>
      <c r="DC22" s="133"/>
      <c r="DD22" s="133"/>
      <c r="DE22" s="133"/>
      <c r="DF22" s="133"/>
      <c r="DG22" s="133"/>
      <c r="DH22" s="133"/>
      <c r="DI22" s="133"/>
      <c r="DJ22" s="133"/>
      <c r="DK22" s="133"/>
      <c r="DL22" s="133"/>
      <c r="DM22" s="133"/>
      <c r="DN22" s="133"/>
      <c r="DO22" s="133"/>
      <c r="DP22" s="133"/>
      <c r="DQ22" s="133"/>
      <c r="DR22" s="133"/>
      <c r="DS22" s="133"/>
      <c r="DT22" s="133"/>
      <c r="DU22" s="133"/>
      <c r="DV22" s="133"/>
      <c r="DW22" s="133"/>
      <c r="DX22" s="133"/>
      <c r="DY22" s="133"/>
      <c r="DZ22" s="133"/>
      <c r="EA22" s="133"/>
      <c r="EB22" s="133"/>
      <c r="EC22" s="133"/>
      <c r="ED22" s="133"/>
      <c r="EE22" s="133"/>
      <c r="EF22" s="133"/>
      <c r="EG22" s="133"/>
      <c r="EH22" s="133"/>
      <c r="EI22" s="133"/>
      <c r="EJ22" s="133"/>
      <c r="EK22" s="133"/>
      <c r="EL22" s="133"/>
      <c r="EM22" s="133"/>
      <c r="EN22" s="133"/>
      <c r="EO22" s="133"/>
      <c r="EP22" s="133"/>
      <c r="EQ22" s="133"/>
      <c r="ER22" s="133"/>
      <c r="ES22" s="133"/>
      <c r="ET22" s="133"/>
      <c r="EU22" s="133"/>
      <c r="EV22" s="133"/>
      <c r="EW22" s="133"/>
      <c r="EX22" s="133"/>
      <c r="EY22" s="133"/>
      <c r="EZ22" s="133"/>
      <c r="FA22" s="133"/>
      <c r="FB22" s="133"/>
      <c r="FC22" s="133"/>
      <c r="FD22" s="133"/>
      <c r="FE22" s="133"/>
      <c r="FF22" s="133"/>
      <c r="FG22" s="133"/>
      <c r="FH22" s="133"/>
      <c r="FI22" s="133"/>
      <c r="FJ22" s="133"/>
    </row>
    <row r="23" spans="1:166">
      <c r="A23" s="491"/>
      <c r="B23" s="491" t="s">
        <v>948</v>
      </c>
      <c r="C23" s="498"/>
      <c r="D23" s="503"/>
      <c r="E23" s="503"/>
      <c r="F23" s="497"/>
      <c r="G23" s="498"/>
      <c r="H23" s="499"/>
      <c r="I23" s="491"/>
      <c r="J23" s="497"/>
      <c r="K23" s="498"/>
      <c r="L23" s="499"/>
      <c r="M23" s="507"/>
      <c r="N23" s="507"/>
      <c r="O23" s="510"/>
      <c r="P23" s="491"/>
      <c r="Q23" s="486"/>
      <c r="R23" s="486"/>
      <c r="S23" s="486"/>
      <c r="T23" s="486"/>
      <c r="U23" s="486"/>
      <c r="V23" s="490"/>
      <c r="W23" s="490"/>
      <c r="X23" s="490"/>
      <c r="Y23" s="490"/>
      <c r="Z23" s="490"/>
      <c r="AA23" s="490"/>
      <c r="AB23" s="490"/>
      <c r="AC23" s="490"/>
      <c r="AD23" s="490"/>
      <c r="AE23" s="490"/>
      <c r="AF23" s="490"/>
      <c r="AG23" s="490"/>
      <c r="AH23" s="490"/>
      <c r="AI23" s="490"/>
      <c r="AJ23" s="490"/>
      <c r="AK23" s="490"/>
      <c r="AL23" s="490"/>
      <c r="AM23" s="312"/>
      <c r="AN23" s="312"/>
      <c r="AO23" s="312"/>
      <c r="AP23" s="312"/>
      <c r="AQ23" s="312"/>
      <c r="AR23" s="313"/>
      <c r="AS23" s="313"/>
      <c r="AT23" s="313"/>
      <c r="AU23" s="313"/>
      <c r="AV23" s="313"/>
      <c r="AW23" s="313"/>
      <c r="AX23" s="313"/>
      <c r="AY23" s="313"/>
      <c r="AZ23" s="313"/>
      <c r="BA23" s="313"/>
      <c r="BB23" s="313"/>
      <c r="BC23" s="313"/>
      <c r="BD23" s="313"/>
      <c r="BE23" s="313"/>
      <c r="BF23" s="313"/>
      <c r="BG23" s="313"/>
      <c r="BH23" s="313"/>
      <c r="BI23" s="313"/>
      <c r="BJ23" s="313"/>
      <c r="BK23" s="132"/>
      <c r="BL23" s="132"/>
      <c r="BM23" s="132"/>
      <c r="BN23" s="132"/>
      <c r="BO23" s="132"/>
      <c r="BP23" s="132"/>
      <c r="BQ23" s="132"/>
      <c r="BR23" s="132"/>
      <c r="BS23" s="132"/>
      <c r="BT23" s="132"/>
      <c r="BU23" s="132"/>
      <c r="BV23" s="132"/>
      <c r="BW23" s="132"/>
      <c r="BX23" s="132"/>
      <c r="BY23" s="132"/>
      <c r="BZ23" s="132"/>
      <c r="CA23" s="132"/>
      <c r="CB23" s="132"/>
      <c r="CC23" s="132"/>
      <c r="CD23" s="132"/>
      <c r="CE23" s="132"/>
      <c r="CF23" s="132"/>
      <c r="CG23" s="132"/>
      <c r="CH23" s="132"/>
      <c r="CI23" s="132"/>
      <c r="CJ23" s="132"/>
      <c r="CK23" s="132"/>
      <c r="CL23" s="132"/>
      <c r="CM23" s="132"/>
      <c r="CN23" s="132"/>
      <c r="CO23" s="132"/>
      <c r="CP23" s="132"/>
      <c r="CQ23" s="132"/>
      <c r="CR23" s="132"/>
      <c r="CS23" s="132"/>
      <c r="CT23" s="132"/>
      <c r="CU23" s="132"/>
      <c r="CV23" s="132"/>
      <c r="CW23" s="132"/>
      <c r="CX23" s="132"/>
      <c r="CY23" s="132"/>
      <c r="CZ23" s="132"/>
      <c r="DA23" s="132"/>
      <c r="DB23" s="132"/>
      <c r="DC23" s="132"/>
      <c r="DD23" s="132"/>
      <c r="DE23" s="132"/>
      <c r="DF23" s="132"/>
      <c r="DG23" s="132"/>
      <c r="DH23" s="132"/>
      <c r="DI23" s="132"/>
      <c r="DJ23" s="132"/>
      <c r="DK23" s="132"/>
      <c r="DL23" s="132"/>
      <c r="DM23" s="132"/>
      <c r="DN23" s="132"/>
      <c r="DO23" s="132"/>
      <c r="DP23" s="132"/>
      <c r="DQ23" s="132"/>
      <c r="DR23" s="132"/>
      <c r="DS23" s="132"/>
      <c r="DT23" s="132"/>
      <c r="DU23" s="132"/>
      <c r="DV23" s="132"/>
      <c r="DW23" s="132"/>
      <c r="DX23" s="132"/>
      <c r="DY23" s="132"/>
      <c r="DZ23" s="132"/>
      <c r="EA23" s="132"/>
      <c r="EB23" s="132"/>
      <c r="EC23" s="132"/>
      <c r="ED23" s="132"/>
      <c r="EE23" s="132"/>
      <c r="EF23" s="132"/>
      <c r="EG23" s="132"/>
      <c r="EH23" s="132"/>
      <c r="EI23" s="132"/>
      <c r="EJ23" s="132"/>
      <c r="EK23" s="132"/>
      <c r="EL23" s="132"/>
      <c r="EM23" s="132"/>
      <c r="EN23" s="132"/>
      <c r="EO23" s="132"/>
      <c r="EP23" s="132"/>
      <c r="EQ23" s="132"/>
      <c r="ER23" s="132"/>
      <c r="ES23" s="132"/>
      <c r="ET23" s="132"/>
      <c r="EU23" s="132"/>
      <c r="EV23" s="132"/>
      <c r="EW23" s="132"/>
      <c r="EX23" s="132"/>
      <c r="EY23" s="132"/>
      <c r="EZ23" s="132"/>
      <c r="FA23" s="132"/>
      <c r="FB23" s="132"/>
      <c r="FC23" s="132"/>
      <c r="FD23" s="132"/>
      <c r="FE23" s="132"/>
      <c r="FF23" s="132"/>
      <c r="FG23" s="132"/>
      <c r="FH23" s="132"/>
      <c r="FI23" s="132"/>
      <c r="FJ23" s="132"/>
    </row>
    <row r="24" spans="1:166">
      <c r="A24" s="491"/>
      <c r="B24" s="491"/>
      <c r="C24" s="498"/>
      <c r="D24" s="507"/>
      <c r="E24" s="507"/>
      <c r="F24" s="497"/>
      <c r="G24" s="498"/>
      <c r="H24" s="499"/>
      <c r="I24" s="491"/>
      <c r="J24" s="497"/>
      <c r="K24" s="498"/>
      <c r="L24" s="499"/>
      <c r="M24" s="507"/>
      <c r="N24" s="507"/>
      <c r="O24" s="508"/>
      <c r="P24" s="491"/>
      <c r="Q24" s="496"/>
      <c r="R24" s="486"/>
      <c r="S24" s="486"/>
      <c r="T24" s="486"/>
      <c r="U24" s="486"/>
      <c r="V24" s="490"/>
      <c r="W24" s="490"/>
      <c r="X24" s="490"/>
      <c r="Y24" s="490"/>
      <c r="Z24" s="490"/>
      <c r="AA24" s="490"/>
      <c r="AB24" s="490"/>
      <c r="AC24" s="490"/>
      <c r="AD24" s="490"/>
      <c r="AE24" s="490"/>
      <c r="AF24" s="490"/>
      <c r="AG24" s="490"/>
      <c r="AH24" s="490"/>
      <c r="AI24" s="490"/>
      <c r="AJ24" s="490"/>
      <c r="AK24" s="490"/>
      <c r="AL24" s="490"/>
      <c r="AM24" s="312"/>
      <c r="AN24" s="312"/>
      <c r="AO24" s="312"/>
      <c r="AP24" s="312"/>
      <c r="AQ24" s="312"/>
      <c r="AR24" s="313"/>
      <c r="AS24" s="313"/>
      <c r="AT24" s="313"/>
      <c r="AU24" s="313"/>
      <c r="AV24" s="313"/>
      <c r="AW24" s="313"/>
      <c r="AX24" s="313"/>
      <c r="AY24" s="313"/>
      <c r="AZ24" s="313"/>
      <c r="BA24" s="313"/>
      <c r="BB24" s="313"/>
      <c r="BC24" s="313"/>
      <c r="BD24" s="313"/>
      <c r="BE24" s="313"/>
      <c r="BF24" s="313"/>
      <c r="BG24" s="313"/>
      <c r="BH24" s="313"/>
      <c r="BI24" s="313"/>
      <c r="BJ24" s="313"/>
      <c r="BK24" s="132"/>
      <c r="BL24" s="132"/>
      <c r="BM24" s="132"/>
      <c r="BN24" s="132"/>
      <c r="BO24" s="132"/>
      <c r="BP24" s="132"/>
      <c r="BQ24" s="132"/>
      <c r="BR24" s="132"/>
      <c r="BS24" s="132"/>
      <c r="BT24" s="132"/>
      <c r="BU24" s="132"/>
      <c r="BV24" s="132"/>
      <c r="BW24" s="132"/>
      <c r="BX24" s="132"/>
      <c r="BY24" s="132"/>
      <c r="BZ24" s="132"/>
      <c r="CA24" s="132"/>
      <c r="CB24" s="132"/>
      <c r="CC24" s="132"/>
      <c r="CD24" s="132"/>
      <c r="CE24" s="132"/>
      <c r="CF24" s="132"/>
      <c r="CG24" s="132"/>
      <c r="CH24" s="132"/>
      <c r="CI24" s="132"/>
      <c r="CJ24" s="132"/>
      <c r="CK24" s="132"/>
      <c r="CL24" s="132"/>
      <c r="CM24" s="132"/>
      <c r="CN24" s="132"/>
      <c r="CO24" s="132"/>
      <c r="CP24" s="132"/>
      <c r="CQ24" s="132"/>
      <c r="CR24" s="132"/>
      <c r="CS24" s="132"/>
      <c r="CT24" s="132"/>
      <c r="CU24" s="132"/>
      <c r="CV24" s="132"/>
      <c r="CW24" s="132"/>
      <c r="CX24" s="132"/>
      <c r="CY24" s="132"/>
      <c r="CZ24" s="132"/>
      <c r="DA24" s="132"/>
      <c r="DB24" s="132"/>
      <c r="DC24" s="132"/>
      <c r="DD24" s="132"/>
      <c r="DE24" s="132"/>
      <c r="DF24" s="132"/>
      <c r="DG24" s="132"/>
      <c r="DH24" s="132"/>
      <c r="DI24" s="132"/>
      <c r="DJ24" s="132"/>
      <c r="DK24" s="132"/>
      <c r="DL24" s="132"/>
      <c r="DM24" s="132"/>
      <c r="DN24" s="132"/>
      <c r="DO24" s="132"/>
      <c r="DP24" s="132"/>
      <c r="DQ24" s="132"/>
      <c r="DR24" s="132"/>
      <c r="DS24" s="132"/>
      <c r="DT24" s="132"/>
      <c r="DU24" s="132"/>
      <c r="DV24" s="132"/>
      <c r="DW24" s="132"/>
      <c r="DX24" s="132"/>
      <c r="DY24" s="132"/>
      <c r="DZ24" s="132"/>
      <c r="EA24" s="132"/>
      <c r="EB24" s="132"/>
      <c r="EC24" s="132"/>
      <c r="ED24" s="132"/>
      <c r="EE24" s="132"/>
      <c r="EF24" s="132"/>
      <c r="EG24" s="132"/>
      <c r="EH24" s="132"/>
      <c r="EI24" s="132"/>
      <c r="EJ24" s="132"/>
      <c r="EK24" s="132"/>
      <c r="EL24" s="132"/>
      <c r="EM24" s="132"/>
      <c r="EN24" s="132"/>
      <c r="EO24" s="132"/>
      <c r="EP24" s="132"/>
      <c r="EQ24" s="132"/>
      <c r="ER24" s="132"/>
      <c r="ES24" s="132"/>
      <c r="ET24" s="132"/>
      <c r="EU24" s="132"/>
      <c r="EV24" s="132"/>
      <c r="EW24" s="132"/>
      <c r="EX24" s="132"/>
      <c r="EY24" s="132"/>
      <c r="EZ24" s="132"/>
      <c r="FA24" s="132"/>
      <c r="FB24" s="132"/>
      <c r="FC24" s="132"/>
      <c r="FD24" s="132"/>
      <c r="FE24" s="132"/>
      <c r="FF24" s="132"/>
      <c r="FG24" s="132"/>
      <c r="FH24" s="132"/>
      <c r="FI24" s="132"/>
      <c r="FJ24" s="132"/>
    </row>
    <row r="25" spans="1:166">
      <c r="A25" s="491"/>
      <c r="B25" s="509" t="s">
        <v>696</v>
      </c>
      <c r="C25" s="498"/>
      <c r="D25" s="503"/>
      <c r="E25" s="503"/>
      <c r="F25" s="497"/>
      <c r="G25" s="498"/>
      <c r="H25" s="499"/>
      <c r="I25" s="491"/>
      <c r="J25" s="497"/>
      <c r="K25" s="498"/>
      <c r="L25" s="499"/>
      <c r="M25" s="504"/>
      <c r="N25" s="504"/>
      <c r="O25" s="486"/>
      <c r="P25" s="491"/>
      <c r="Q25" s="486"/>
      <c r="R25" s="486"/>
      <c r="S25" s="486"/>
      <c r="T25" s="486"/>
      <c r="U25" s="486"/>
      <c r="V25" s="490"/>
      <c r="W25" s="490"/>
      <c r="X25" s="490"/>
      <c r="Y25" s="490"/>
      <c r="Z25" s="490"/>
      <c r="AA25" s="490"/>
      <c r="AB25" s="490"/>
      <c r="AC25" s="490"/>
      <c r="AD25" s="490"/>
      <c r="AE25" s="490"/>
      <c r="AF25" s="490"/>
      <c r="AG25" s="490"/>
      <c r="AH25" s="490"/>
      <c r="AI25" s="490"/>
      <c r="AJ25" s="490"/>
      <c r="AK25" s="490"/>
      <c r="AL25" s="490"/>
      <c r="AM25" s="312"/>
      <c r="AN25" s="312"/>
      <c r="AO25" s="312"/>
      <c r="AP25" s="312"/>
      <c r="AQ25" s="312"/>
      <c r="AR25" s="313"/>
      <c r="AS25" s="313"/>
      <c r="AT25" s="313"/>
      <c r="AU25" s="313"/>
      <c r="AV25" s="313"/>
      <c r="AW25" s="313"/>
      <c r="AX25" s="313"/>
      <c r="AY25" s="313"/>
      <c r="AZ25" s="313"/>
      <c r="BA25" s="313"/>
      <c r="BB25" s="313"/>
      <c r="BC25" s="313"/>
      <c r="BD25" s="313"/>
      <c r="BE25" s="313"/>
      <c r="BF25" s="313"/>
      <c r="BG25" s="313"/>
      <c r="BH25" s="313"/>
      <c r="BI25" s="313"/>
      <c r="BJ25" s="313"/>
      <c r="BK25" s="133"/>
      <c r="BL25" s="133"/>
      <c r="BM25" s="133"/>
      <c r="BN25" s="133"/>
      <c r="BO25" s="133"/>
      <c r="BP25" s="133"/>
      <c r="BQ25" s="133"/>
      <c r="BR25" s="133"/>
      <c r="BS25" s="133"/>
      <c r="BT25" s="133"/>
      <c r="BU25" s="133"/>
      <c r="BV25" s="133"/>
      <c r="BW25" s="133"/>
      <c r="BX25" s="133"/>
      <c r="BY25" s="133"/>
      <c r="BZ25" s="133"/>
      <c r="CA25" s="133"/>
      <c r="CB25" s="133"/>
      <c r="CC25" s="133"/>
      <c r="CD25" s="133"/>
      <c r="CE25" s="133"/>
      <c r="CF25" s="133"/>
      <c r="CG25" s="133"/>
      <c r="CH25" s="133"/>
      <c r="CI25" s="133"/>
      <c r="CJ25" s="133"/>
      <c r="CK25" s="133"/>
      <c r="CL25" s="133"/>
      <c r="CM25" s="133"/>
      <c r="CN25" s="133"/>
      <c r="CO25" s="133"/>
      <c r="CP25" s="133"/>
      <c r="CQ25" s="133"/>
      <c r="CR25" s="133"/>
      <c r="CS25" s="133"/>
      <c r="CT25" s="133"/>
      <c r="CU25" s="133"/>
      <c r="CV25" s="133"/>
      <c r="CW25" s="133"/>
      <c r="CX25" s="133"/>
      <c r="CY25" s="133"/>
      <c r="CZ25" s="133"/>
      <c r="DA25" s="133"/>
      <c r="DB25" s="133"/>
      <c r="DC25" s="133"/>
      <c r="DD25" s="133"/>
      <c r="DE25" s="133"/>
      <c r="DF25" s="133"/>
      <c r="DG25" s="133"/>
      <c r="DH25" s="133"/>
      <c r="DI25" s="133"/>
      <c r="DJ25" s="133"/>
      <c r="DK25" s="133"/>
      <c r="DL25" s="133"/>
      <c r="DM25" s="133"/>
      <c r="DN25" s="133"/>
      <c r="DO25" s="133"/>
      <c r="DP25" s="133"/>
      <c r="DQ25" s="133"/>
      <c r="DR25" s="133"/>
      <c r="DS25" s="133"/>
      <c r="DT25" s="133"/>
      <c r="DU25" s="133"/>
      <c r="DV25" s="133"/>
      <c r="DW25" s="133"/>
      <c r="DX25" s="133"/>
      <c r="DY25" s="133"/>
      <c r="DZ25" s="133"/>
      <c r="EA25" s="133"/>
      <c r="EB25" s="133"/>
      <c r="EC25" s="133"/>
      <c r="ED25" s="133"/>
      <c r="EE25" s="133"/>
      <c r="EF25" s="133"/>
      <c r="EG25" s="133"/>
      <c r="EH25" s="133"/>
      <c r="EI25" s="133"/>
      <c r="EJ25" s="133"/>
      <c r="EK25" s="133"/>
      <c r="EL25" s="133"/>
      <c r="EM25" s="133"/>
      <c r="EN25" s="133"/>
      <c r="EO25" s="133"/>
      <c r="EP25" s="133"/>
      <c r="EQ25" s="133"/>
      <c r="ER25" s="133"/>
      <c r="ES25" s="133"/>
      <c r="ET25" s="133"/>
      <c r="EU25" s="133"/>
      <c r="EV25" s="133"/>
      <c r="EW25" s="133"/>
      <c r="EX25" s="133"/>
      <c r="EY25" s="133"/>
      <c r="EZ25" s="133"/>
      <c r="FA25" s="133"/>
      <c r="FB25" s="133"/>
      <c r="FC25" s="133"/>
      <c r="FD25" s="133"/>
      <c r="FE25" s="133"/>
      <c r="FF25" s="133"/>
      <c r="FG25" s="133"/>
      <c r="FH25" s="133"/>
      <c r="FI25" s="133"/>
      <c r="FJ25" s="133"/>
    </row>
    <row r="26" spans="1:166">
      <c r="A26" s="491"/>
      <c r="B26" s="491"/>
      <c r="C26" s="498"/>
      <c r="D26" s="503"/>
      <c r="E26" s="503"/>
      <c r="F26" s="497"/>
      <c r="G26" s="498"/>
      <c r="H26" s="499"/>
      <c r="I26" s="491"/>
      <c r="J26" s="497"/>
      <c r="K26" s="498"/>
      <c r="L26" s="499"/>
      <c r="M26" s="506"/>
      <c r="N26" s="506"/>
      <c r="O26" s="486"/>
      <c r="P26" s="491"/>
      <c r="Q26" s="486"/>
      <c r="R26" s="486"/>
      <c r="S26" s="486"/>
      <c r="T26" s="486"/>
      <c r="U26" s="486"/>
      <c r="V26" s="490"/>
      <c r="W26" s="490"/>
      <c r="X26" s="490"/>
      <c r="Y26" s="490"/>
      <c r="Z26" s="490"/>
      <c r="AA26" s="490"/>
      <c r="AB26" s="490"/>
      <c r="AC26" s="490"/>
      <c r="AD26" s="490"/>
      <c r="AE26" s="490"/>
      <c r="AF26" s="490"/>
      <c r="AG26" s="490"/>
      <c r="AH26" s="490"/>
      <c r="AI26" s="490"/>
      <c r="AJ26" s="490"/>
      <c r="AK26" s="490"/>
      <c r="AL26" s="490"/>
      <c r="AM26" s="312"/>
      <c r="AN26" s="312"/>
      <c r="AO26" s="312"/>
      <c r="AP26" s="312"/>
      <c r="AQ26" s="312"/>
      <c r="AR26" s="313"/>
      <c r="AS26" s="313"/>
      <c r="AT26" s="313"/>
      <c r="AU26" s="313"/>
      <c r="AV26" s="313"/>
      <c r="AW26" s="313"/>
      <c r="AX26" s="313"/>
      <c r="AY26" s="313"/>
      <c r="AZ26" s="313"/>
      <c r="BA26" s="313"/>
      <c r="BB26" s="313"/>
      <c r="BC26" s="313"/>
      <c r="BD26" s="313"/>
      <c r="BE26" s="313"/>
      <c r="BF26" s="313"/>
      <c r="BG26" s="313"/>
      <c r="BH26" s="313"/>
      <c r="BI26" s="313"/>
      <c r="BJ26" s="313"/>
      <c r="BK26" s="131"/>
      <c r="BL26" s="131"/>
      <c r="BM26" s="131"/>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c r="DY26" s="131"/>
      <c r="DZ26" s="131"/>
      <c r="EA26" s="131"/>
      <c r="EB26" s="131"/>
      <c r="EC26" s="131"/>
      <c r="ED26" s="131"/>
      <c r="EE26" s="131"/>
      <c r="EF26" s="131"/>
      <c r="EG26" s="131"/>
      <c r="EH26" s="131"/>
      <c r="EI26" s="131"/>
      <c r="EJ26" s="131"/>
      <c r="EK26" s="131"/>
      <c r="EL26" s="131"/>
      <c r="EM26" s="131"/>
      <c r="EN26" s="131"/>
      <c r="EO26" s="131"/>
      <c r="EP26" s="131"/>
      <c r="EQ26" s="131"/>
      <c r="ER26" s="131"/>
      <c r="ES26" s="131"/>
      <c r="ET26" s="131"/>
      <c r="EU26" s="131"/>
      <c r="EV26" s="131"/>
      <c r="EW26" s="131"/>
      <c r="EX26" s="131"/>
      <c r="EY26" s="131"/>
      <c r="EZ26" s="131"/>
      <c r="FA26" s="131"/>
      <c r="FB26" s="131"/>
      <c r="FC26" s="131"/>
      <c r="FD26" s="131"/>
      <c r="FE26" s="131"/>
      <c r="FF26" s="131"/>
      <c r="FG26" s="131"/>
      <c r="FH26" s="131"/>
      <c r="FI26" s="131"/>
      <c r="FJ26" s="131"/>
    </row>
    <row r="27" spans="1:166">
      <c r="A27" s="491"/>
      <c r="B27" s="511" t="s">
        <v>697</v>
      </c>
      <c r="C27" s="498"/>
      <c r="D27" s="507"/>
      <c r="E27" s="507"/>
      <c r="F27" s="497"/>
      <c r="G27" s="498"/>
      <c r="H27" s="499"/>
      <c r="I27" s="491"/>
      <c r="J27" s="491"/>
      <c r="K27" s="491"/>
      <c r="L27" s="491"/>
      <c r="M27" s="512"/>
      <c r="N27" s="512"/>
      <c r="O27" s="508"/>
      <c r="P27" s="491"/>
      <c r="Q27" s="486"/>
      <c r="R27" s="486"/>
      <c r="S27" s="486"/>
      <c r="T27" s="486"/>
      <c r="U27" s="486"/>
      <c r="V27" s="490"/>
      <c r="W27" s="490"/>
      <c r="X27" s="490"/>
      <c r="Y27" s="490"/>
      <c r="Z27" s="490"/>
      <c r="AA27" s="490"/>
      <c r="AB27" s="490"/>
      <c r="AC27" s="490"/>
      <c r="AD27" s="490"/>
      <c r="AE27" s="490"/>
      <c r="AF27" s="490"/>
      <c r="AG27" s="490"/>
      <c r="AH27" s="490"/>
      <c r="AI27" s="490"/>
      <c r="AJ27" s="490"/>
      <c r="AK27" s="490"/>
      <c r="AL27" s="490"/>
      <c r="AM27" s="312"/>
      <c r="AN27" s="312"/>
      <c r="AO27" s="312"/>
      <c r="AP27" s="312"/>
      <c r="AQ27" s="312"/>
      <c r="AR27" s="313"/>
      <c r="AS27" s="313"/>
      <c r="AT27" s="313"/>
      <c r="AU27" s="313"/>
      <c r="AV27" s="313"/>
      <c r="AW27" s="313"/>
      <c r="AX27" s="313"/>
      <c r="AY27" s="313"/>
      <c r="AZ27" s="313"/>
      <c r="BA27" s="313"/>
      <c r="BB27" s="313"/>
      <c r="BC27" s="313"/>
      <c r="BD27" s="313"/>
      <c r="BE27" s="313"/>
      <c r="BF27" s="313"/>
      <c r="BG27" s="313"/>
      <c r="BH27" s="313"/>
      <c r="BI27" s="313"/>
      <c r="BJ27" s="313"/>
      <c r="BK27" s="134"/>
      <c r="BL27" s="134"/>
      <c r="BM27" s="134"/>
      <c r="BN27" s="134"/>
      <c r="BO27" s="134"/>
      <c r="BP27" s="134"/>
      <c r="BQ27" s="134"/>
      <c r="BR27" s="134"/>
      <c r="BS27" s="134"/>
      <c r="BT27" s="134"/>
      <c r="BU27" s="134"/>
      <c r="BV27" s="134"/>
      <c r="BW27" s="134"/>
      <c r="BX27" s="134"/>
      <c r="BY27" s="134"/>
      <c r="BZ27" s="134"/>
      <c r="CA27" s="134"/>
      <c r="CB27" s="134"/>
      <c r="CC27" s="134"/>
      <c r="CD27" s="134"/>
      <c r="CE27" s="134"/>
      <c r="CF27" s="134"/>
      <c r="CG27" s="134"/>
      <c r="CH27" s="134"/>
      <c r="CI27" s="134"/>
      <c r="CJ27" s="134"/>
      <c r="CK27" s="134"/>
      <c r="CL27" s="134"/>
      <c r="CM27" s="134"/>
      <c r="CN27" s="134"/>
      <c r="CO27" s="134"/>
      <c r="CP27" s="134"/>
      <c r="CQ27" s="134"/>
      <c r="CR27" s="134"/>
      <c r="CS27" s="134"/>
      <c r="CT27" s="134"/>
      <c r="CU27" s="134"/>
      <c r="CV27" s="134"/>
      <c r="CW27" s="134"/>
      <c r="CX27" s="134"/>
      <c r="CY27" s="134"/>
      <c r="CZ27" s="134"/>
      <c r="DA27" s="134"/>
      <c r="DB27" s="134"/>
      <c r="DC27" s="134"/>
      <c r="DD27" s="134"/>
      <c r="DE27" s="134"/>
      <c r="DF27" s="134"/>
      <c r="DG27" s="134"/>
      <c r="DH27" s="134"/>
      <c r="DI27" s="134"/>
      <c r="DJ27" s="134"/>
      <c r="DK27" s="134"/>
      <c r="DL27" s="134"/>
      <c r="DM27" s="134"/>
      <c r="DN27" s="134"/>
      <c r="DO27" s="134"/>
      <c r="DP27" s="134"/>
      <c r="DQ27" s="134"/>
      <c r="DR27" s="134"/>
      <c r="DS27" s="134"/>
      <c r="DT27" s="134"/>
      <c r="DU27" s="134"/>
      <c r="DV27" s="134"/>
      <c r="DW27" s="134"/>
      <c r="DX27" s="134"/>
      <c r="DY27" s="134"/>
      <c r="DZ27" s="134"/>
      <c r="EA27" s="134"/>
      <c r="EB27" s="134"/>
      <c r="EC27" s="134"/>
      <c r="ED27" s="134"/>
      <c r="EE27" s="134"/>
      <c r="EF27" s="134"/>
      <c r="EG27" s="134"/>
      <c r="EH27" s="134"/>
      <c r="EI27" s="134"/>
      <c r="EJ27" s="134"/>
      <c r="EK27" s="134"/>
      <c r="EL27" s="134"/>
      <c r="EM27" s="134"/>
      <c r="EN27" s="134"/>
      <c r="EO27" s="134"/>
      <c r="EP27" s="134"/>
      <c r="EQ27" s="134"/>
      <c r="ER27" s="134"/>
      <c r="ES27" s="134"/>
      <c r="ET27" s="134"/>
      <c r="EU27" s="134"/>
      <c r="EV27" s="134"/>
      <c r="EW27" s="134"/>
      <c r="EX27" s="134"/>
      <c r="EY27" s="134"/>
      <c r="EZ27" s="134"/>
      <c r="FA27" s="134"/>
      <c r="FB27" s="134"/>
      <c r="FC27" s="134"/>
      <c r="FD27" s="134"/>
      <c r="FE27" s="134"/>
      <c r="FF27" s="134"/>
      <c r="FG27" s="134"/>
      <c r="FH27" s="134"/>
      <c r="FI27" s="134"/>
      <c r="FJ27" s="134"/>
    </row>
    <row r="28" spans="1:166">
      <c r="A28" s="491"/>
      <c r="B28" s="491"/>
      <c r="C28" s="498"/>
      <c r="D28" s="503"/>
      <c r="E28" s="503"/>
      <c r="F28" s="497"/>
      <c r="G28" s="498"/>
      <c r="H28" s="499"/>
      <c r="I28" s="491"/>
      <c r="J28" s="491"/>
      <c r="K28" s="491"/>
      <c r="L28" s="491"/>
      <c r="M28" s="513"/>
      <c r="N28" s="513"/>
      <c r="O28" s="486"/>
      <c r="P28" s="491"/>
      <c r="Q28" s="486"/>
      <c r="R28" s="486"/>
      <c r="S28" s="486"/>
      <c r="T28" s="486"/>
      <c r="U28" s="486"/>
      <c r="V28" s="490"/>
      <c r="W28" s="490"/>
      <c r="X28" s="490"/>
      <c r="Y28" s="490"/>
      <c r="Z28" s="490"/>
      <c r="AA28" s="490"/>
      <c r="AB28" s="490"/>
      <c r="AC28" s="490"/>
      <c r="AD28" s="490"/>
      <c r="AE28" s="490"/>
      <c r="AF28" s="490"/>
      <c r="AG28" s="490"/>
      <c r="AH28" s="490"/>
      <c r="AI28" s="490"/>
      <c r="AJ28" s="490"/>
      <c r="AK28" s="490"/>
      <c r="AL28" s="490"/>
      <c r="AM28" s="312"/>
      <c r="AN28" s="312"/>
      <c r="AO28" s="312"/>
      <c r="AP28" s="312"/>
      <c r="AQ28" s="312"/>
      <c r="AR28" s="313"/>
      <c r="AS28" s="313"/>
      <c r="AT28" s="313"/>
      <c r="AU28" s="313"/>
      <c r="AV28" s="313"/>
      <c r="AW28" s="313"/>
      <c r="AX28" s="313"/>
      <c r="AY28" s="313"/>
      <c r="AZ28" s="313"/>
      <c r="BA28" s="313"/>
      <c r="BB28" s="313"/>
      <c r="BC28" s="313"/>
      <c r="BD28" s="313"/>
      <c r="BE28" s="313"/>
      <c r="BF28" s="313"/>
      <c r="BG28" s="313"/>
      <c r="BH28" s="313"/>
      <c r="BI28" s="313"/>
      <c r="BJ28" s="313"/>
      <c r="BK28" s="135"/>
      <c r="BL28" s="135"/>
      <c r="BM28" s="135"/>
      <c r="BN28" s="135"/>
      <c r="BO28" s="135"/>
      <c r="BP28" s="135"/>
      <c r="BQ28" s="135"/>
      <c r="BR28" s="135"/>
      <c r="BS28" s="135"/>
      <c r="BT28" s="135"/>
      <c r="BU28" s="135"/>
      <c r="BV28" s="135"/>
      <c r="BW28" s="135"/>
      <c r="BX28" s="135"/>
      <c r="BY28" s="135"/>
      <c r="BZ28" s="135"/>
      <c r="CA28" s="135"/>
      <c r="CB28" s="135"/>
      <c r="CC28" s="135"/>
      <c r="CD28" s="135"/>
      <c r="CE28" s="135"/>
      <c r="CF28" s="135"/>
      <c r="CG28" s="135"/>
      <c r="CH28" s="135"/>
      <c r="CI28" s="135"/>
      <c r="CJ28" s="135"/>
      <c r="CK28" s="135"/>
      <c r="CL28" s="135"/>
      <c r="CM28" s="135"/>
      <c r="CN28" s="135"/>
      <c r="CO28" s="135"/>
      <c r="CP28" s="135"/>
      <c r="CQ28" s="135"/>
      <c r="CR28" s="135"/>
      <c r="CS28" s="135"/>
      <c r="CT28" s="135"/>
      <c r="CU28" s="135"/>
      <c r="CV28" s="135"/>
      <c r="CW28" s="135"/>
      <c r="CX28" s="135"/>
      <c r="CY28" s="135"/>
      <c r="CZ28" s="135"/>
      <c r="DA28" s="135"/>
      <c r="DB28" s="135"/>
      <c r="DC28" s="135"/>
      <c r="DD28" s="135"/>
      <c r="DE28" s="135"/>
      <c r="DF28" s="135"/>
      <c r="DG28" s="135"/>
      <c r="DH28" s="135"/>
      <c r="DI28" s="135"/>
      <c r="DJ28" s="135"/>
      <c r="DK28" s="135"/>
      <c r="DL28" s="135"/>
      <c r="DM28" s="135"/>
      <c r="DN28" s="135"/>
      <c r="DO28" s="135"/>
      <c r="DP28" s="135"/>
      <c r="DQ28" s="135"/>
      <c r="DR28" s="135"/>
      <c r="DS28" s="135"/>
      <c r="DT28" s="135"/>
      <c r="DU28" s="135"/>
      <c r="DV28" s="135"/>
      <c r="DW28" s="135"/>
      <c r="DX28" s="135"/>
      <c r="DY28" s="135"/>
      <c r="DZ28" s="135"/>
      <c r="EA28" s="135"/>
      <c r="EB28" s="135"/>
      <c r="EC28" s="135"/>
      <c r="ED28" s="135"/>
      <c r="EE28" s="135"/>
      <c r="EF28" s="135"/>
      <c r="EG28" s="135"/>
      <c r="EH28" s="135"/>
      <c r="EI28" s="135"/>
      <c r="EJ28" s="135"/>
      <c r="EK28" s="135"/>
      <c r="EL28" s="135"/>
      <c r="EM28" s="135"/>
      <c r="EN28" s="135"/>
      <c r="EO28" s="135"/>
      <c r="EP28" s="135"/>
      <c r="EQ28" s="135"/>
      <c r="ER28" s="135"/>
      <c r="ES28" s="135"/>
      <c r="ET28" s="135"/>
      <c r="EU28" s="135"/>
      <c r="EV28" s="135"/>
      <c r="EW28" s="135"/>
      <c r="EX28" s="135"/>
      <c r="EY28" s="135"/>
      <c r="EZ28" s="135"/>
      <c r="FA28" s="135"/>
      <c r="FB28" s="135"/>
      <c r="FC28" s="135"/>
      <c r="FD28" s="135"/>
      <c r="FE28" s="135"/>
      <c r="FF28" s="135"/>
      <c r="FG28" s="135"/>
      <c r="FH28" s="135"/>
      <c r="FI28" s="135"/>
      <c r="FJ28" s="135"/>
    </row>
    <row r="29" spans="1:166">
      <c r="A29" s="491"/>
      <c r="B29" s="511" t="s">
        <v>698</v>
      </c>
      <c r="C29" s="486"/>
      <c r="D29" s="503"/>
      <c r="E29" s="503"/>
      <c r="F29" s="497"/>
      <c r="G29" s="498"/>
      <c r="H29" s="499"/>
      <c r="I29" s="491"/>
      <c r="J29" s="491"/>
      <c r="K29" s="491"/>
      <c r="L29" s="491"/>
      <c r="M29" s="506"/>
      <c r="N29" s="506"/>
      <c r="O29" s="486"/>
      <c r="P29" s="491"/>
      <c r="Q29" s="486"/>
      <c r="R29" s="486"/>
      <c r="S29" s="486"/>
      <c r="T29" s="486"/>
      <c r="U29" s="486"/>
      <c r="V29" s="490"/>
      <c r="W29" s="505"/>
      <c r="X29" s="505"/>
      <c r="Y29" s="505"/>
      <c r="Z29" s="505"/>
      <c r="AA29" s="490"/>
      <c r="AB29" s="490"/>
      <c r="AC29" s="505"/>
      <c r="AD29" s="505"/>
      <c r="AE29" s="505"/>
      <c r="AF29" s="505"/>
      <c r="AG29" s="490"/>
      <c r="AH29" s="505"/>
      <c r="AI29" s="505"/>
      <c r="AJ29" s="505"/>
      <c r="AK29" s="505"/>
      <c r="AL29" s="490"/>
      <c r="AM29" s="318"/>
      <c r="AN29" s="318"/>
      <c r="AO29" s="318"/>
      <c r="AP29" s="318"/>
      <c r="AQ29" s="312"/>
      <c r="AR29" s="313"/>
      <c r="AS29" s="313"/>
      <c r="AT29" s="313"/>
      <c r="AU29" s="313"/>
      <c r="AV29" s="313"/>
      <c r="AW29" s="313"/>
      <c r="AX29" s="313"/>
      <c r="AY29" s="313"/>
      <c r="AZ29" s="313"/>
      <c r="BA29" s="313"/>
      <c r="BB29" s="313"/>
      <c r="BC29" s="313"/>
      <c r="BD29" s="313"/>
      <c r="BE29" s="313"/>
      <c r="BF29" s="313"/>
      <c r="BG29" s="313"/>
      <c r="BH29" s="313"/>
      <c r="BI29" s="313"/>
      <c r="BJ29" s="313"/>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c r="DY29" s="131"/>
      <c r="DZ29" s="131"/>
      <c r="EA29" s="131"/>
      <c r="EB29" s="131"/>
      <c r="EC29" s="131"/>
      <c r="ED29" s="131"/>
      <c r="EE29" s="131"/>
      <c r="EF29" s="131"/>
      <c r="EG29" s="131"/>
      <c r="EH29" s="131"/>
      <c r="EI29" s="131"/>
      <c r="EJ29" s="131"/>
      <c r="EK29" s="131"/>
      <c r="EL29" s="131"/>
      <c r="EM29" s="131"/>
      <c r="EN29" s="131"/>
      <c r="EO29" s="131"/>
      <c r="EP29" s="131"/>
      <c r="EQ29" s="131"/>
      <c r="ER29" s="131"/>
      <c r="ES29" s="131"/>
      <c r="ET29" s="131"/>
      <c r="EU29" s="131"/>
      <c r="EV29" s="131"/>
      <c r="EW29" s="131"/>
      <c r="EX29" s="131"/>
      <c r="EY29" s="131"/>
      <c r="EZ29" s="131"/>
      <c r="FA29" s="131"/>
      <c r="FB29" s="131"/>
      <c r="FC29" s="131"/>
      <c r="FD29" s="131"/>
      <c r="FE29" s="131"/>
      <c r="FF29" s="131"/>
      <c r="FG29" s="131"/>
      <c r="FH29" s="131"/>
      <c r="FI29" s="131"/>
      <c r="FJ29" s="131"/>
    </row>
    <row r="30" spans="1:166">
      <c r="A30" s="491"/>
      <c r="B30" s="511"/>
      <c r="C30" s="498"/>
      <c r="D30" s="507"/>
      <c r="E30" s="507"/>
      <c r="F30" s="497"/>
      <c r="G30" s="498"/>
      <c r="H30" s="499"/>
      <c r="I30" s="491"/>
      <c r="J30" s="491"/>
      <c r="K30" s="491"/>
      <c r="L30" s="491"/>
      <c r="M30" s="512"/>
      <c r="N30" s="512"/>
      <c r="O30" s="508"/>
      <c r="P30" s="491"/>
      <c r="Q30" s="486"/>
      <c r="R30" s="486"/>
      <c r="S30" s="486"/>
      <c r="T30" s="486"/>
      <c r="U30" s="486"/>
      <c r="V30" s="490"/>
      <c r="W30" s="505"/>
      <c r="X30" s="505"/>
      <c r="Y30" s="505"/>
      <c r="Z30" s="505"/>
      <c r="AA30" s="490"/>
      <c r="AB30" s="490"/>
      <c r="AC30" s="505"/>
      <c r="AD30" s="505"/>
      <c r="AE30" s="505"/>
      <c r="AF30" s="505"/>
      <c r="AG30" s="490"/>
      <c r="AH30" s="505"/>
      <c r="AI30" s="505"/>
      <c r="AJ30" s="505"/>
      <c r="AK30" s="505"/>
      <c r="AL30" s="490"/>
      <c r="AM30" s="318"/>
      <c r="AN30" s="318"/>
      <c r="AO30" s="318"/>
      <c r="AP30" s="318"/>
      <c r="AQ30" s="312"/>
      <c r="AR30" s="313"/>
      <c r="AS30" s="313"/>
      <c r="AT30" s="313"/>
      <c r="AU30" s="313"/>
      <c r="AV30" s="313"/>
      <c r="AW30" s="313"/>
      <c r="AX30" s="313"/>
      <c r="AY30" s="313"/>
      <c r="AZ30" s="313"/>
      <c r="BA30" s="313"/>
      <c r="BB30" s="313"/>
      <c r="BC30" s="313"/>
      <c r="BD30" s="313"/>
      <c r="BE30" s="313"/>
      <c r="BF30" s="313"/>
      <c r="BG30" s="313"/>
      <c r="BH30" s="313"/>
      <c r="BI30" s="313"/>
      <c r="BJ30" s="313"/>
      <c r="BK30" s="134"/>
      <c r="BL30" s="134"/>
      <c r="BM30" s="134"/>
      <c r="BN30" s="134"/>
      <c r="BO30" s="134"/>
      <c r="BP30" s="134"/>
      <c r="BQ30" s="134"/>
      <c r="BR30" s="134"/>
      <c r="BS30" s="134"/>
      <c r="BT30" s="134"/>
      <c r="BU30" s="134"/>
      <c r="BV30" s="134"/>
      <c r="BW30" s="134"/>
      <c r="BX30" s="134"/>
      <c r="BY30" s="134"/>
      <c r="BZ30" s="134"/>
      <c r="CA30" s="134"/>
      <c r="CB30" s="134"/>
      <c r="CC30" s="134"/>
      <c r="CD30" s="134"/>
      <c r="CE30" s="134"/>
      <c r="CF30" s="134"/>
      <c r="CG30" s="134"/>
      <c r="CH30" s="134"/>
      <c r="CI30" s="134"/>
      <c r="CJ30" s="134"/>
      <c r="CK30" s="134"/>
      <c r="CL30" s="134"/>
      <c r="CM30" s="134"/>
      <c r="CN30" s="134"/>
      <c r="CO30" s="134"/>
      <c r="CP30" s="134"/>
      <c r="CQ30" s="134"/>
      <c r="CR30" s="134"/>
      <c r="CS30" s="134"/>
      <c r="CT30" s="134"/>
      <c r="CU30" s="134"/>
      <c r="CV30" s="134"/>
      <c r="CW30" s="134"/>
      <c r="CX30" s="134"/>
      <c r="CY30" s="134"/>
      <c r="CZ30" s="134"/>
      <c r="DA30" s="134"/>
      <c r="DB30" s="134"/>
      <c r="DC30" s="134"/>
      <c r="DD30" s="134"/>
      <c r="DE30" s="134"/>
      <c r="DF30" s="134"/>
      <c r="DG30" s="134"/>
      <c r="DH30" s="134"/>
      <c r="DI30" s="134"/>
      <c r="DJ30" s="134"/>
      <c r="DK30" s="134"/>
      <c r="DL30" s="134"/>
      <c r="DM30" s="134"/>
      <c r="DN30" s="134"/>
      <c r="DO30" s="134"/>
      <c r="DP30" s="134"/>
      <c r="DQ30" s="134"/>
      <c r="DR30" s="134"/>
      <c r="DS30" s="134"/>
      <c r="DT30" s="134"/>
      <c r="DU30" s="134"/>
      <c r="DV30" s="134"/>
      <c r="DW30" s="134"/>
      <c r="DX30" s="134"/>
      <c r="DY30" s="134"/>
      <c r="DZ30" s="134"/>
      <c r="EA30" s="134"/>
      <c r="EB30" s="134"/>
      <c r="EC30" s="134"/>
      <c r="ED30" s="134"/>
      <c r="EE30" s="134"/>
      <c r="EF30" s="134"/>
      <c r="EG30" s="134"/>
      <c r="EH30" s="134"/>
      <c r="EI30" s="134"/>
      <c r="EJ30" s="134"/>
      <c r="EK30" s="134"/>
      <c r="EL30" s="134"/>
      <c r="EM30" s="134"/>
      <c r="EN30" s="134"/>
      <c r="EO30" s="134"/>
      <c r="EP30" s="134"/>
      <c r="EQ30" s="134"/>
      <c r="ER30" s="134"/>
      <c r="ES30" s="134"/>
      <c r="ET30" s="134"/>
      <c r="EU30" s="134"/>
      <c r="EV30" s="134"/>
      <c r="EW30" s="134"/>
      <c r="EX30" s="134"/>
      <c r="EY30" s="134"/>
      <c r="EZ30" s="134"/>
      <c r="FA30" s="134"/>
      <c r="FB30" s="134"/>
      <c r="FC30" s="134"/>
      <c r="FD30" s="134"/>
      <c r="FE30" s="134"/>
      <c r="FF30" s="134"/>
      <c r="FG30" s="134"/>
      <c r="FH30" s="134"/>
      <c r="FI30" s="134"/>
      <c r="FJ30" s="134"/>
    </row>
    <row r="31" spans="1:166">
      <c r="A31" s="491"/>
      <c r="B31" s="511" t="s">
        <v>699</v>
      </c>
      <c r="C31" s="486"/>
      <c r="D31" s="503"/>
      <c r="E31" s="503"/>
      <c r="F31" s="497"/>
      <c r="G31" s="498"/>
      <c r="H31" s="499"/>
      <c r="I31" s="491"/>
      <c r="J31" s="491"/>
      <c r="K31" s="491"/>
      <c r="L31" s="491"/>
      <c r="M31" s="513"/>
      <c r="N31" s="513"/>
      <c r="O31" s="486"/>
      <c r="P31" s="491"/>
      <c r="Q31" s="486"/>
      <c r="R31" s="486"/>
      <c r="S31" s="486"/>
      <c r="T31" s="486"/>
      <c r="U31" s="486"/>
      <c r="V31" s="490"/>
      <c r="W31" s="505"/>
      <c r="X31" s="505"/>
      <c r="Y31" s="505"/>
      <c r="Z31" s="505"/>
      <c r="AA31" s="490"/>
      <c r="AB31" s="490"/>
      <c r="AC31" s="505"/>
      <c r="AD31" s="505"/>
      <c r="AE31" s="505"/>
      <c r="AF31" s="505"/>
      <c r="AG31" s="490"/>
      <c r="AH31" s="505"/>
      <c r="AI31" s="505"/>
      <c r="AJ31" s="505"/>
      <c r="AK31" s="505"/>
      <c r="AL31" s="490"/>
      <c r="AM31" s="318"/>
      <c r="AN31" s="318"/>
      <c r="AO31" s="318"/>
      <c r="AP31" s="318"/>
      <c r="AQ31" s="312"/>
      <c r="AR31" s="313"/>
      <c r="AS31" s="313"/>
      <c r="AT31" s="313"/>
      <c r="AU31" s="313"/>
      <c r="AV31" s="313"/>
      <c r="AW31" s="313"/>
      <c r="AX31" s="313"/>
      <c r="AY31" s="313"/>
      <c r="AZ31" s="313"/>
      <c r="BA31" s="313"/>
      <c r="BB31" s="313"/>
      <c r="BC31" s="313"/>
      <c r="BD31" s="313"/>
      <c r="BE31" s="313"/>
      <c r="BF31" s="313"/>
      <c r="BG31" s="313"/>
      <c r="BH31" s="313"/>
      <c r="BI31" s="313"/>
      <c r="BJ31" s="313"/>
      <c r="BK31" s="135"/>
      <c r="BL31" s="135"/>
      <c r="BM31" s="135"/>
      <c r="BN31" s="135"/>
      <c r="BO31" s="135"/>
      <c r="BP31" s="135"/>
      <c r="BQ31" s="135"/>
      <c r="BR31" s="135"/>
      <c r="BS31" s="135"/>
      <c r="BT31" s="135"/>
      <c r="BU31" s="135"/>
      <c r="BV31" s="135"/>
      <c r="BW31" s="135"/>
      <c r="BX31" s="135"/>
      <c r="BY31" s="135"/>
      <c r="BZ31" s="135"/>
      <c r="CA31" s="135"/>
      <c r="CB31" s="135"/>
      <c r="CC31" s="135"/>
      <c r="CD31" s="135"/>
      <c r="CE31" s="135"/>
      <c r="CF31" s="135"/>
      <c r="CG31" s="135"/>
      <c r="CH31" s="135"/>
      <c r="CI31" s="135"/>
      <c r="CJ31" s="135"/>
      <c r="CK31" s="135"/>
      <c r="CL31" s="135"/>
      <c r="CM31" s="135"/>
      <c r="CN31" s="135"/>
      <c r="CO31" s="135"/>
      <c r="CP31" s="135"/>
      <c r="CQ31" s="135"/>
      <c r="CR31" s="135"/>
      <c r="CS31" s="135"/>
      <c r="CT31" s="135"/>
      <c r="CU31" s="135"/>
      <c r="CV31" s="135"/>
      <c r="CW31" s="135"/>
      <c r="CX31" s="135"/>
      <c r="CY31" s="135"/>
      <c r="CZ31" s="135"/>
      <c r="DA31" s="135"/>
      <c r="DB31" s="135"/>
      <c r="DC31" s="135"/>
      <c r="DD31" s="135"/>
      <c r="DE31" s="135"/>
      <c r="DF31" s="135"/>
      <c r="DG31" s="135"/>
      <c r="DH31" s="135"/>
      <c r="DI31" s="135"/>
      <c r="DJ31" s="135"/>
      <c r="DK31" s="135"/>
      <c r="DL31" s="135"/>
      <c r="DM31" s="135"/>
      <c r="DN31" s="135"/>
      <c r="DO31" s="135"/>
      <c r="DP31" s="135"/>
      <c r="DQ31" s="135"/>
      <c r="DR31" s="135"/>
      <c r="DS31" s="135"/>
      <c r="DT31" s="135"/>
      <c r="DU31" s="135"/>
      <c r="DV31" s="135"/>
      <c r="DW31" s="135"/>
      <c r="DX31" s="135"/>
      <c r="DY31" s="135"/>
      <c r="DZ31" s="135"/>
      <c r="EA31" s="135"/>
      <c r="EB31" s="135"/>
      <c r="EC31" s="135"/>
      <c r="ED31" s="135"/>
      <c r="EE31" s="135"/>
      <c r="EF31" s="135"/>
      <c r="EG31" s="135"/>
      <c r="EH31" s="135"/>
      <c r="EI31" s="135"/>
      <c r="EJ31" s="135"/>
      <c r="EK31" s="135"/>
      <c r="EL31" s="135"/>
      <c r="EM31" s="135"/>
      <c r="EN31" s="135"/>
      <c r="EO31" s="135"/>
      <c r="EP31" s="135"/>
      <c r="EQ31" s="135"/>
      <c r="ER31" s="135"/>
      <c r="ES31" s="135"/>
      <c r="ET31" s="135"/>
      <c r="EU31" s="135"/>
      <c r="EV31" s="135"/>
      <c r="EW31" s="135"/>
      <c r="EX31" s="135"/>
      <c r="EY31" s="135"/>
      <c r="EZ31" s="135"/>
      <c r="FA31" s="135"/>
      <c r="FB31" s="135"/>
      <c r="FC31" s="135"/>
      <c r="FD31" s="135"/>
      <c r="FE31" s="135"/>
      <c r="FF31" s="135"/>
      <c r="FG31" s="135"/>
      <c r="FH31" s="135"/>
      <c r="FI31" s="135"/>
      <c r="FJ31" s="135"/>
    </row>
    <row r="32" spans="1:166">
      <c r="A32" s="491"/>
      <c r="B32" s="511" t="s">
        <v>700</v>
      </c>
      <c r="C32" s="507"/>
      <c r="D32" s="503"/>
      <c r="E32" s="503"/>
      <c r="F32" s="497"/>
      <c r="G32" s="498"/>
      <c r="H32" s="499"/>
      <c r="I32" s="491"/>
      <c r="J32" s="491"/>
      <c r="K32" s="491"/>
      <c r="L32" s="491"/>
      <c r="M32" s="486"/>
      <c r="N32" s="486"/>
      <c r="O32" s="486"/>
      <c r="P32" s="491"/>
      <c r="Q32" s="486"/>
      <c r="R32" s="486"/>
      <c r="S32" s="486"/>
      <c r="T32" s="486"/>
      <c r="U32" s="486"/>
      <c r="V32" s="490"/>
      <c r="W32" s="490"/>
      <c r="X32" s="490"/>
      <c r="Y32" s="490"/>
      <c r="Z32" s="490"/>
      <c r="AA32" s="490"/>
      <c r="AB32" s="490"/>
      <c r="AC32" s="505"/>
      <c r="AD32" s="505"/>
      <c r="AE32" s="505"/>
      <c r="AF32" s="505"/>
      <c r="AG32" s="490"/>
      <c r="AH32" s="505"/>
      <c r="AI32" s="505"/>
      <c r="AJ32" s="505"/>
      <c r="AK32" s="505"/>
      <c r="AL32" s="490"/>
      <c r="AM32" s="318"/>
      <c r="AN32" s="318"/>
      <c r="AO32" s="318"/>
      <c r="AP32" s="318"/>
      <c r="AQ32" s="312"/>
      <c r="AR32" s="313"/>
      <c r="AS32" s="313"/>
      <c r="AT32" s="313"/>
      <c r="AU32" s="313"/>
      <c r="AV32" s="313"/>
      <c r="AW32" s="313"/>
      <c r="AX32" s="313"/>
      <c r="AY32" s="313"/>
      <c r="AZ32" s="313"/>
      <c r="BA32" s="313"/>
      <c r="BB32" s="313"/>
      <c r="BC32" s="313"/>
      <c r="BD32" s="313"/>
      <c r="BE32" s="313"/>
      <c r="BF32" s="313"/>
      <c r="BG32" s="313"/>
      <c r="BH32" s="313"/>
      <c r="BI32" s="313"/>
      <c r="BJ32" s="313"/>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row>
    <row r="33" spans="1:166">
      <c r="A33" s="491"/>
      <c r="B33" s="511"/>
      <c r="C33" s="497"/>
      <c r="D33" s="507"/>
      <c r="E33" s="507"/>
      <c r="F33" s="497"/>
      <c r="G33" s="498"/>
      <c r="H33" s="499"/>
      <c r="I33" s="491"/>
      <c r="J33" s="491"/>
      <c r="K33" s="491"/>
      <c r="L33" s="491"/>
      <c r="M33" s="512"/>
      <c r="N33" s="512"/>
      <c r="O33" s="508"/>
      <c r="P33" s="491"/>
      <c r="Q33" s="486"/>
      <c r="R33" s="486"/>
      <c r="S33" s="486"/>
      <c r="T33" s="486"/>
      <c r="U33" s="486"/>
      <c r="V33" s="490"/>
      <c r="W33" s="490"/>
      <c r="X33" s="490"/>
      <c r="Y33" s="490"/>
      <c r="Z33" s="490"/>
      <c r="AA33" s="490"/>
      <c r="AB33" s="490"/>
      <c r="AC33" s="505"/>
      <c r="AD33" s="505"/>
      <c r="AE33" s="505"/>
      <c r="AF33" s="505"/>
      <c r="AG33" s="490"/>
      <c r="AH33" s="505"/>
      <c r="AI33" s="505"/>
      <c r="AJ33" s="505"/>
      <c r="AK33" s="505"/>
      <c r="AL33" s="490"/>
      <c r="AM33" s="318"/>
      <c r="AN33" s="318"/>
      <c r="AO33" s="318"/>
      <c r="AP33" s="318"/>
      <c r="AQ33" s="312"/>
      <c r="AR33" s="313"/>
      <c r="AS33" s="313"/>
      <c r="AT33" s="313"/>
      <c r="AU33" s="313"/>
      <c r="AV33" s="313"/>
      <c r="AW33" s="313"/>
      <c r="AX33" s="313"/>
      <c r="AY33" s="313"/>
      <c r="AZ33" s="313"/>
      <c r="BA33" s="313"/>
      <c r="BB33" s="313"/>
      <c r="BC33" s="313"/>
      <c r="BD33" s="313"/>
      <c r="BE33" s="313"/>
      <c r="BF33" s="313"/>
      <c r="BG33" s="313"/>
      <c r="BH33" s="313"/>
      <c r="BI33" s="313"/>
      <c r="BJ33" s="313"/>
      <c r="BK33" s="134"/>
      <c r="BL33" s="134"/>
      <c r="BM33" s="134"/>
      <c r="BN33" s="134"/>
      <c r="BO33" s="134"/>
      <c r="BP33" s="134"/>
      <c r="BQ33" s="134"/>
      <c r="BR33" s="134"/>
      <c r="BS33" s="134"/>
      <c r="BT33" s="134"/>
      <c r="BU33" s="134"/>
      <c r="BV33" s="134"/>
      <c r="BW33" s="134"/>
      <c r="BX33" s="134"/>
      <c r="BY33" s="134"/>
      <c r="BZ33" s="134"/>
      <c r="CA33" s="134"/>
      <c r="CB33" s="134"/>
      <c r="CC33" s="134"/>
      <c r="CD33" s="134"/>
      <c r="CE33" s="134"/>
      <c r="CF33" s="134"/>
      <c r="CG33" s="134"/>
      <c r="CH33" s="134"/>
      <c r="CI33" s="134"/>
      <c r="CJ33" s="134"/>
      <c r="CK33" s="134"/>
      <c r="CL33" s="134"/>
      <c r="CM33" s="134"/>
      <c r="CN33" s="134"/>
      <c r="CO33" s="134"/>
      <c r="CP33" s="134"/>
      <c r="CQ33" s="134"/>
      <c r="CR33" s="134"/>
      <c r="CS33" s="134"/>
      <c r="CT33" s="134"/>
      <c r="CU33" s="134"/>
      <c r="CV33" s="134"/>
      <c r="CW33" s="134"/>
      <c r="CX33" s="134"/>
      <c r="CY33" s="134"/>
      <c r="CZ33" s="134"/>
      <c r="DA33" s="134"/>
      <c r="DB33" s="134"/>
      <c r="DC33" s="134"/>
      <c r="DD33" s="134"/>
      <c r="DE33" s="134"/>
      <c r="DF33" s="134"/>
      <c r="DG33" s="134"/>
      <c r="DH33" s="134"/>
      <c r="DI33" s="134"/>
      <c r="DJ33" s="134"/>
      <c r="DK33" s="134"/>
      <c r="DL33" s="134"/>
      <c r="DM33" s="134"/>
      <c r="DN33" s="134"/>
      <c r="DO33" s="134"/>
      <c r="DP33" s="134"/>
      <c r="DQ33" s="134"/>
      <c r="DR33" s="134"/>
      <c r="DS33" s="134"/>
      <c r="DT33" s="134"/>
      <c r="DU33" s="134"/>
      <c r="DV33" s="134"/>
      <c r="DW33" s="134"/>
      <c r="DX33" s="134"/>
      <c r="DY33" s="134"/>
      <c r="DZ33" s="134"/>
      <c r="EA33" s="134"/>
      <c r="EB33" s="134"/>
      <c r="EC33" s="134"/>
      <c r="ED33" s="134"/>
      <c r="EE33" s="134"/>
      <c r="EF33" s="134"/>
      <c r="EG33" s="134"/>
      <c r="EH33" s="134"/>
      <c r="EI33" s="134"/>
      <c r="EJ33" s="134"/>
      <c r="EK33" s="134"/>
      <c r="EL33" s="134"/>
      <c r="EM33" s="134"/>
      <c r="EN33" s="134"/>
      <c r="EO33" s="134"/>
      <c r="EP33" s="134"/>
      <c r="EQ33" s="134"/>
      <c r="ER33" s="134"/>
      <c r="ES33" s="134"/>
      <c r="ET33" s="134"/>
      <c r="EU33" s="134"/>
      <c r="EV33" s="134"/>
      <c r="EW33" s="134"/>
      <c r="EX33" s="134"/>
      <c r="EY33" s="134"/>
      <c r="EZ33" s="134"/>
      <c r="FA33" s="134"/>
      <c r="FB33" s="134"/>
      <c r="FC33" s="134"/>
      <c r="FD33" s="134"/>
      <c r="FE33" s="134"/>
      <c r="FF33" s="134"/>
      <c r="FG33" s="134"/>
      <c r="FH33" s="134"/>
      <c r="FI33" s="134"/>
      <c r="FJ33" s="134"/>
    </row>
    <row r="34" spans="1:166">
      <c r="A34" s="491"/>
      <c r="B34" s="511" t="s">
        <v>1128</v>
      </c>
      <c r="C34" s="486"/>
      <c r="D34" s="503"/>
      <c r="E34" s="503"/>
      <c r="F34" s="497"/>
      <c r="G34" s="498"/>
      <c r="H34" s="499"/>
      <c r="I34" s="491"/>
      <c r="J34" s="491"/>
      <c r="K34" s="491"/>
      <c r="L34" s="491"/>
      <c r="M34" s="513"/>
      <c r="N34" s="513"/>
      <c r="O34" s="486"/>
      <c r="P34" s="491"/>
      <c r="Q34" s="486"/>
      <c r="R34" s="486"/>
      <c r="S34" s="486"/>
      <c r="T34" s="486"/>
      <c r="U34" s="486"/>
      <c r="V34" s="490"/>
      <c r="W34" s="490"/>
      <c r="X34" s="490"/>
      <c r="Y34" s="490"/>
      <c r="Z34" s="490"/>
      <c r="AA34" s="490"/>
      <c r="AB34" s="490"/>
      <c r="AC34" s="490"/>
      <c r="AD34" s="490"/>
      <c r="AE34" s="490"/>
      <c r="AF34" s="490"/>
      <c r="AG34" s="490"/>
      <c r="AH34" s="490"/>
      <c r="AI34" s="490"/>
      <c r="AJ34" s="490"/>
      <c r="AK34" s="490"/>
      <c r="AL34" s="490"/>
      <c r="AM34" s="312"/>
      <c r="AN34" s="312"/>
      <c r="AO34" s="312"/>
      <c r="AP34" s="312"/>
      <c r="AQ34" s="312"/>
      <c r="AR34" s="313"/>
      <c r="AS34" s="313"/>
      <c r="AT34" s="313"/>
      <c r="AU34" s="313"/>
      <c r="AV34" s="313"/>
      <c r="AW34" s="313"/>
      <c r="AX34" s="313"/>
      <c r="AY34" s="313"/>
      <c r="AZ34" s="313"/>
      <c r="BA34" s="313"/>
      <c r="BB34" s="313"/>
      <c r="BC34" s="313"/>
      <c r="BD34" s="313"/>
      <c r="BE34" s="313"/>
      <c r="BF34" s="313"/>
      <c r="BG34" s="313"/>
      <c r="BH34" s="313"/>
      <c r="BI34" s="313"/>
      <c r="BJ34" s="313"/>
      <c r="BK34" s="135"/>
      <c r="BL34" s="135"/>
      <c r="BM34" s="135"/>
      <c r="BN34" s="135"/>
      <c r="BO34" s="135"/>
      <c r="BP34" s="135"/>
      <c r="BQ34" s="135"/>
      <c r="BR34" s="135"/>
      <c r="BS34" s="135"/>
      <c r="BT34" s="135"/>
      <c r="BU34" s="135"/>
      <c r="BV34" s="135"/>
      <c r="BW34" s="135"/>
      <c r="BX34" s="135"/>
      <c r="BY34" s="135"/>
      <c r="BZ34" s="135"/>
      <c r="CA34" s="135"/>
      <c r="CB34" s="135"/>
      <c r="CC34" s="135"/>
      <c r="CD34" s="135"/>
      <c r="CE34" s="135"/>
      <c r="CF34" s="135"/>
      <c r="CG34" s="135"/>
      <c r="CH34" s="135"/>
      <c r="CI34" s="135"/>
      <c r="CJ34" s="135"/>
      <c r="CK34" s="135"/>
      <c r="CL34" s="135"/>
      <c r="CM34" s="135"/>
      <c r="CN34" s="135"/>
      <c r="CO34" s="135"/>
      <c r="CP34" s="135"/>
      <c r="CQ34" s="135"/>
      <c r="CR34" s="135"/>
      <c r="CS34" s="135"/>
      <c r="CT34" s="135"/>
      <c r="CU34" s="135"/>
      <c r="CV34" s="135"/>
      <c r="CW34" s="135"/>
      <c r="CX34" s="135"/>
      <c r="CY34" s="135"/>
      <c r="CZ34" s="135"/>
      <c r="DA34" s="135"/>
      <c r="DB34" s="135"/>
      <c r="DC34" s="135"/>
      <c r="DD34" s="135"/>
      <c r="DE34" s="135"/>
      <c r="DF34" s="135"/>
      <c r="DG34" s="135"/>
      <c r="DH34" s="135"/>
      <c r="DI34" s="135"/>
      <c r="DJ34" s="135"/>
      <c r="DK34" s="135"/>
      <c r="DL34" s="135"/>
      <c r="DM34" s="135"/>
      <c r="DN34" s="135"/>
      <c r="DO34" s="135"/>
      <c r="DP34" s="135"/>
      <c r="DQ34" s="135"/>
      <c r="DR34" s="135"/>
      <c r="DS34" s="135"/>
      <c r="DT34" s="135"/>
      <c r="DU34" s="135"/>
      <c r="DV34" s="135"/>
      <c r="DW34" s="135"/>
      <c r="DX34" s="135"/>
      <c r="DY34" s="135"/>
      <c r="DZ34" s="135"/>
      <c r="EA34" s="135"/>
      <c r="EB34" s="135"/>
      <c r="EC34" s="135"/>
      <c r="ED34" s="135"/>
      <c r="EE34" s="135"/>
      <c r="EF34" s="135"/>
      <c r="EG34" s="135"/>
      <c r="EH34" s="135"/>
      <c r="EI34" s="135"/>
      <c r="EJ34" s="135"/>
      <c r="EK34" s="135"/>
      <c r="EL34" s="135"/>
      <c r="EM34" s="135"/>
      <c r="EN34" s="135"/>
      <c r="EO34" s="135"/>
      <c r="EP34" s="135"/>
      <c r="EQ34" s="135"/>
      <c r="ER34" s="135"/>
      <c r="ES34" s="135"/>
      <c r="ET34" s="135"/>
      <c r="EU34" s="135"/>
      <c r="EV34" s="135"/>
      <c r="EW34" s="135"/>
      <c r="EX34" s="135"/>
      <c r="EY34" s="135"/>
      <c r="EZ34" s="135"/>
      <c r="FA34" s="135"/>
      <c r="FB34" s="135"/>
      <c r="FC34" s="135"/>
      <c r="FD34" s="135"/>
      <c r="FE34" s="135"/>
      <c r="FF34" s="135"/>
      <c r="FG34" s="135"/>
      <c r="FH34" s="135"/>
      <c r="FI34" s="135"/>
      <c r="FJ34" s="135"/>
    </row>
    <row r="35" spans="1:166">
      <c r="A35" s="491"/>
      <c r="B35" s="511" t="s">
        <v>701</v>
      </c>
      <c r="C35" s="486"/>
      <c r="D35" s="503"/>
      <c r="E35" s="503"/>
      <c r="F35" s="497"/>
      <c r="G35" s="498"/>
      <c r="H35" s="499"/>
      <c r="I35" s="491"/>
      <c r="J35" s="491"/>
      <c r="K35" s="491"/>
      <c r="L35" s="491"/>
      <c r="M35" s="486"/>
      <c r="N35" s="486"/>
      <c r="O35" s="486"/>
      <c r="P35" s="491"/>
      <c r="Q35" s="486"/>
      <c r="R35" s="486"/>
      <c r="S35" s="486"/>
      <c r="T35" s="486"/>
      <c r="U35" s="486"/>
      <c r="V35" s="490"/>
      <c r="W35" s="490"/>
      <c r="X35" s="490"/>
      <c r="Y35" s="490"/>
      <c r="Z35" s="490"/>
      <c r="AA35" s="490"/>
      <c r="AB35" s="490"/>
      <c r="AC35" s="490"/>
      <c r="AD35" s="490"/>
      <c r="AE35" s="490"/>
      <c r="AF35" s="490"/>
      <c r="AG35" s="490"/>
      <c r="AH35" s="490"/>
      <c r="AI35" s="490"/>
      <c r="AJ35" s="490"/>
      <c r="AK35" s="490"/>
      <c r="AL35" s="490"/>
      <c r="AM35" s="312"/>
      <c r="AN35" s="312"/>
      <c r="AO35" s="312"/>
      <c r="AP35" s="312"/>
      <c r="AQ35" s="312"/>
      <c r="AR35" s="313"/>
      <c r="AS35" s="313"/>
      <c r="AT35" s="313"/>
      <c r="AU35" s="313"/>
      <c r="AV35" s="313"/>
      <c r="AW35" s="313"/>
      <c r="AX35" s="313"/>
      <c r="AY35" s="313"/>
      <c r="AZ35" s="313"/>
      <c r="BA35" s="313"/>
      <c r="BB35" s="313"/>
      <c r="BC35" s="313"/>
      <c r="BD35" s="313"/>
      <c r="BE35" s="313"/>
      <c r="BF35" s="313"/>
      <c r="BG35" s="313"/>
      <c r="BH35" s="313"/>
      <c r="BI35" s="313"/>
      <c r="BJ35" s="313"/>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row>
    <row r="36" spans="1:166">
      <c r="A36" s="491"/>
      <c r="B36" s="497"/>
      <c r="C36" s="497"/>
      <c r="D36" s="507"/>
      <c r="E36" s="507"/>
      <c r="F36" s="497"/>
      <c r="G36" s="498"/>
      <c r="H36" s="499"/>
      <c r="I36" s="491"/>
      <c r="J36" s="497"/>
      <c r="K36" s="498"/>
      <c r="L36" s="495"/>
      <c r="M36" s="507"/>
      <c r="N36" s="507"/>
      <c r="O36" s="508"/>
      <c r="P36" s="491"/>
      <c r="Q36" s="486"/>
      <c r="R36" s="486"/>
      <c r="S36" s="486"/>
      <c r="T36" s="486"/>
      <c r="U36" s="486"/>
      <c r="V36" s="490"/>
      <c r="W36" s="505"/>
      <c r="X36" s="505"/>
      <c r="Y36" s="505"/>
      <c r="Z36" s="505"/>
      <c r="AA36" s="490"/>
      <c r="AB36" s="490"/>
      <c r="AC36" s="490"/>
      <c r="AD36" s="490"/>
      <c r="AE36" s="490"/>
      <c r="AF36" s="490"/>
      <c r="AG36" s="490"/>
      <c r="AH36" s="490"/>
      <c r="AI36" s="490"/>
      <c r="AJ36" s="490"/>
      <c r="AK36" s="490"/>
      <c r="AL36" s="490"/>
      <c r="AM36" s="312"/>
      <c r="AN36" s="312"/>
      <c r="AO36" s="312"/>
      <c r="AP36" s="312"/>
      <c r="AQ36" s="312"/>
      <c r="AR36" s="313"/>
      <c r="AS36" s="313"/>
      <c r="AT36" s="313"/>
      <c r="AU36" s="313"/>
      <c r="AV36" s="313"/>
      <c r="AW36" s="313"/>
      <c r="AX36" s="313"/>
      <c r="AY36" s="313"/>
      <c r="AZ36" s="313"/>
      <c r="BA36" s="313"/>
      <c r="BB36" s="313"/>
      <c r="BC36" s="313"/>
      <c r="BD36" s="313"/>
      <c r="BE36" s="313"/>
      <c r="BF36" s="313"/>
      <c r="BG36" s="313"/>
      <c r="BH36" s="313"/>
      <c r="BI36" s="313"/>
      <c r="BJ36" s="313"/>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N36" s="132"/>
      <c r="CO36" s="132"/>
      <c r="CP36" s="132"/>
      <c r="CQ36" s="132"/>
      <c r="CR36" s="132"/>
      <c r="CS36" s="132"/>
      <c r="CT36" s="132"/>
      <c r="CU36" s="132"/>
      <c r="CV36" s="132"/>
      <c r="CW36" s="132"/>
      <c r="CX36" s="132"/>
      <c r="CY36" s="132"/>
      <c r="CZ36" s="132"/>
      <c r="DA36" s="132"/>
      <c r="DB36" s="132"/>
      <c r="DC36" s="132"/>
      <c r="DD36" s="132"/>
      <c r="DE36" s="132"/>
      <c r="DF36" s="132"/>
      <c r="DG36" s="132"/>
      <c r="DH36" s="132"/>
      <c r="DI36" s="132"/>
      <c r="DJ36" s="132"/>
      <c r="DK36" s="132"/>
      <c r="DL36" s="132"/>
      <c r="DM36" s="132"/>
      <c r="DN36" s="132"/>
      <c r="DO36" s="132"/>
      <c r="DP36" s="132"/>
      <c r="DQ36" s="132"/>
      <c r="DR36" s="132"/>
      <c r="DS36" s="132"/>
      <c r="DT36" s="132"/>
      <c r="DU36" s="132"/>
      <c r="DV36" s="132"/>
      <c r="DW36" s="132"/>
      <c r="DX36" s="132"/>
      <c r="DY36" s="132"/>
      <c r="DZ36" s="132"/>
      <c r="EA36" s="132"/>
      <c r="EB36" s="132"/>
      <c r="EC36" s="132"/>
      <c r="ED36" s="132"/>
      <c r="EE36" s="132"/>
      <c r="EF36" s="132"/>
      <c r="EG36" s="132"/>
      <c r="EH36" s="132"/>
      <c r="EI36" s="132"/>
      <c r="EJ36" s="132"/>
      <c r="EK36" s="132"/>
      <c r="EL36" s="132"/>
      <c r="EM36" s="132"/>
      <c r="EN36" s="132"/>
      <c r="EO36" s="132"/>
      <c r="EP36" s="132"/>
      <c r="EQ36" s="132"/>
      <c r="ER36" s="132"/>
      <c r="ES36" s="132"/>
      <c r="ET36" s="132"/>
      <c r="EU36" s="132"/>
      <c r="EV36" s="132"/>
      <c r="EW36" s="132"/>
      <c r="EX36" s="132"/>
      <c r="EY36" s="132"/>
      <c r="EZ36" s="132"/>
      <c r="FA36" s="132"/>
      <c r="FB36" s="132"/>
      <c r="FC36" s="132"/>
      <c r="FD36" s="132"/>
      <c r="FE36" s="132"/>
      <c r="FF36" s="132"/>
      <c r="FG36" s="132"/>
      <c r="FH36" s="132"/>
      <c r="FI36" s="132"/>
      <c r="FJ36" s="132"/>
    </row>
    <row r="37" spans="1:166">
      <c r="A37" s="491"/>
      <c r="B37" s="486"/>
      <c r="C37" s="486"/>
      <c r="D37" s="503"/>
      <c r="E37" s="503"/>
      <c r="F37" s="497"/>
      <c r="G37" s="498"/>
      <c r="H37" s="499"/>
      <c r="I37" s="491"/>
      <c r="J37" s="497"/>
      <c r="K37" s="498"/>
      <c r="L37" s="495"/>
      <c r="M37" s="504"/>
      <c r="N37" s="504"/>
      <c r="O37" s="504"/>
      <c r="P37" s="491"/>
      <c r="Q37" s="486"/>
      <c r="R37" s="486"/>
      <c r="S37" s="486"/>
      <c r="T37" s="486"/>
      <c r="U37" s="486"/>
      <c r="V37" s="490"/>
      <c r="W37" s="505"/>
      <c r="X37" s="505"/>
      <c r="Y37" s="505"/>
      <c r="Z37" s="505"/>
      <c r="AA37" s="490"/>
      <c r="AB37" s="490"/>
      <c r="AC37" s="490"/>
      <c r="AD37" s="490"/>
      <c r="AE37" s="490"/>
      <c r="AF37" s="490"/>
      <c r="AG37" s="490"/>
      <c r="AH37" s="490"/>
      <c r="AI37" s="490"/>
      <c r="AJ37" s="490"/>
      <c r="AK37" s="490"/>
      <c r="AL37" s="490"/>
      <c r="AM37" s="312"/>
      <c r="AN37" s="312"/>
      <c r="AO37" s="312"/>
      <c r="AP37" s="312"/>
      <c r="AQ37" s="312"/>
      <c r="AR37" s="313"/>
      <c r="AS37" s="313"/>
      <c r="AT37" s="313"/>
      <c r="AU37" s="313"/>
      <c r="AV37" s="313"/>
      <c r="AW37" s="313"/>
      <c r="AX37" s="313"/>
      <c r="AY37" s="313"/>
      <c r="AZ37" s="313"/>
      <c r="BA37" s="313"/>
      <c r="BB37" s="313"/>
      <c r="BC37" s="313"/>
      <c r="BD37" s="313"/>
      <c r="BE37" s="313"/>
      <c r="BF37" s="313"/>
      <c r="BG37" s="313"/>
      <c r="BH37" s="313"/>
      <c r="BI37" s="313"/>
      <c r="BJ37" s="313"/>
      <c r="BK37" s="133"/>
      <c r="BL37" s="133"/>
      <c r="BM37" s="133"/>
      <c r="BN37" s="133"/>
      <c r="BO37" s="133"/>
      <c r="BP37" s="133"/>
      <c r="BQ37" s="133"/>
      <c r="BR37" s="133"/>
      <c r="BS37" s="133"/>
      <c r="BT37" s="133"/>
      <c r="BU37" s="133"/>
      <c r="BV37" s="133"/>
      <c r="BW37" s="133"/>
      <c r="BX37" s="133"/>
      <c r="BY37" s="133"/>
      <c r="BZ37" s="133"/>
      <c r="CA37" s="133"/>
      <c r="CB37" s="133"/>
      <c r="CC37" s="133"/>
      <c r="CD37" s="133"/>
      <c r="CE37" s="133"/>
      <c r="CF37" s="133"/>
      <c r="CG37" s="133"/>
      <c r="CH37" s="133"/>
      <c r="CI37" s="133"/>
      <c r="CJ37" s="133"/>
      <c r="CK37" s="133"/>
      <c r="CL37" s="133"/>
      <c r="CM37" s="133"/>
      <c r="CN37" s="133"/>
      <c r="CO37" s="133"/>
      <c r="CP37" s="133"/>
      <c r="CQ37" s="133"/>
      <c r="CR37" s="133"/>
      <c r="CS37" s="133"/>
      <c r="CT37" s="133"/>
      <c r="CU37" s="133"/>
      <c r="CV37" s="133"/>
      <c r="CW37" s="133"/>
      <c r="CX37" s="133"/>
      <c r="CY37" s="133"/>
      <c r="CZ37" s="133"/>
      <c r="DA37" s="133"/>
      <c r="DB37" s="133"/>
      <c r="DC37" s="133"/>
      <c r="DD37" s="133"/>
      <c r="DE37" s="133"/>
      <c r="DF37" s="133"/>
      <c r="DG37" s="133"/>
      <c r="DH37" s="133"/>
      <c r="DI37" s="133"/>
      <c r="DJ37" s="133"/>
      <c r="DK37" s="133"/>
      <c r="DL37" s="133"/>
      <c r="DM37" s="133"/>
      <c r="DN37" s="133"/>
      <c r="DO37" s="133"/>
      <c r="DP37" s="133"/>
      <c r="DQ37" s="133"/>
      <c r="DR37" s="133"/>
      <c r="DS37" s="133"/>
      <c r="DT37" s="133"/>
      <c r="DU37" s="133"/>
      <c r="DV37" s="133"/>
      <c r="DW37" s="133"/>
      <c r="DX37" s="133"/>
      <c r="DY37" s="133"/>
      <c r="DZ37" s="133"/>
      <c r="EA37" s="133"/>
      <c r="EB37" s="133"/>
      <c r="EC37" s="133"/>
      <c r="ED37" s="133"/>
      <c r="EE37" s="133"/>
      <c r="EF37" s="133"/>
      <c r="EG37" s="133"/>
      <c r="EH37" s="133"/>
      <c r="EI37" s="133"/>
      <c r="EJ37" s="133"/>
      <c r="EK37" s="133"/>
      <c r="EL37" s="133"/>
      <c r="EM37" s="133"/>
      <c r="EN37" s="133"/>
      <c r="EO37" s="133"/>
      <c r="EP37" s="133"/>
      <c r="EQ37" s="133"/>
      <c r="ER37" s="133"/>
      <c r="ES37" s="133"/>
      <c r="ET37" s="133"/>
      <c r="EU37" s="133"/>
      <c r="EV37" s="133"/>
      <c r="EW37" s="133"/>
      <c r="EX37" s="133"/>
      <c r="EY37" s="133"/>
      <c r="EZ37" s="133"/>
      <c r="FA37" s="133"/>
      <c r="FB37" s="133"/>
      <c r="FC37" s="133"/>
      <c r="FD37" s="133"/>
      <c r="FE37" s="133"/>
      <c r="FF37" s="133"/>
      <c r="FG37" s="133"/>
      <c r="FH37" s="133"/>
      <c r="FI37" s="133"/>
      <c r="FJ37" s="133"/>
    </row>
    <row r="38" spans="1:166">
      <c r="A38" s="491"/>
      <c r="B38" s="486"/>
      <c r="C38" s="486"/>
      <c r="D38" s="514"/>
      <c r="E38" s="514"/>
      <c r="F38" s="497"/>
      <c r="G38" s="515"/>
      <c r="H38" s="499"/>
      <c r="I38" s="491"/>
      <c r="J38" s="497"/>
      <c r="K38" s="498"/>
      <c r="L38" s="495"/>
      <c r="M38" s="503"/>
      <c r="N38" s="503"/>
      <c r="O38" s="504"/>
      <c r="P38" s="491"/>
      <c r="Q38" s="486"/>
      <c r="R38" s="486"/>
      <c r="S38" s="486"/>
      <c r="T38" s="486"/>
      <c r="U38" s="486"/>
      <c r="V38" s="490"/>
      <c r="W38" s="505"/>
      <c r="X38" s="505"/>
      <c r="Y38" s="505"/>
      <c r="Z38" s="505"/>
      <c r="AA38" s="490"/>
      <c r="AB38" s="490"/>
      <c r="AC38" s="490"/>
      <c r="AD38" s="490"/>
      <c r="AE38" s="490"/>
      <c r="AF38" s="490"/>
      <c r="AG38" s="490"/>
      <c r="AH38" s="490"/>
      <c r="AI38" s="490"/>
      <c r="AJ38" s="490"/>
      <c r="AK38" s="490"/>
      <c r="AL38" s="490"/>
      <c r="AM38" s="312"/>
      <c r="AN38" s="312"/>
      <c r="AO38" s="312"/>
      <c r="AP38" s="312"/>
      <c r="AQ38" s="312"/>
      <c r="AR38" s="313"/>
      <c r="AS38" s="313"/>
      <c r="AT38" s="313"/>
      <c r="AU38" s="313"/>
      <c r="AV38" s="313"/>
      <c r="AW38" s="313"/>
      <c r="AX38" s="313"/>
      <c r="AY38" s="313"/>
      <c r="AZ38" s="313"/>
      <c r="BA38" s="313"/>
      <c r="BB38" s="313"/>
      <c r="BC38" s="313"/>
      <c r="BD38" s="313"/>
      <c r="BE38" s="313"/>
      <c r="BF38" s="313"/>
      <c r="BG38" s="313"/>
      <c r="BH38" s="313"/>
      <c r="BI38" s="313"/>
      <c r="BJ38" s="313"/>
      <c r="BK38" s="130"/>
      <c r="BL38" s="130"/>
      <c r="BM38" s="130"/>
      <c r="BN38" s="130"/>
      <c r="BO38" s="130"/>
      <c r="BP38" s="130"/>
      <c r="BQ38" s="130"/>
      <c r="BR38" s="130"/>
      <c r="BS38" s="130"/>
      <c r="BT38" s="130"/>
      <c r="BU38" s="130"/>
      <c r="BV38" s="130"/>
      <c r="BW38" s="130"/>
      <c r="BX38" s="130"/>
      <c r="BY38" s="130"/>
      <c r="BZ38" s="130"/>
      <c r="CA38" s="130"/>
      <c r="CB38" s="130"/>
      <c r="CC38" s="130"/>
      <c r="CD38" s="130"/>
      <c r="CE38" s="130"/>
      <c r="CF38" s="130"/>
      <c r="CG38" s="130"/>
      <c r="CH38" s="130"/>
      <c r="CI38" s="130"/>
      <c r="CJ38" s="130"/>
      <c r="CK38" s="130"/>
      <c r="CL38" s="130"/>
      <c r="CM38" s="130"/>
      <c r="CN38" s="130"/>
      <c r="CO38" s="130"/>
      <c r="CP38" s="130"/>
      <c r="CQ38" s="130"/>
      <c r="CR38" s="130"/>
      <c r="CS38" s="130"/>
      <c r="CT38" s="130"/>
      <c r="CU38" s="130"/>
      <c r="CV38" s="130"/>
      <c r="CW38" s="130"/>
      <c r="CX38" s="130"/>
      <c r="CY38" s="130"/>
      <c r="CZ38" s="130"/>
      <c r="DA38" s="130"/>
      <c r="DB38" s="130"/>
      <c r="DC38" s="130"/>
      <c r="DD38" s="130"/>
      <c r="DE38" s="130"/>
      <c r="DF38" s="130"/>
      <c r="DG38" s="130"/>
      <c r="DH38" s="130"/>
      <c r="DI38" s="130"/>
      <c r="DJ38" s="130"/>
      <c r="DK38" s="130"/>
      <c r="DL38" s="130"/>
      <c r="DM38" s="130"/>
      <c r="DN38" s="130"/>
      <c r="DO38" s="130"/>
      <c r="DP38" s="130"/>
      <c r="DQ38" s="130"/>
      <c r="DR38" s="130"/>
      <c r="DS38" s="130"/>
      <c r="DT38" s="130"/>
      <c r="DU38" s="130"/>
      <c r="DV38" s="130"/>
      <c r="DW38" s="130"/>
      <c r="DX38" s="130"/>
      <c r="DY38" s="130"/>
      <c r="DZ38" s="130"/>
      <c r="EA38" s="130"/>
      <c r="EB38" s="130"/>
      <c r="EC38" s="130"/>
      <c r="ED38" s="130"/>
      <c r="EE38" s="130"/>
      <c r="EF38" s="130"/>
      <c r="EG38" s="130"/>
      <c r="EH38" s="130"/>
      <c r="EI38" s="130"/>
      <c r="EJ38" s="130"/>
      <c r="EK38" s="130"/>
      <c r="EL38" s="130"/>
      <c r="EM38" s="130"/>
      <c r="EN38" s="130"/>
      <c r="EO38" s="130"/>
      <c r="EP38" s="130"/>
      <c r="EQ38" s="130"/>
      <c r="ER38" s="130"/>
      <c r="ES38" s="130"/>
      <c r="ET38" s="130"/>
      <c r="EU38" s="130"/>
      <c r="EV38" s="130"/>
      <c r="EW38" s="130"/>
      <c r="EX38" s="130"/>
      <c r="EY38" s="130"/>
      <c r="EZ38" s="130"/>
      <c r="FA38" s="130"/>
      <c r="FB38" s="130"/>
      <c r="FC38" s="130"/>
      <c r="FD38" s="130"/>
      <c r="FE38" s="130"/>
      <c r="FF38" s="130"/>
      <c r="FG38" s="130"/>
      <c r="FH38" s="130"/>
      <c r="FI38" s="130"/>
      <c r="FJ38" s="130"/>
    </row>
    <row r="39" spans="1:166">
      <c r="A39" s="491"/>
      <c r="B39" s="497"/>
      <c r="C39" s="497"/>
      <c r="D39" s="507"/>
      <c r="E39" s="507"/>
      <c r="F39" s="486"/>
      <c r="G39" s="486"/>
      <c r="H39" s="486"/>
      <c r="I39" s="490"/>
      <c r="J39" s="497"/>
      <c r="K39" s="498"/>
      <c r="L39" s="495"/>
      <c r="M39" s="507"/>
      <c r="N39" s="507"/>
      <c r="O39" s="508"/>
      <c r="P39" s="491"/>
      <c r="Q39" s="486"/>
      <c r="R39" s="486"/>
      <c r="S39" s="486"/>
      <c r="T39" s="486"/>
      <c r="U39" s="486"/>
      <c r="V39" s="490"/>
      <c r="W39" s="505"/>
      <c r="X39" s="505"/>
      <c r="Y39" s="505"/>
      <c r="Z39" s="505"/>
      <c r="AA39" s="490"/>
      <c r="AB39" s="490"/>
      <c r="AC39" s="490"/>
      <c r="AD39" s="490"/>
      <c r="AE39" s="490"/>
      <c r="AF39" s="490"/>
      <c r="AG39" s="490"/>
      <c r="AH39" s="490"/>
      <c r="AI39" s="490"/>
      <c r="AJ39" s="490"/>
      <c r="AK39" s="490"/>
      <c r="AL39" s="490"/>
      <c r="AM39" s="312"/>
      <c r="AN39" s="312"/>
      <c r="AO39" s="312"/>
      <c r="AP39" s="312"/>
      <c r="AQ39" s="312"/>
      <c r="AR39" s="313"/>
      <c r="AS39" s="313"/>
      <c r="AT39" s="313"/>
      <c r="AU39" s="313"/>
      <c r="AV39" s="313"/>
      <c r="AW39" s="313"/>
      <c r="AX39" s="313"/>
      <c r="AY39" s="313"/>
      <c r="AZ39" s="313"/>
      <c r="BA39" s="313"/>
      <c r="BB39" s="313"/>
      <c r="BC39" s="313"/>
      <c r="BD39" s="313"/>
      <c r="BE39" s="313"/>
      <c r="BF39" s="313"/>
      <c r="BG39" s="313"/>
      <c r="BH39" s="313"/>
      <c r="BI39" s="313"/>
      <c r="BJ39" s="313"/>
      <c r="BK39" s="132"/>
      <c r="BL39" s="132"/>
      <c r="BM39" s="132"/>
      <c r="BN39" s="132"/>
      <c r="BO39" s="132"/>
      <c r="BP39" s="132"/>
      <c r="BQ39" s="132"/>
      <c r="BR39" s="132"/>
      <c r="BS39" s="132"/>
      <c r="BT39" s="132"/>
      <c r="BU39" s="132"/>
      <c r="BV39" s="132"/>
      <c r="BW39" s="132"/>
      <c r="BX39" s="132"/>
      <c r="BY39" s="132"/>
      <c r="BZ39" s="132"/>
      <c r="CA39" s="132"/>
      <c r="CB39" s="132"/>
      <c r="CC39" s="132"/>
      <c r="CD39" s="132"/>
      <c r="CE39" s="132"/>
      <c r="CF39" s="132"/>
      <c r="CG39" s="132"/>
      <c r="CH39" s="132"/>
      <c r="CI39" s="132"/>
      <c r="CJ39" s="132"/>
      <c r="CK39" s="132"/>
      <c r="CL39" s="132"/>
      <c r="CM39" s="132"/>
      <c r="CN39" s="132"/>
      <c r="CO39" s="132"/>
      <c r="CP39" s="132"/>
      <c r="CQ39" s="132"/>
      <c r="CR39" s="132"/>
      <c r="CS39" s="132"/>
      <c r="CT39" s="132"/>
      <c r="CU39" s="132"/>
      <c r="CV39" s="132"/>
      <c r="CW39" s="132"/>
      <c r="CX39" s="132"/>
      <c r="CY39" s="132"/>
      <c r="CZ39" s="132"/>
      <c r="DA39" s="132"/>
      <c r="DB39" s="132"/>
      <c r="DC39" s="132"/>
      <c r="DD39" s="132"/>
      <c r="DE39" s="132"/>
      <c r="DF39" s="132"/>
      <c r="DG39" s="132"/>
      <c r="DH39" s="132"/>
      <c r="DI39" s="132"/>
      <c r="DJ39" s="132"/>
      <c r="DK39" s="132"/>
      <c r="DL39" s="132"/>
      <c r="DM39" s="132"/>
      <c r="DN39" s="132"/>
      <c r="DO39" s="132"/>
      <c r="DP39" s="132"/>
      <c r="DQ39" s="132"/>
      <c r="DR39" s="132"/>
      <c r="DS39" s="132"/>
      <c r="DT39" s="132"/>
      <c r="DU39" s="132"/>
      <c r="DV39" s="132"/>
      <c r="DW39" s="132"/>
      <c r="DX39" s="132"/>
      <c r="DY39" s="132"/>
      <c r="DZ39" s="132"/>
      <c r="EA39" s="132"/>
      <c r="EB39" s="132"/>
      <c r="EC39" s="132"/>
      <c r="ED39" s="132"/>
      <c r="EE39" s="132"/>
      <c r="EF39" s="132"/>
      <c r="EG39" s="132"/>
      <c r="EH39" s="132"/>
      <c r="EI39" s="132"/>
      <c r="EJ39" s="132"/>
      <c r="EK39" s="132"/>
      <c r="EL39" s="132"/>
      <c r="EM39" s="132"/>
      <c r="EN39" s="132"/>
      <c r="EO39" s="132"/>
      <c r="EP39" s="132"/>
      <c r="EQ39" s="132"/>
      <c r="ER39" s="132"/>
      <c r="ES39" s="132"/>
      <c r="ET39" s="132"/>
      <c r="EU39" s="132"/>
      <c r="EV39" s="132"/>
      <c r="EW39" s="132"/>
      <c r="EX39" s="132"/>
      <c r="EY39" s="132"/>
      <c r="EZ39" s="132"/>
      <c r="FA39" s="132"/>
      <c r="FB39" s="132"/>
      <c r="FC39" s="132"/>
      <c r="FD39" s="132"/>
      <c r="FE39" s="132"/>
      <c r="FF39" s="132"/>
      <c r="FG39" s="132"/>
      <c r="FH39" s="132"/>
      <c r="FI39" s="132"/>
      <c r="FJ39" s="132"/>
    </row>
    <row r="40" spans="1:166">
      <c r="A40" s="491"/>
      <c r="B40" s="486"/>
      <c r="C40" s="486"/>
      <c r="D40" s="486"/>
      <c r="E40" s="486"/>
      <c r="F40" s="504"/>
      <c r="G40" s="504"/>
      <c r="H40" s="504"/>
      <c r="I40" s="504"/>
      <c r="J40" s="497"/>
      <c r="K40" s="498"/>
      <c r="L40" s="495"/>
      <c r="M40" s="504"/>
      <c r="N40" s="504"/>
      <c r="O40" s="504"/>
      <c r="P40" s="491"/>
      <c r="Q40" s="486"/>
      <c r="R40" s="486"/>
      <c r="S40" s="486"/>
      <c r="T40" s="486"/>
      <c r="U40" s="486"/>
      <c r="V40" s="490"/>
      <c r="W40" s="516"/>
      <c r="X40" s="516"/>
      <c r="Y40" s="516"/>
      <c r="Z40" s="516"/>
      <c r="AA40" s="490"/>
      <c r="AB40" s="490"/>
      <c r="AC40" s="490"/>
      <c r="AD40" s="490"/>
      <c r="AE40" s="490"/>
      <c r="AF40" s="490"/>
      <c r="AG40" s="490"/>
      <c r="AH40" s="490"/>
      <c r="AI40" s="490"/>
      <c r="AJ40" s="490"/>
      <c r="AK40" s="490"/>
      <c r="AL40" s="490"/>
      <c r="AM40" s="312"/>
      <c r="AN40" s="312"/>
      <c r="AO40" s="312"/>
      <c r="AP40" s="312"/>
      <c r="AQ40" s="312"/>
      <c r="AR40" s="313"/>
      <c r="AS40" s="313"/>
      <c r="AT40" s="313"/>
      <c r="AU40" s="313"/>
      <c r="AV40" s="313"/>
      <c r="AW40" s="313"/>
      <c r="AX40" s="313"/>
      <c r="AY40" s="313"/>
      <c r="AZ40" s="313"/>
      <c r="BA40" s="313"/>
      <c r="BB40" s="313"/>
      <c r="BC40" s="313"/>
      <c r="BD40" s="313"/>
      <c r="BE40" s="313"/>
      <c r="BF40" s="313"/>
      <c r="BG40" s="313"/>
      <c r="BH40" s="313"/>
      <c r="BI40" s="313"/>
      <c r="BJ40" s="313"/>
      <c r="BK40" s="133"/>
      <c r="BL40" s="133"/>
      <c r="BM40" s="133"/>
      <c r="BN40" s="133"/>
      <c r="BO40" s="133"/>
      <c r="BP40" s="133"/>
      <c r="BQ40" s="133"/>
      <c r="BR40" s="133"/>
      <c r="BS40" s="133"/>
      <c r="BT40" s="133"/>
      <c r="BU40" s="133"/>
      <c r="BV40" s="133"/>
      <c r="BW40" s="133"/>
      <c r="BX40" s="133"/>
      <c r="BY40" s="133"/>
      <c r="BZ40" s="133"/>
      <c r="CA40" s="133"/>
      <c r="CB40" s="133"/>
      <c r="CC40" s="133"/>
      <c r="CD40" s="133"/>
      <c r="CE40" s="133"/>
      <c r="CF40" s="133"/>
      <c r="CG40" s="133"/>
      <c r="CH40" s="133"/>
      <c r="CI40" s="133"/>
      <c r="CJ40" s="133"/>
      <c r="CK40" s="133"/>
      <c r="CL40" s="133"/>
      <c r="CM40" s="133"/>
      <c r="CN40" s="133"/>
      <c r="CO40" s="133"/>
      <c r="CP40" s="133"/>
      <c r="CQ40" s="133"/>
      <c r="CR40" s="133"/>
      <c r="CS40" s="133"/>
      <c r="CT40" s="133"/>
      <c r="CU40" s="133"/>
      <c r="CV40" s="133"/>
      <c r="CW40" s="133"/>
      <c r="CX40" s="133"/>
      <c r="CY40" s="133"/>
      <c r="CZ40" s="133"/>
      <c r="DA40" s="133"/>
      <c r="DB40" s="133"/>
      <c r="DC40" s="133"/>
      <c r="DD40" s="133"/>
      <c r="DE40" s="133"/>
      <c r="DF40" s="133"/>
      <c r="DG40" s="133"/>
      <c r="DH40" s="133"/>
      <c r="DI40" s="133"/>
      <c r="DJ40" s="133"/>
      <c r="DK40" s="133"/>
      <c r="DL40" s="133"/>
      <c r="DM40" s="133"/>
      <c r="DN40" s="133"/>
      <c r="DO40" s="133"/>
      <c r="DP40" s="133"/>
      <c r="DQ40" s="133"/>
      <c r="DR40" s="133"/>
      <c r="DS40" s="133"/>
      <c r="DT40" s="133"/>
      <c r="DU40" s="133"/>
      <c r="DV40" s="133"/>
      <c r="DW40" s="133"/>
      <c r="DX40" s="133"/>
      <c r="DY40" s="133"/>
      <c r="DZ40" s="133"/>
      <c r="EA40" s="133"/>
      <c r="EB40" s="133"/>
      <c r="EC40" s="133"/>
      <c r="ED40" s="133"/>
      <c r="EE40" s="133"/>
      <c r="EF40" s="133"/>
      <c r="EG40" s="133"/>
      <c r="EH40" s="133"/>
      <c r="EI40" s="133"/>
      <c r="EJ40" s="133"/>
      <c r="EK40" s="133"/>
      <c r="EL40" s="133"/>
      <c r="EM40" s="133"/>
      <c r="EN40" s="133"/>
      <c r="EO40" s="133"/>
      <c r="EP40" s="133"/>
      <c r="EQ40" s="133"/>
      <c r="ER40" s="133"/>
      <c r="ES40" s="133"/>
      <c r="ET40" s="133"/>
      <c r="EU40" s="133"/>
      <c r="EV40" s="133"/>
      <c r="EW40" s="133"/>
      <c r="EX40" s="133"/>
      <c r="EY40" s="133"/>
      <c r="EZ40" s="133"/>
      <c r="FA40" s="133"/>
      <c r="FB40" s="133"/>
      <c r="FC40" s="133"/>
      <c r="FD40" s="133"/>
      <c r="FE40" s="133"/>
      <c r="FF40" s="133"/>
      <c r="FG40" s="133"/>
      <c r="FH40" s="133"/>
      <c r="FI40" s="133"/>
      <c r="FJ40" s="133"/>
    </row>
    <row r="41" spans="1:166">
      <c r="A41" s="491"/>
      <c r="B41" s="486"/>
      <c r="C41" s="486"/>
      <c r="D41" s="517"/>
      <c r="E41" s="517"/>
      <c r="F41" s="517"/>
      <c r="G41" s="517"/>
      <c r="H41" s="517"/>
      <c r="I41" s="486"/>
      <c r="J41" s="497"/>
      <c r="K41" s="498"/>
      <c r="L41" s="495"/>
      <c r="M41" s="503"/>
      <c r="N41" s="503"/>
      <c r="O41" s="504"/>
      <c r="P41" s="491"/>
      <c r="Q41" s="486"/>
      <c r="R41" s="486"/>
      <c r="S41" s="486"/>
      <c r="T41" s="486"/>
      <c r="U41" s="486"/>
      <c r="V41" s="490"/>
      <c r="W41" s="490"/>
      <c r="X41" s="490"/>
      <c r="Y41" s="490"/>
      <c r="Z41" s="490"/>
      <c r="AA41" s="518"/>
      <c r="AB41" s="518"/>
      <c r="AC41" s="490"/>
      <c r="AD41" s="490"/>
      <c r="AE41" s="490"/>
      <c r="AF41" s="490"/>
      <c r="AG41" s="490"/>
      <c r="AH41" s="490"/>
      <c r="AI41" s="490"/>
      <c r="AJ41" s="490"/>
      <c r="AK41" s="490"/>
      <c r="AL41" s="490"/>
      <c r="AM41" s="312"/>
      <c r="AN41" s="312"/>
      <c r="AO41" s="312"/>
      <c r="AP41" s="312"/>
      <c r="AQ41" s="312"/>
      <c r="AR41" s="313"/>
      <c r="AS41" s="313"/>
      <c r="AT41" s="313"/>
      <c r="AU41" s="313"/>
      <c r="AV41" s="313"/>
      <c r="AW41" s="313"/>
      <c r="AX41" s="313"/>
      <c r="AY41" s="313"/>
      <c r="AZ41" s="313"/>
      <c r="BA41" s="313"/>
      <c r="BB41" s="313"/>
      <c r="BC41" s="313"/>
      <c r="BD41" s="313"/>
      <c r="BE41" s="313"/>
      <c r="BF41" s="313"/>
      <c r="BG41" s="313"/>
      <c r="BH41" s="313"/>
      <c r="BI41" s="313"/>
      <c r="BJ41" s="313"/>
      <c r="BK41" s="130"/>
      <c r="BL41" s="130"/>
      <c r="BM41" s="130"/>
      <c r="BN41" s="130"/>
      <c r="BO41" s="130"/>
      <c r="BP41" s="130"/>
      <c r="BQ41" s="130"/>
      <c r="BR41" s="130"/>
      <c r="BS41" s="130"/>
      <c r="BT41" s="130"/>
      <c r="BU41" s="130"/>
      <c r="BV41" s="130"/>
      <c r="BW41" s="130"/>
      <c r="BX41" s="130"/>
      <c r="BY41" s="130"/>
      <c r="BZ41" s="130"/>
      <c r="CA41" s="130"/>
      <c r="CB41" s="130"/>
      <c r="CC41" s="130"/>
      <c r="CD41" s="130"/>
      <c r="CE41" s="130"/>
      <c r="CF41" s="130"/>
      <c r="CG41" s="130"/>
      <c r="CH41" s="130"/>
      <c r="CI41" s="130"/>
      <c r="CJ41" s="130"/>
      <c r="CK41" s="130"/>
      <c r="CL41" s="130"/>
      <c r="CM41" s="130"/>
      <c r="CN41" s="130"/>
      <c r="CO41" s="130"/>
      <c r="CP41" s="130"/>
      <c r="CQ41" s="130"/>
      <c r="CR41" s="130"/>
      <c r="CS41" s="130"/>
      <c r="CT41" s="130"/>
      <c r="CU41" s="130"/>
      <c r="CV41" s="130"/>
      <c r="CW41" s="130"/>
      <c r="CX41" s="130"/>
      <c r="CY41" s="130"/>
      <c r="CZ41" s="130"/>
      <c r="DA41" s="130"/>
      <c r="DB41" s="130"/>
      <c r="DC41" s="130"/>
      <c r="DD41" s="130"/>
      <c r="DE41" s="130"/>
      <c r="DF41" s="130"/>
      <c r="DG41" s="130"/>
      <c r="DH41" s="130"/>
      <c r="DI41" s="130"/>
      <c r="DJ41" s="130"/>
      <c r="DK41" s="130"/>
      <c r="DL41" s="130"/>
      <c r="DM41" s="130"/>
      <c r="DN41" s="130"/>
      <c r="DO41" s="130"/>
      <c r="DP41" s="130"/>
      <c r="DQ41" s="130"/>
      <c r="DR41" s="130"/>
      <c r="DS41" s="130"/>
      <c r="DT41" s="130"/>
      <c r="DU41" s="130"/>
      <c r="DV41" s="130"/>
      <c r="DW41" s="130"/>
      <c r="DX41" s="130"/>
      <c r="DY41" s="130"/>
      <c r="DZ41" s="130"/>
      <c r="EA41" s="130"/>
      <c r="EB41" s="130"/>
      <c r="EC41" s="130"/>
      <c r="ED41" s="130"/>
      <c r="EE41" s="130"/>
      <c r="EF41" s="130"/>
      <c r="EG41" s="130"/>
      <c r="EH41" s="130"/>
      <c r="EI41" s="130"/>
      <c r="EJ41" s="130"/>
      <c r="EK41" s="130"/>
      <c r="EL41" s="130"/>
      <c r="EM41" s="130"/>
      <c r="EN41" s="130"/>
      <c r="EO41" s="130"/>
      <c r="EP41" s="130"/>
      <c r="EQ41" s="130"/>
      <c r="ER41" s="130"/>
      <c r="ES41" s="130"/>
      <c r="ET41" s="130"/>
      <c r="EU41" s="130"/>
      <c r="EV41" s="130"/>
      <c r="EW41" s="130"/>
      <c r="EX41" s="130"/>
      <c r="EY41" s="130"/>
      <c r="EZ41" s="130"/>
      <c r="FA41" s="130"/>
      <c r="FB41" s="130"/>
      <c r="FC41" s="130"/>
      <c r="FD41" s="130"/>
      <c r="FE41" s="130"/>
      <c r="FF41" s="130"/>
      <c r="FG41" s="130"/>
      <c r="FH41" s="130"/>
      <c r="FI41" s="130"/>
      <c r="FJ41" s="130"/>
    </row>
    <row r="42" spans="1:166">
      <c r="A42" s="491"/>
      <c r="B42" s="497"/>
      <c r="C42" s="497"/>
      <c r="D42" s="513"/>
      <c r="E42" s="513"/>
      <c r="F42" s="513"/>
      <c r="G42" s="513"/>
      <c r="H42" s="513"/>
      <c r="I42" s="513"/>
      <c r="J42" s="497"/>
      <c r="K42" s="498"/>
      <c r="L42" s="495"/>
      <c r="M42" s="513"/>
      <c r="N42" s="513"/>
      <c r="O42" s="504"/>
      <c r="P42" s="491"/>
      <c r="Q42" s="486"/>
      <c r="R42" s="486"/>
      <c r="S42" s="486"/>
      <c r="T42" s="486"/>
      <c r="U42" s="486"/>
      <c r="V42" s="490"/>
      <c r="W42" s="490"/>
      <c r="X42" s="490"/>
      <c r="Y42" s="490"/>
      <c r="Z42" s="490"/>
      <c r="AA42" s="518"/>
      <c r="AB42" s="518"/>
      <c r="AC42" s="490"/>
      <c r="AD42" s="490"/>
      <c r="AE42" s="490"/>
      <c r="AF42" s="490"/>
      <c r="AG42" s="490"/>
      <c r="AH42" s="490"/>
      <c r="AI42" s="490"/>
      <c r="AJ42" s="490"/>
      <c r="AK42" s="490"/>
      <c r="AL42" s="490"/>
      <c r="AM42" s="312"/>
      <c r="AN42" s="312"/>
      <c r="AO42" s="312"/>
      <c r="AP42" s="312"/>
      <c r="AQ42" s="312"/>
      <c r="AR42" s="313"/>
      <c r="AS42" s="313"/>
      <c r="AT42" s="313"/>
      <c r="AU42" s="313"/>
      <c r="AV42" s="313"/>
      <c r="AW42" s="313"/>
      <c r="AX42" s="313"/>
      <c r="AY42" s="313"/>
      <c r="AZ42" s="313"/>
      <c r="BA42" s="313"/>
      <c r="BB42" s="313"/>
      <c r="BC42" s="313"/>
      <c r="BD42" s="313"/>
      <c r="BE42" s="313"/>
      <c r="BF42" s="313"/>
      <c r="BG42" s="313"/>
      <c r="BH42" s="313"/>
      <c r="BI42" s="313"/>
      <c r="BJ42" s="313"/>
      <c r="BK42" s="135"/>
      <c r="BL42" s="135"/>
      <c r="BM42" s="135"/>
      <c r="BN42" s="135"/>
      <c r="BO42" s="135"/>
      <c r="BP42" s="135"/>
      <c r="BQ42" s="135"/>
      <c r="BR42" s="135"/>
      <c r="BS42" s="135"/>
      <c r="BT42" s="135"/>
      <c r="BU42" s="135"/>
      <c r="BV42" s="135"/>
      <c r="BW42" s="135"/>
      <c r="BX42" s="135"/>
      <c r="BY42" s="135"/>
      <c r="BZ42" s="135"/>
      <c r="CA42" s="135"/>
      <c r="CB42" s="135"/>
      <c r="CC42" s="135"/>
      <c r="CD42" s="135"/>
      <c r="CE42" s="135"/>
      <c r="CF42" s="135"/>
      <c r="CG42" s="135"/>
      <c r="CH42" s="135"/>
      <c r="CI42" s="135"/>
      <c r="CJ42" s="135"/>
      <c r="CK42" s="135"/>
      <c r="CL42" s="135"/>
      <c r="CM42" s="135"/>
      <c r="CN42" s="135"/>
      <c r="CO42" s="135"/>
      <c r="CP42" s="135"/>
      <c r="CQ42" s="135"/>
      <c r="CR42" s="135"/>
      <c r="CS42" s="135"/>
      <c r="CT42" s="135"/>
      <c r="CU42" s="135"/>
      <c r="CV42" s="135"/>
      <c r="CW42" s="135"/>
      <c r="CX42" s="135"/>
      <c r="CY42" s="135"/>
      <c r="CZ42" s="135"/>
      <c r="DA42" s="135"/>
      <c r="DB42" s="135"/>
      <c r="DC42" s="135"/>
      <c r="DD42" s="135"/>
      <c r="DE42" s="135"/>
      <c r="DF42" s="135"/>
      <c r="DG42" s="135"/>
      <c r="DH42" s="135"/>
      <c r="DI42" s="135"/>
      <c r="DJ42" s="135"/>
      <c r="DK42" s="135"/>
      <c r="DL42" s="135"/>
      <c r="DM42" s="135"/>
      <c r="DN42" s="135"/>
      <c r="DO42" s="135"/>
      <c r="DP42" s="135"/>
      <c r="DQ42" s="135"/>
      <c r="DR42" s="135"/>
      <c r="DS42" s="135"/>
      <c r="DT42" s="135"/>
      <c r="DU42" s="135"/>
      <c r="DV42" s="135"/>
      <c r="DW42" s="135"/>
      <c r="DX42" s="135"/>
      <c r="DY42" s="135"/>
      <c r="DZ42" s="135"/>
      <c r="EA42" s="135"/>
      <c r="EB42" s="135"/>
      <c r="EC42" s="135"/>
      <c r="ED42" s="135"/>
      <c r="EE42" s="135"/>
      <c r="EF42" s="135"/>
      <c r="EG42" s="135"/>
      <c r="EH42" s="135"/>
      <c r="EI42" s="135"/>
      <c r="EJ42" s="135"/>
      <c r="EK42" s="135"/>
      <c r="EL42" s="135"/>
      <c r="EM42" s="135"/>
      <c r="EN42" s="135"/>
      <c r="EO42" s="135"/>
      <c r="EP42" s="135"/>
      <c r="EQ42" s="135"/>
      <c r="ER42" s="135"/>
      <c r="ES42" s="135"/>
      <c r="ET42" s="135"/>
      <c r="EU42" s="135"/>
      <c r="EV42" s="135"/>
      <c r="EW42" s="135"/>
      <c r="EX42" s="135"/>
      <c r="EY42" s="135"/>
      <c r="EZ42" s="135"/>
      <c r="FA42" s="135"/>
      <c r="FB42" s="135"/>
      <c r="FC42" s="135"/>
      <c r="FD42" s="135"/>
      <c r="FE42" s="135"/>
      <c r="FF42" s="135"/>
      <c r="FG42" s="135"/>
      <c r="FH42" s="135"/>
      <c r="FI42" s="135"/>
      <c r="FJ42" s="135"/>
    </row>
    <row r="43" spans="1:166">
      <c r="A43" s="491"/>
      <c r="B43" s="486"/>
      <c r="C43" s="486"/>
      <c r="D43" s="517"/>
      <c r="E43" s="517"/>
      <c r="F43" s="517"/>
      <c r="G43" s="517"/>
      <c r="H43" s="517"/>
      <c r="I43" s="486"/>
      <c r="J43" s="497"/>
      <c r="K43" s="498"/>
      <c r="L43" s="495"/>
      <c r="M43" s="507"/>
      <c r="N43" s="507"/>
      <c r="O43" s="510"/>
      <c r="P43" s="491"/>
      <c r="Q43" s="496"/>
      <c r="R43" s="486"/>
      <c r="S43" s="486"/>
      <c r="T43" s="486"/>
      <c r="U43" s="486"/>
      <c r="V43" s="490"/>
      <c r="W43" s="490"/>
      <c r="X43" s="490"/>
      <c r="Y43" s="490"/>
      <c r="Z43" s="490"/>
      <c r="AA43" s="518"/>
      <c r="AB43" s="518"/>
      <c r="AC43" s="490"/>
      <c r="AD43" s="490"/>
      <c r="AE43" s="490"/>
      <c r="AF43" s="490"/>
      <c r="AG43" s="490"/>
      <c r="AH43" s="490"/>
      <c r="AI43" s="490"/>
      <c r="AJ43" s="490"/>
      <c r="AK43" s="490"/>
      <c r="AL43" s="490"/>
      <c r="AM43" s="312"/>
      <c r="AN43" s="312"/>
      <c r="AO43" s="312"/>
      <c r="AP43" s="312"/>
      <c r="AQ43" s="312"/>
      <c r="AR43" s="313"/>
      <c r="AS43" s="313"/>
      <c r="AT43" s="313"/>
      <c r="AU43" s="313"/>
      <c r="AV43" s="313"/>
      <c r="AW43" s="313"/>
      <c r="AX43" s="313"/>
      <c r="AY43" s="313"/>
      <c r="AZ43" s="313"/>
      <c r="BA43" s="313"/>
      <c r="BB43" s="313"/>
      <c r="BC43" s="313"/>
      <c r="BD43" s="313"/>
      <c r="BE43" s="313"/>
      <c r="BF43" s="313"/>
      <c r="BG43" s="313"/>
      <c r="BH43" s="313"/>
      <c r="BI43" s="313"/>
      <c r="BJ43" s="313"/>
      <c r="BK43" s="132"/>
      <c r="BL43" s="132"/>
      <c r="BM43" s="132"/>
      <c r="BN43" s="132"/>
      <c r="BO43" s="132"/>
      <c r="BP43" s="132"/>
      <c r="BQ43" s="132"/>
      <c r="BR43" s="132"/>
      <c r="BS43" s="132"/>
      <c r="BT43" s="132"/>
      <c r="BU43" s="132"/>
      <c r="BV43" s="132"/>
      <c r="BW43" s="132"/>
      <c r="BX43" s="132"/>
      <c r="BY43" s="132"/>
      <c r="BZ43" s="132"/>
      <c r="CA43" s="132"/>
      <c r="CB43" s="132"/>
      <c r="CC43" s="132"/>
      <c r="CD43" s="132"/>
      <c r="CE43" s="132"/>
      <c r="CF43" s="132"/>
      <c r="CG43" s="132"/>
      <c r="CH43" s="132"/>
      <c r="CI43" s="132"/>
      <c r="CJ43" s="132"/>
      <c r="CK43" s="132"/>
      <c r="CL43" s="132"/>
      <c r="CM43" s="132"/>
      <c r="CN43" s="132"/>
      <c r="CO43" s="132"/>
      <c r="CP43" s="132"/>
      <c r="CQ43" s="132"/>
      <c r="CR43" s="132"/>
      <c r="CS43" s="132"/>
      <c r="CT43" s="132"/>
      <c r="CU43" s="132"/>
      <c r="CV43" s="132"/>
      <c r="CW43" s="132"/>
      <c r="CX43" s="132"/>
      <c r="CY43" s="132"/>
      <c r="CZ43" s="132"/>
      <c r="DA43" s="132"/>
      <c r="DB43" s="132"/>
      <c r="DC43" s="132"/>
      <c r="DD43" s="132"/>
      <c r="DE43" s="132"/>
      <c r="DF43" s="132"/>
      <c r="DG43" s="132"/>
      <c r="DH43" s="132"/>
      <c r="DI43" s="132"/>
      <c r="DJ43" s="132"/>
      <c r="DK43" s="132"/>
      <c r="DL43" s="132"/>
      <c r="DM43" s="132"/>
      <c r="DN43" s="132"/>
      <c r="DO43" s="132"/>
      <c r="DP43" s="132"/>
      <c r="DQ43" s="132"/>
      <c r="DR43" s="132"/>
      <c r="DS43" s="132"/>
      <c r="DT43" s="132"/>
      <c r="DU43" s="132"/>
      <c r="DV43" s="132"/>
      <c r="DW43" s="132"/>
      <c r="DX43" s="132"/>
      <c r="DY43" s="132"/>
      <c r="DZ43" s="132"/>
      <c r="EA43" s="132"/>
      <c r="EB43" s="132"/>
      <c r="EC43" s="132"/>
      <c r="ED43" s="132"/>
      <c r="EE43" s="132"/>
      <c r="EF43" s="132"/>
      <c r="EG43" s="132"/>
      <c r="EH43" s="132"/>
      <c r="EI43" s="132"/>
      <c r="EJ43" s="132"/>
      <c r="EK43" s="132"/>
      <c r="EL43" s="132"/>
      <c r="EM43" s="132"/>
      <c r="EN43" s="132"/>
      <c r="EO43" s="132"/>
      <c r="EP43" s="132"/>
      <c r="EQ43" s="132"/>
      <c r="ER43" s="132"/>
      <c r="ES43" s="132"/>
      <c r="ET43" s="132"/>
      <c r="EU43" s="132"/>
      <c r="EV43" s="132"/>
      <c r="EW43" s="132"/>
      <c r="EX43" s="132"/>
      <c r="EY43" s="132"/>
      <c r="EZ43" s="132"/>
      <c r="FA43" s="132"/>
      <c r="FB43" s="132"/>
      <c r="FC43" s="132"/>
      <c r="FD43" s="132"/>
      <c r="FE43" s="132"/>
      <c r="FF43" s="132"/>
      <c r="FG43" s="132"/>
      <c r="FH43" s="132"/>
      <c r="FI43" s="132"/>
      <c r="FJ43" s="132"/>
    </row>
    <row r="44" spans="1:166">
      <c r="A44" s="491"/>
      <c r="B44" s="497"/>
      <c r="C44" s="497"/>
      <c r="D44" s="507"/>
      <c r="E44" s="507"/>
      <c r="F44" s="512"/>
      <c r="G44" s="512"/>
      <c r="H44" s="512"/>
      <c r="I44" s="512"/>
      <c r="J44" s="497"/>
      <c r="K44" s="498"/>
      <c r="L44" s="495"/>
      <c r="M44" s="512"/>
      <c r="N44" s="512"/>
      <c r="O44" s="508"/>
      <c r="P44" s="491"/>
      <c r="Q44" s="486"/>
      <c r="R44" s="486"/>
      <c r="S44" s="486"/>
      <c r="T44" s="486"/>
      <c r="U44" s="486"/>
      <c r="V44" s="490"/>
      <c r="W44" s="490"/>
      <c r="X44" s="490"/>
      <c r="Y44" s="490"/>
      <c r="Z44" s="490"/>
      <c r="AA44" s="518"/>
      <c r="AB44" s="518"/>
      <c r="AC44" s="490"/>
      <c r="AD44" s="490"/>
      <c r="AE44" s="490"/>
      <c r="AF44" s="490"/>
      <c r="AG44" s="490"/>
      <c r="AH44" s="490"/>
      <c r="AI44" s="490"/>
      <c r="AJ44" s="490"/>
      <c r="AK44" s="490"/>
      <c r="AL44" s="490"/>
      <c r="AM44" s="312"/>
      <c r="AN44" s="312"/>
      <c r="AO44" s="312"/>
      <c r="AP44" s="312"/>
      <c r="AQ44" s="312"/>
      <c r="AR44" s="313"/>
      <c r="AS44" s="313"/>
      <c r="AT44" s="313"/>
      <c r="AU44" s="313"/>
      <c r="AV44" s="313"/>
      <c r="AW44" s="313"/>
      <c r="AX44" s="313"/>
      <c r="AY44" s="313"/>
      <c r="AZ44" s="313"/>
      <c r="BA44" s="313"/>
      <c r="BB44" s="313"/>
      <c r="BC44" s="313"/>
      <c r="BD44" s="313"/>
      <c r="BE44" s="313"/>
      <c r="BF44" s="313"/>
      <c r="BG44" s="313"/>
      <c r="BH44" s="313"/>
      <c r="BI44" s="313"/>
      <c r="BJ44" s="313"/>
      <c r="BK44" s="134"/>
      <c r="BL44" s="134"/>
      <c r="BM44" s="134"/>
      <c r="BN44" s="134"/>
      <c r="BO44" s="134"/>
      <c r="BP44" s="134"/>
      <c r="BQ44" s="134"/>
      <c r="BR44" s="134"/>
      <c r="BS44" s="134"/>
      <c r="BT44" s="134"/>
      <c r="BU44" s="134"/>
      <c r="BV44" s="134"/>
      <c r="BW44" s="134"/>
      <c r="BX44" s="134"/>
      <c r="BY44" s="134"/>
      <c r="BZ44" s="134"/>
      <c r="CA44" s="134"/>
      <c r="CB44" s="134"/>
      <c r="CC44" s="134"/>
      <c r="CD44" s="134"/>
      <c r="CE44" s="134"/>
      <c r="CF44" s="134"/>
      <c r="CG44" s="134"/>
      <c r="CH44" s="134"/>
      <c r="CI44" s="134"/>
      <c r="CJ44" s="134"/>
      <c r="CK44" s="134"/>
      <c r="CL44" s="134"/>
      <c r="CM44" s="134"/>
      <c r="CN44" s="134"/>
      <c r="CO44" s="134"/>
      <c r="CP44" s="134"/>
      <c r="CQ44" s="134"/>
      <c r="CR44" s="134"/>
      <c r="CS44" s="134"/>
      <c r="CT44" s="134"/>
      <c r="CU44" s="134"/>
      <c r="CV44" s="134"/>
      <c r="CW44" s="134"/>
      <c r="CX44" s="134"/>
      <c r="CY44" s="134"/>
      <c r="CZ44" s="134"/>
      <c r="DA44" s="134"/>
      <c r="DB44" s="134"/>
      <c r="DC44" s="134"/>
      <c r="DD44" s="134"/>
      <c r="DE44" s="134"/>
      <c r="DF44" s="134"/>
      <c r="DG44" s="134"/>
      <c r="DH44" s="134"/>
      <c r="DI44" s="134"/>
      <c r="DJ44" s="134"/>
      <c r="DK44" s="134"/>
      <c r="DL44" s="134"/>
      <c r="DM44" s="134"/>
      <c r="DN44" s="134"/>
      <c r="DO44" s="134"/>
      <c r="DP44" s="134"/>
      <c r="DQ44" s="134"/>
      <c r="DR44" s="134"/>
      <c r="DS44" s="134"/>
      <c r="DT44" s="134"/>
      <c r="DU44" s="134"/>
      <c r="DV44" s="134"/>
      <c r="DW44" s="134"/>
      <c r="DX44" s="134"/>
      <c r="DY44" s="134"/>
      <c r="DZ44" s="134"/>
      <c r="EA44" s="134"/>
      <c r="EB44" s="134"/>
      <c r="EC44" s="134"/>
      <c r="ED44" s="134"/>
      <c r="EE44" s="134"/>
      <c r="EF44" s="134"/>
      <c r="EG44" s="134"/>
      <c r="EH44" s="134"/>
      <c r="EI44" s="134"/>
      <c r="EJ44" s="134"/>
      <c r="EK44" s="134"/>
      <c r="EL44" s="134"/>
      <c r="EM44" s="134"/>
      <c r="EN44" s="134"/>
      <c r="EO44" s="134"/>
      <c r="EP44" s="134"/>
      <c r="EQ44" s="134"/>
      <c r="ER44" s="134"/>
      <c r="ES44" s="134"/>
      <c r="ET44" s="134"/>
      <c r="EU44" s="134"/>
      <c r="EV44" s="134"/>
      <c r="EW44" s="134"/>
      <c r="EX44" s="134"/>
      <c r="EY44" s="134"/>
      <c r="EZ44" s="134"/>
      <c r="FA44" s="134"/>
      <c r="FB44" s="134"/>
      <c r="FC44" s="134"/>
      <c r="FD44" s="134"/>
      <c r="FE44" s="134"/>
      <c r="FF44" s="134"/>
      <c r="FG44" s="134"/>
      <c r="FH44" s="134"/>
      <c r="FI44" s="134"/>
      <c r="FJ44" s="134"/>
    </row>
    <row r="45" spans="1:166">
      <c r="A45" s="491"/>
      <c r="B45" s="497"/>
      <c r="C45" s="497"/>
      <c r="D45" s="507"/>
      <c r="E45" s="507"/>
      <c r="F45" s="512"/>
      <c r="G45" s="512"/>
      <c r="H45" s="512"/>
      <c r="I45" s="512"/>
      <c r="J45" s="497"/>
      <c r="K45" s="498"/>
      <c r="L45" s="495"/>
      <c r="M45" s="512"/>
      <c r="N45" s="512"/>
      <c r="O45" s="508"/>
      <c r="P45" s="491"/>
      <c r="Q45" s="486"/>
      <c r="R45" s="486"/>
      <c r="S45" s="486"/>
      <c r="T45" s="486"/>
      <c r="U45" s="486"/>
      <c r="V45" s="490"/>
      <c r="W45" s="490"/>
      <c r="X45" s="490"/>
      <c r="Y45" s="490"/>
      <c r="Z45" s="490"/>
      <c r="AA45" s="518"/>
      <c r="AB45" s="518"/>
      <c r="AC45" s="490"/>
      <c r="AD45" s="490"/>
      <c r="AE45" s="490"/>
      <c r="AF45" s="490"/>
      <c r="AG45" s="490"/>
      <c r="AH45" s="490"/>
      <c r="AI45" s="490"/>
      <c r="AJ45" s="490"/>
      <c r="AK45" s="490"/>
      <c r="AL45" s="490"/>
      <c r="AM45" s="312"/>
      <c r="AN45" s="312"/>
      <c r="AO45" s="312"/>
      <c r="AP45" s="312"/>
      <c r="AQ45" s="312"/>
      <c r="AR45" s="313"/>
      <c r="AS45" s="313"/>
      <c r="AT45" s="313"/>
      <c r="AU45" s="313"/>
      <c r="AV45" s="313"/>
      <c r="AW45" s="313"/>
      <c r="AX45" s="313"/>
      <c r="AY45" s="313"/>
      <c r="AZ45" s="313"/>
      <c r="BA45" s="313"/>
      <c r="BB45" s="313"/>
      <c r="BC45" s="313"/>
      <c r="BD45" s="313"/>
      <c r="BE45" s="313"/>
      <c r="BF45" s="313"/>
      <c r="BG45" s="313"/>
      <c r="BH45" s="313"/>
      <c r="BI45" s="313"/>
      <c r="BJ45" s="313"/>
      <c r="BK45" s="134"/>
      <c r="BL45" s="134"/>
      <c r="BM45" s="134"/>
      <c r="BN45" s="134"/>
      <c r="BO45" s="134"/>
      <c r="BP45" s="134"/>
      <c r="BQ45" s="134"/>
      <c r="BR45" s="134"/>
      <c r="BS45" s="134"/>
      <c r="BT45" s="134"/>
      <c r="BU45" s="134"/>
      <c r="BV45" s="134"/>
      <c r="BW45" s="134"/>
      <c r="BX45" s="134"/>
      <c r="BY45" s="134"/>
      <c r="BZ45" s="134"/>
      <c r="CA45" s="134"/>
      <c r="CB45" s="134"/>
      <c r="CC45" s="134"/>
      <c r="CD45" s="134"/>
      <c r="CE45" s="134"/>
      <c r="CF45" s="134"/>
      <c r="CG45" s="134"/>
      <c r="CH45" s="134"/>
      <c r="CI45" s="134"/>
      <c r="CJ45" s="134"/>
      <c r="CK45" s="134"/>
      <c r="CL45" s="134"/>
      <c r="CM45" s="134"/>
      <c r="CN45" s="134"/>
      <c r="CO45" s="134"/>
      <c r="CP45" s="134"/>
      <c r="CQ45" s="134"/>
      <c r="CR45" s="134"/>
      <c r="CS45" s="134"/>
      <c r="CT45" s="134"/>
      <c r="CU45" s="134"/>
      <c r="CV45" s="134"/>
      <c r="CW45" s="134"/>
      <c r="CX45" s="134"/>
      <c r="CY45" s="134"/>
      <c r="CZ45" s="134"/>
      <c r="DA45" s="134"/>
      <c r="DB45" s="134"/>
      <c r="DC45" s="134"/>
      <c r="DD45" s="134"/>
      <c r="DE45" s="134"/>
      <c r="DF45" s="134"/>
      <c r="DG45" s="134"/>
      <c r="DH45" s="134"/>
      <c r="DI45" s="134"/>
      <c r="DJ45" s="134"/>
      <c r="DK45" s="134"/>
      <c r="DL45" s="134"/>
      <c r="DM45" s="134"/>
      <c r="DN45" s="134"/>
      <c r="DO45" s="134"/>
      <c r="DP45" s="134"/>
      <c r="DQ45" s="134"/>
      <c r="DR45" s="134"/>
      <c r="DS45" s="134"/>
      <c r="DT45" s="134"/>
      <c r="DU45" s="134"/>
      <c r="DV45" s="134"/>
      <c r="DW45" s="134"/>
      <c r="DX45" s="134"/>
      <c r="DY45" s="134"/>
      <c r="DZ45" s="134"/>
      <c r="EA45" s="134"/>
      <c r="EB45" s="134"/>
      <c r="EC45" s="134"/>
      <c r="ED45" s="134"/>
      <c r="EE45" s="134"/>
      <c r="EF45" s="134"/>
      <c r="EG45" s="134"/>
      <c r="EH45" s="134"/>
      <c r="EI45" s="134"/>
      <c r="EJ45" s="134"/>
      <c r="EK45" s="134"/>
      <c r="EL45" s="134"/>
      <c r="EM45" s="134"/>
      <c r="EN45" s="134"/>
      <c r="EO45" s="134"/>
      <c r="EP45" s="134"/>
      <c r="EQ45" s="134"/>
      <c r="ER45" s="134"/>
      <c r="ES45" s="134"/>
      <c r="ET45" s="134"/>
      <c r="EU45" s="134"/>
      <c r="EV45" s="134"/>
      <c r="EW45" s="134"/>
      <c r="EX45" s="134"/>
      <c r="EY45" s="134"/>
      <c r="EZ45" s="134"/>
      <c r="FA45" s="134"/>
      <c r="FB45" s="134"/>
      <c r="FC45" s="134"/>
      <c r="FD45" s="134"/>
      <c r="FE45" s="134"/>
      <c r="FF45" s="134"/>
      <c r="FG45" s="134"/>
      <c r="FH45" s="134"/>
      <c r="FI45" s="134"/>
      <c r="FJ45" s="134"/>
    </row>
    <row r="46" spans="1:166">
      <c r="A46" s="491"/>
      <c r="B46" s="497"/>
      <c r="C46" s="497"/>
      <c r="D46" s="507"/>
      <c r="E46" s="507"/>
      <c r="F46" s="512"/>
      <c r="G46" s="512"/>
      <c r="H46" s="512"/>
      <c r="I46" s="512"/>
      <c r="J46" s="497"/>
      <c r="K46" s="498"/>
      <c r="L46" s="495"/>
      <c r="M46" s="512"/>
      <c r="N46" s="512"/>
      <c r="O46" s="508"/>
      <c r="P46" s="491"/>
      <c r="Q46" s="486"/>
      <c r="R46" s="486"/>
      <c r="S46" s="486"/>
      <c r="T46" s="486"/>
      <c r="U46" s="486"/>
      <c r="V46" s="490"/>
      <c r="W46" s="490"/>
      <c r="X46" s="490"/>
      <c r="Y46" s="490"/>
      <c r="Z46" s="490"/>
      <c r="AA46" s="518"/>
      <c r="AB46" s="518"/>
      <c r="AC46" s="490"/>
      <c r="AD46" s="490"/>
      <c r="AE46" s="490"/>
      <c r="AF46" s="490"/>
      <c r="AG46" s="490"/>
      <c r="AH46" s="490"/>
      <c r="AI46" s="490"/>
      <c r="AJ46" s="490"/>
      <c r="AK46" s="490"/>
      <c r="AL46" s="490"/>
      <c r="AM46" s="312"/>
      <c r="AN46" s="312"/>
      <c r="AO46" s="312"/>
      <c r="AP46" s="312"/>
      <c r="AQ46" s="312"/>
      <c r="AR46" s="313"/>
      <c r="AS46" s="313"/>
      <c r="AT46" s="313"/>
      <c r="AU46" s="313"/>
      <c r="AV46" s="313"/>
      <c r="AW46" s="313"/>
      <c r="AX46" s="313"/>
      <c r="AY46" s="313"/>
      <c r="AZ46" s="313"/>
      <c r="BA46" s="313"/>
      <c r="BB46" s="313"/>
      <c r="BC46" s="313"/>
      <c r="BD46" s="313"/>
      <c r="BE46" s="313"/>
      <c r="BF46" s="313"/>
      <c r="BG46" s="313"/>
      <c r="BH46" s="313"/>
      <c r="BI46" s="313"/>
      <c r="BJ46" s="313"/>
      <c r="BK46" s="134"/>
      <c r="BL46" s="134"/>
      <c r="BM46" s="134"/>
      <c r="BN46" s="134"/>
      <c r="BO46" s="134"/>
      <c r="BP46" s="134"/>
      <c r="BQ46" s="134"/>
      <c r="BR46" s="134"/>
      <c r="BS46" s="134"/>
      <c r="BT46" s="134"/>
      <c r="BU46" s="134"/>
      <c r="BV46" s="134"/>
      <c r="BW46" s="134"/>
      <c r="BX46" s="134"/>
      <c r="BY46" s="134"/>
      <c r="BZ46" s="134"/>
      <c r="CA46" s="134"/>
      <c r="CB46" s="134"/>
      <c r="CC46" s="134"/>
      <c r="CD46" s="134"/>
      <c r="CE46" s="134"/>
      <c r="CF46" s="134"/>
      <c r="CG46" s="134"/>
      <c r="CH46" s="134"/>
      <c r="CI46" s="134"/>
      <c r="CJ46" s="134"/>
      <c r="CK46" s="134"/>
      <c r="CL46" s="134"/>
      <c r="CM46" s="134"/>
      <c r="CN46" s="134"/>
      <c r="CO46" s="134"/>
      <c r="CP46" s="134"/>
      <c r="CQ46" s="134"/>
      <c r="CR46" s="134"/>
      <c r="CS46" s="134"/>
      <c r="CT46" s="134"/>
      <c r="CU46" s="134"/>
      <c r="CV46" s="134"/>
      <c r="CW46" s="134"/>
      <c r="CX46" s="134"/>
      <c r="CY46" s="134"/>
      <c r="CZ46" s="134"/>
      <c r="DA46" s="134"/>
      <c r="DB46" s="134"/>
      <c r="DC46" s="134"/>
      <c r="DD46" s="134"/>
      <c r="DE46" s="134"/>
      <c r="DF46" s="134"/>
      <c r="DG46" s="134"/>
      <c r="DH46" s="134"/>
      <c r="DI46" s="134"/>
      <c r="DJ46" s="134"/>
      <c r="DK46" s="134"/>
      <c r="DL46" s="134"/>
      <c r="DM46" s="134"/>
      <c r="DN46" s="134"/>
      <c r="DO46" s="134"/>
      <c r="DP46" s="134"/>
      <c r="DQ46" s="134"/>
      <c r="DR46" s="134"/>
      <c r="DS46" s="134"/>
      <c r="DT46" s="134"/>
      <c r="DU46" s="134"/>
      <c r="DV46" s="134"/>
      <c r="DW46" s="134"/>
      <c r="DX46" s="134"/>
      <c r="DY46" s="134"/>
      <c r="DZ46" s="134"/>
      <c r="EA46" s="134"/>
      <c r="EB46" s="134"/>
      <c r="EC46" s="134"/>
      <c r="ED46" s="134"/>
      <c r="EE46" s="134"/>
      <c r="EF46" s="134"/>
      <c r="EG46" s="134"/>
      <c r="EH46" s="134"/>
      <c r="EI46" s="134"/>
      <c r="EJ46" s="134"/>
      <c r="EK46" s="134"/>
      <c r="EL46" s="134"/>
      <c r="EM46" s="134"/>
      <c r="EN46" s="134"/>
      <c r="EO46" s="134"/>
      <c r="EP46" s="134"/>
      <c r="EQ46" s="134"/>
      <c r="ER46" s="134"/>
      <c r="ES46" s="134"/>
      <c r="ET46" s="134"/>
      <c r="EU46" s="134"/>
      <c r="EV46" s="134"/>
      <c r="EW46" s="134"/>
      <c r="EX46" s="134"/>
      <c r="EY46" s="134"/>
      <c r="EZ46" s="134"/>
      <c r="FA46" s="134"/>
      <c r="FB46" s="134"/>
      <c r="FC46" s="134"/>
      <c r="FD46" s="134"/>
      <c r="FE46" s="134"/>
      <c r="FF46" s="134"/>
      <c r="FG46" s="134"/>
      <c r="FH46" s="134"/>
      <c r="FI46" s="134"/>
      <c r="FJ46" s="134"/>
    </row>
    <row r="47" spans="1:166">
      <c r="A47" s="491"/>
      <c r="B47" s="497"/>
      <c r="C47" s="497"/>
      <c r="D47" s="507"/>
      <c r="E47" s="507"/>
      <c r="F47" s="512"/>
      <c r="G47" s="512"/>
      <c r="H47" s="512"/>
      <c r="I47" s="512"/>
      <c r="J47" s="497"/>
      <c r="K47" s="498"/>
      <c r="L47" s="495"/>
      <c r="M47" s="512"/>
      <c r="N47" s="512"/>
      <c r="O47" s="508"/>
      <c r="P47" s="491"/>
      <c r="Q47" s="486"/>
      <c r="R47" s="486"/>
      <c r="S47" s="486"/>
      <c r="T47" s="486"/>
      <c r="U47" s="486"/>
      <c r="V47" s="490"/>
      <c r="W47" s="490"/>
      <c r="X47" s="490"/>
      <c r="Y47" s="490"/>
      <c r="Z47" s="490"/>
      <c r="AA47" s="518"/>
      <c r="AB47" s="518"/>
      <c r="AC47" s="490"/>
      <c r="AD47" s="490"/>
      <c r="AE47" s="490"/>
      <c r="AF47" s="490"/>
      <c r="AG47" s="490"/>
      <c r="AH47" s="490"/>
      <c r="AI47" s="490"/>
      <c r="AJ47" s="490"/>
      <c r="AK47" s="490"/>
      <c r="AL47" s="490"/>
      <c r="AM47" s="312"/>
      <c r="AN47" s="312"/>
      <c r="AO47" s="312"/>
      <c r="AP47" s="312"/>
      <c r="AQ47" s="312"/>
      <c r="AR47" s="313"/>
      <c r="AS47" s="313"/>
      <c r="AT47" s="313"/>
      <c r="AU47" s="313"/>
      <c r="AV47" s="313"/>
      <c r="AW47" s="313"/>
      <c r="AX47" s="313"/>
      <c r="AY47" s="313"/>
      <c r="AZ47" s="313"/>
      <c r="BA47" s="313"/>
      <c r="BB47" s="313"/>
      <c r="BC47" s="313"/>
      <c r="BD47" s="313"/>
      <c r="BE47" s="313"/>
      <c r="BF47" s="313"/>
      <c r="BG47" s="313"/>
      <c r="BH47" s="313"/>
      <c r="BI47" s="313"/>
      <c r="BJ47" s="313"/>
      <c r="BK47" s="134"/>
      <c r="BL47" s="134"/>
      <c r="BM47" s="134"/>
      <c r="BN47" s="134"/>
      <c r="BO47" s="134"/>
      <c r="BP47" s="134"/>
      <c r="BQ47" s="134"/>
      <c r="BR47" s="134"/>
      <c r="BS47" s="134"/>
      <c r="BT47" s="134"/>
      <c r="BU47" s="134"/>
      <c r="BV47" s="134"/>
      <c r="BW47" s="134"/>
      <c r="BX47" s="134"/>
      <c r="BY47" s="134"/>
      <c r="BZ47" s="134"/>
      <c r="CA47" s="134"/>
      <c r="CB47" s="134"/>
      <c r="CC47" s="134"/>
      <c r="CD47" s="134"/>
      <c r="CE47" s="134"/>
      <c r="CF47" s="134"/>
      <c r="CG47" s="134"/>
      <c r="CH47" s="134"/>
      <c r="CI47" s="134"/>
      <c r="CJ47" s="134"/>
      <c r="CK47" s="134"/>
      <c r="CL47" s="134"/>
      <c r="CM47" s="134"/>
      <c r="CN47" s="134"/>
      <c r="CO47" s="134"/>
      <c r="CP47" s="134"/>
      <c r="CQ47" s="134"/>
      <c r="CR47" s="134"/>
      <c r="CS47" s="134"/>
      <c r="CT47" s="134"/>
      <c r="CU47" s="134"/>
      <c r="CV47" s="134"/>
      <c r="CW47" s="134"/>
      <c r="CX47" s="134"/>
      <c r="CY47" s="134"/>
      <c r="CZ47" s="134"/>
      <c r="DA47" s="134"/>
      <c r="DB47" s="134"/>
      <c r="DC47" s="134"/>
      <c r="DD47" s="134"/>
      <c r="DE47" s="134"/>
      <c r="DF47" s="134"/>
      <c r="DG47" s="134"/>
      <c r="DH47" s="134"/>
      <c r="DI47" s="134"/>
      <c r="DJ47" s="134"/>
      <c r="DK47" s="134"/>
      <c r="DL47" s="134"/>
      <c r="DM47" s="134"/>
      <c r="DN47" s="134"/>
      <c r="DO47" s="134"/>
      <c r="DP47" s="134"/>
      <c r="DQ47" s="134"/>
      <c r="DR47" s="134"/>
      <c r="DS47" s="134"/>
      <c r="DT47" s="134"/>
      <c r="DU47" s="134"/>
      <c r="DV47" s="134"/>
      <c r="DW47" s="134"/>
      <c r="DX47" s="134"/>
      <c r="DY47" s="134"/>
      <c r="DZ47" s="134"/>
      <c r="EA47" s="134"/>
      <c r="EB47" s="134"/>
      <c r="EC47" s="134"/>
      <c r="ED47" s="134"/>
      <c r="EE47" s="134"/>
      <c r="EF47" s="134"/>
      <c r="EG47" s="134"/>
      <c r="EH47" s="134"/>
      <c r="EI47" s="134"/>
      <c r="EJ47" s="134"/>
      <c r="EK47" s="134"/>
      <c r="EL47" s="134"/>
      <c r="EM47" s="134"/>
      <c r="EN47" s="134"/>
      <c r="EO47" s="134"/>
      <c r="EP47" s="134"/>
      <c r="EQ47" s="134"/>
      <c r="ER47" s="134"/>
      <c r="ES47" s="134"/>
      <c r="ET47" s="134"/>
      <c r="EU47" s="134"/>
      <c r="EV47" s="134"/>
      <c r="EW47" s="134"/>
      <c r="EX47" s="134"/>
      <c r="EY47" s="134"/>
      <c r="EZ47" s="134"/>
      <c r="FA47" s="134"/>
      <c r="FB47" s="134"/>
      <c r="FC47" s="134"/>
      <c r="FD47" s="134"/>
      <c r="FE47" s="134"/>
      <c r="FF47" s="134"/>
      <c r="FG47" s="134"/>
      <c r="FH47" s="134"/>
      <c r="FI47" s="134"/>
      <c r="FJ47" s="134"/>
    </row>
    <row r="48" spans="1:166">
      <c r="A48" s="491"/>
      <c r="B48" s="497"/>
      <c r="C48" s="497"/>
      <c r="D48" s="507"/>
      <c r="E48" s="507"/>
      <c r="F48" s="512"/>
      <c r="G48" s="512"/>
      <c r="H48" s="512"/>
      <c r="I48" s="512"/>
      <c r="J48" s="497"/>
      <c r="K48" s="498"/>
      <c r="L48" s="495"/>
      <c r="M48" s="512"/>
      <c r="N48" s="512"/>
      <c r="O48" s="508"/>
      <c r="P48" s="491"/>
      <c r="Q48" s="486"/>
      <c r="R48" s="486"/>
      <c r="S48" s="486"/>
      <c r="T48" s="486"/>
      <c r="U48" s="486"/>
      <c r="V48" s="490"/>
      <c r="W48" s="490"/>
      <c r="X48" s="490"/>
      <c r="Y48" s="490"/>
      <c r="Z48" s="490"/>
      <c r="AA48" s="518"/>
      <c r="AB48" s="518"/>
      <c r="AC48" s="490"/>
      <c r="AD48" s="490"/>
      <c r="AE48" s="490"/>
      <c r="AF48" s="490"/>
      <c r="AG48" s="490"/>
      <c r="AH48" s="490"/>
      <c r="AI48" s="490"/>
      <c r="AJ48" s="490"/>
      <c r="AK48" s="490"/>
      <c r="AL48" s="490"/>
      <c r="AM48" s="312"/>
      <c r="AN48" s="312"/>
      <c r="AO48" s="312"/>
      <c r="AP48" s="312"/>
      <c r="AQ48" s="312"/>
      <c r="AR48" s="313"/>
      <c r="AS48" s="313"/>
      <c r="AT48" s="313"/>
      <c r="AU48" s="313"/>
      <c r="AV48" s="313"/>
      <c r="AW48" s="313"/>
      <c r="AX48" s="313"/>
      <c r="AY48" s="313"/>
      <c r="AZ48" s="313"/>
      <c r="BA48" s="313"/>
      <c r="BB48" s="313"/>
      <c r="BC48" s="313"/>
      <c r="BD48" s="313"/>
      <c r="BE48" s="313"/>
      <c r="BF48" s="313"/>
      <c r="BG48" s="313"/>
      <c r="BH48" s="313"/>
      <c r="BI48" s="313"/>
      <c r="BJ48" s="313"/>
      <c r="BK48" s="134"/>
      <c r="BL48" s="134"/>
      <c r="BM48" s="134"/>
      <c r="BN48" s="134"/>
      <c r="BO48" s="134"/>
      <c r="BP48" s="134"/>
      <c r="BQ48" s="134"/>
      <c r="BR48" s="134"/>
      <c r="BS48" s="134"/>
      <c r="BT48" s="134"/>
      <c r="BU48" s="134"/>
      <c r="BV48" s="134"/>
      <c r="BW48" s="134"/>
      <c r="BX48" s="134"/>
      <c r="BY48" s="134"/>
      <c r="BZ48" s="134"/>
      <c r="CA48" s="134"/>
      <c r="CB48" s="134"/>
      <c r="CC48" s="134"/>
      <c r="CD48" s="134"/>
      <c r="CE48" s="134"/>
      <c r="CF48" s="134"/>
      <c r="CG48" s="134"/>
      <c r="CH48" s="134"/>
      <c r="CI48" s="134"/>
      <c r="CJ48" s="134"/>
      <c r="CK48" s="134"/>
      <c r="CL48" s="134"/>
      <c r="CM48" s="134"/>
      <c r="CN48" s="134"/>
      <c r="CO48" s="134"/>
      <c r="CP48" s="134"/>
      <c r="CQ48" s="134"/>
      <c r="CR48" s="134"/>
      <c r="CS48" s="134"/>
      <c r="CT48" s="134"/>
      <c r="CU48" s="134"/>
      <c r="CV48" s="134"/>
      <c r="CW48" s="134"/>
      <c r="CX48" s="134"/>
      <c r="CY48" s="134"/>
      <c r="CZ48" s="134"/>
      <c r="DA48" s="134"/>
      <c r="DB48" s="134"/>
      <c r="DC48" s="134"/>
      <c r="DD48" s="134"/>
      <c r="DE48" s="134"/>
      <c r="DF48" s="134"/>
      <c r="DG48" s="134"/>
      <c r="DH48" s="134"/>
      <c r="DI48" s="134"/>
      <c r="DJ48" s="134"/>
      <c r="DK48" s="134"/>
      <c r="DL48" s="134"/>
      <c r="DM48" s="134"/>
      <c r="DN48" s="134"/>
      <c r="DO48" s="134"/>
      <c r="DP48" s="134"/>
      <c r="DQ48" s="134"/>
      <c r="DR48" s="134"/>
      <c r="DS48" s="134"/>
      <c r="DT48" s="134"/>
      <c r="DU48" s="134"/>
      <c r="DV48" s="134"/>
      <c r="DW48" s="134"/>
      <c r="DX48" s="134"/>
      <c r="DY48" s="134"/>
      <c r="DZ48" s="134"/>
      <c r="EA48" s="134"/>
      <c r="EB48" s="134"/>
      <c r="EC48" s="134"/>
      <c r="ED48" s="134"/>
      <c r="EE48" s="134"/>
      <c r="EF48" s="134"/>
      <c r="EG48" s="134"/>
      <c r="EH48" s="134"/>
      <c r="EI48" s="134"/>
      <c r="EJ48" s="134"/>
      <c r="EK48" s="134"/>
      <c r="EL48" s="134"/>
      <c r="EM48" s="134"/>
      <c r="EN48" s="134"/>
      <c r="EO48" s="134"/>
      <c r="EP48" s="134"/>
      <c r="EQ48" s="134"/>
      <c r="ER48" s="134"/>
      <c r="ES48" s="134"/>
      <c r="ET48" s="134"/>
      <c r="EU48" s="134"/>
      <c r="EV48" s="134"/>
      <c r="EW48" s="134"/>
      <c r="EX48" s="134"/>
      <c r="EY48" s="134"/>
      <c r="EZ48" s="134"/>
      <c r="FA48" s="134"/>
      <c r="FB48" s="134"/>
      <c r="FC48" s="134"/>
      <c r="FD48" s="134"/>
      <c r="FE48" s="134"/>
      <c r="FF48" s="134"/>
      <c r="FG48" s="134"/>
      <c r="FH48" s="134"/>
      <c r="FI48" s="134"/>
      <c r="FJ48" s="134"/>
    </row>
    <row r="49" spans="1:166">
      <c r="A49" s="491"/>
      <c r="B49" s="497"/>
      <c r="C49" s="497"/>
      <c r="D49" s="507"/>
      <c r="E49" s="507"/>
      <c r="F49" s="512"/>
      <c r="G49" s="512"/>
      <c r="H49" s="512"/>
      <c r="I49" s="512"/>
      <c r="J49" s="497"/>
      <c r="K49" s="498"/>
      <c r="L49" s="495"/>
      <c r="M49" s="512"/>
      <c r="N49" s="512"/>
      <c r="O49" s="508"/>
      <c r="P49" s="491"/>
      <c r="Q49" s="486"/>
      <c r="R49" s="486"/>
      <c r="S49" s="486"/>
      <c r="T49" s="486"/>
      <c r="U49" s="486"/>
      <c r="V49" s="490"/>
      <c r="W49" s="490"/>
      <c r="X49" s="490"/>
      <c r="Y49" s="490"/>
      <c r="Z49" s="490"/>
      <c r="AA49" s="518"/>
      <c r="AB49" s="518"/>
      <c r="AC49" s="490"/>
      <c r="AD49" s="490"/>
      <c r="AE49" s="490"/>
      <c r="AF49" s="490"/>
      <c r="AG49" s="490"/>
      <c r="AH49" s="490"/>
      <c r="AI49" s="490"/>
      <c r="AJ49" s="490"/>
      <c r="AK49" s="490"/>
      <c r="AL49" s="490"/>
      <c r="AM49" s="312"/>
      <c r="AN49" s="312"/>
      <c r="AO49" s="312"/>
      <c r="AP49" s="312"/>
      <c r="AQ49" s="312"/>
      <c r="AR49" s="313"/>
      <c r="AS49" s="313"/>
      <c r="AT49" s="313"/>
      <c r="AU49" s="313"/>
      <c r="AV49" s="313"/>
      <c r="AW49" s="313"/>
      <c r="AX49" s="313"/>
      <c r="AY49" s="313"/>
      <c r="AZ49" s="313"/>
      <c r="BA49" s="313"/>
      <c r="BB49" s="313"/>
      <c r="BC49" s="313"/>
      <c r="BD49" s="313"/>
      <c r="BE49" s="313"/>
      <c r="BF49" s="313"/>
      <c r="BG49" s="313"/>
      <c r="BH49" s="313"/>
      <c r="BI49" s="313"/>
      <c r="BJ49" s="313"/>
      <c r="BK49" s="134"/>
      <c r="BL49" s="134"/>
      <c r="BM49" s="134"/>
      <c r="BN49" s="134"/>
      <c r="BO49" s="134"/>
      <c r="BP49" s="134"/>
      <c r="BQ49" s="134"/>
      <c r="BR49" s="134"/>
      <c r="BS49" s="134"/>
      <c r="BT49" s="134"/>
      <c r="BU49" s="134"/>
      <c r="BV49" s="134"/>
      <c r="BW49" s="134"/>
      <c r="BX49" s="134"/>
      <c r="BY49" s="134"/>
      <c r="BZ49" s="134"/>
      <c r="CA49" s="134"/>
      <c r="CB49" s="134"/>
      <c r="CC49" s="134"/>
      <c r="CD49" s="134"/>
      <c r="CE49" s="134"/>
      <c r="CF49" s="134"/>
      <c r="CG49" s="134"/>
      <c r="CH49" s="134"/>
      <c r="CI49" s="134"/>
      <c r="CJ49" s="134"/>
      <c r="CK49" s="134"/>
      <c r="CL49" s="134"/>
      <c r="CM49" s="134"/>
      <c r="CN49" s="134"/>
      <c r="CO49" s="134"/>
      <c r="CP49" s="134"/>
      <c r="CQ49" s="134"/>
      <c r="CR49" s="134"/>
      <c r="CS49" s="134"/>
      <c r="CT49" s="134"/>
      <c r="CU49" s="134"/>
      <c r="CV49" s="134"/>
      <c r="CW49" s="134"/>
      <c r="CX49" s="134"/>
      <c r="CY49" s="134"/>
      <c r="CZ49" s="134"/>
      <c r="DA49" s="134"/>
      <c r="DB49" s="134"/>
      <c r="DC49" s="134"/>
      <c r="DD49" s="134"/>
      <c r="DE49" s="134"/>
      <c r="DF49" s="134"/>
      <c r="DG49" s="134"/>
      <c r="DH49" s="134"/>
      <c r="DI49" s="134"/>
      <c r="DJ49" s="134"/>
      <c r="DK49" s="134"/>
      <c r="DL49" s="134"/>
      <c r="DM49" s="134"/>
      <c r="DN49" s="134"/>
      <c r="DO49" s="134"/>
      <c r="DP49" s="134"/>
      <c r="DQ49" s="134"/>
      <c r="DR49" s="134"/>
      <c r="DS49" s="134"/>
      <c r="DT49" s="134"/>
      <c r="DU49" s="134"/>
      <c r="DV49" s="134"/>
      <c r="DW49" s="134"/>
      <c r="DX49" s="134"/>
      <c r="DY49" s="134"/>
      <c r="DZ49" s="134"/>
      <c r="EA49" s="134"/>
      <c r="EB49" s="134"/>
      <c r="EC49" s="134"/>
      <c r="ED49" s="134"/>
      <c r="EE49" s="134"/>
      <c r="EF49" s="134"/>
      <c r="EG49" s="134"/>
      <c r="EH49" s="134"/>
      <c r="EI49" s="134"/>
      <c r="EJ49" s="134"/>
      <c r="EK49" s="134"/>
      <c r="EL49" s="134"/>
      <c r="EM49" s="134"/>
      <c r="EN49" s="134"/>
      <c r="EO49" s="134"/>
      <c r="EP49" s="134"/>
      <c r="EQ49" s="134"/>
      <c r="ER49" s="134"/>
      <c r="ES49" s="134"/>
      <c r="ET49" s="134"/>
      <c r="EU49" s="134"/>
      <c r="EV49" s="134"/>
      <c r="EW49" s="134"/>
      <c r="EX49" s="134"/>
      <c r="EY49" s="134"/>
      <c r="EZ49" s="134"/>
      <c r="FA49" s="134"/>
      <c r="FB49" s="134"/>
      <c r="FC49" s="134"/>
      <c r="FD49" s="134"/>
      <c r="FE49" s="134"/>
      <c r="FF49" s="134"/>
      <c r="FG49" s="134"/>
      <c r="FH49" s="134"/>
      <c r="FI49" s="134"/>
      <c r="FJ49" s="134"/>
    </row>
    <row r="50" spans="1:166">
      <c r="A50" s="491"/>
      <c r="B50" s="497"/>
      <c r="C50" s="497"/>
      <c r="D50" s="507"/>
      <c r="E50" s="507"/>
      <c r="F50" s="512"/>
      <c r="G50" s="512"/>
      <c r="H50" s="512"/>
      <c r="I50" s="512"/>
      <c r="J50" s="497"/>
      <c r="K50" s="498"/>
      <c r="L50" s="495"/>
      <c r="M50" s="512"/>
      <c r="N50" s="512"/>
      <c r="O50" s="508"/>
      <c r="P50" s="491"/>
      <c r="Q50" s="486"/>
      <c r="R50" s="486"/>
      <c r="S50" s="486"/>
      <c r="T50" s="486"/>
      <c r="U50" s="486"/>
      <c r="V50" s="490"/>
      <c r="W50" s="490"/>
      <c r="X50" s="490"/>
      <c r="Y50" s="490"/>
      <c r="Z50" s="490"/>
      <c r="AA50" s="518"/>
      <c r="AB50" s="518"/>
      <c r="AC50" s="490"/>
      <c r="AD50" s="490"/>
      <c r="AE50" s="490"/>
      <c r="AF50" s="490"/>
      <c r="AG50" s="490"/>
      <c r="AH50" s="490"/>
      <c r="AI50" s="490"/>
      <c r="AJ50" s="490"/>
      <c r="AK50" s="490"/>
      <c r="AL50" s="490"/>
      <c r="AM50" s="312"/>
      <c r="AN50" s="312"/>
      <c r="AO50" s="312"/>
      <c r="AP50" s="312"/>
      <c r="AQ50" s="312"/>
      <c r="AR50" s="313"/>
      <c r="AS50" s="313"/>
      <c r="AT50" s="313"/>
      <c r="AU50" s="313"/>
      <c r="AV50" s="313"/>
      <c r="AW50" s="313"/>
      <c r="AX50" s="313"/>
      <c r="AY50" s="313"/>
      <c r="AZ50" s="313"/>
      <c r="BA50" s="313"/>
      <c r="BB50" s="313"/>
      <c r="BC50" s="313"/>
      <c r="BD50" s="313"/>
      <c r="BE50" s="313"/>
      <c r="BF50" s="313"/>
      <c r="BG50" s="313"/>
      <c r="BH50" s="313"/>
      <c r="BI50" s="313"/>
      <c r="BJ50" s="313"/>
      <c r="BK50" s="134"/>
      <c r="BL50" s="134"/>
      <c r="BM50" s="134"/>
      <c r="BN50" s="134"/>
      <c r="BO50" s="134"/>
      <c r="BP50" s="134"/>
      <c r="BQ50" s="134"/>
      <c r="BR50" s="134"/>
      <c r="BS50" s="134"/>
      <c r="BT50" s="134"/>
      <c r="BU50" s="134"/>
      <c r="BV50" s="134"/>
      <c r="BW50" s="134"/>
      <c r="BX50" s="134"/>
      <c r="BY50" s="134"/>
      <c r="BZ50" s="134"/>
      <c r="CA50" s="134"/>
      <c r="CB50" s="134"/>
      <c r="CC50" s="134"/>
      <c r="CD50" s="134"/>
      <c r="CE50" s="134"/>
      <c r="CF50" s="134"/>
      <c r="CG50" s="134"/>
      <c r="CH50" s="134"/>
      <c r="CI50" s="134"/>
      <c r="CJ50" s="134"/>
      <c r="CK50" s="134"/>
      <c r="CL50" s="134"/>
      <c r="CM50" s="134"/>
      <c r="CN50" s="134"/>
      <c r="CO50" s="134"/>
      <c r="CP50" s="134"/>
      <c r="CQ50" s="134"/>
      <c r="CR50" s="134"/>
      <c r="CS50" s="134"/>
      <c r="CT50" s="134"/>
      <c r="CU50" s="134"/>
      <c r="CV50" s="134"/>
      <c r="CW50" s="134"/>
      <c r="CX50" s="134"/>
      <c r="CY50" s="134"/>
      <c r="CZ50" s="134"/>
      <c r="DA50" s="134"/>
      <c r="DB50" s="134"/>
      <c r="DC50" s="134"/>
      <c r="DD50" s="134"/>
      <c r="DE50" s="134"/>
      <c r="DF50" s="134"/>
      <c r="DG50" s="134"/>
      <c r="DH50" s="134"/>
      <c r="DI50" s="134"/>
      <c r="DJ50" s="134"/>
      <c r="DK50" s="134"/>
      <c r="DL50" s="134"/>
      <c r="DM50" s="134"/>
      <c r="DN50" s="134"/>
      <c r="DO50" s="134"/>
      <c r="DP50" s="134"/>
      <c r="DQ50" s="134"/>
      <c r="DR50" s="134"/>
      <c r="DS50" s="134"/>
      <c r="DT50" s="134"/>
      <c r="DU50" s="134"/>
      <c r="DV50" s="134"/>
      <c r="DW50" s="134"/>
      <c r="DX50" s="134"/>
      <c r="DY50" s="134"/>
      <c r="DZ50" s="134"/>
      <c r="EA50" s="134"/>
      <c r="EB50" s="134"/>
      <c r="EC50" s="134"/>
      <c r="ED50" s="134"/>
      <c r="EE50" s="134"/>
      <c r="EF50" s="134"/>
      <c r="EG50" s="134"/>
      <c r="EH50" s="134"/>
      <c r="EI50" s="134"/>
      <c r="EJ50" s="134"/>
      <c r="EK50" s="134"/>
      <c r="EL50" s="134"/>
      <c r="EM50" s="134"/>
      <c r="EN50" s="134"/>
      <c r="EO50" s="134"/>
      <c r="EP50" s="134"/>
      <c r="EQ50" s="134"/>
      <c r="ER50" s="134"/>
      <c r="ES50" s="134"/>
      <c r="ET50" s="134"/>
      <c r="EU50" s="134"/>
      <c r="EV50" s="134"/>
      <c r="EW50" s="134"/>
      <c r="EX50" s="134"/>
      <c r="EY50" s="134"/>
      <c r="EZ50" s="134"/>
      <c r="FA50" s="134"/>
      <c r="FB50" s="134"/>
      <c r="FC50" s="134"/>
      <c r="FD50" s="134"/>
      <c r="FE50" s="134"/>
      <c r="FF50" s="134"/>
      <c r="FG50" s="134"/>
      <c r="FH50" s="134"/>
      <c r="FI50" s="134"/>
      <c r="FJ50" s="134"/>
    </row>
    <row r="51" spans="1:166">
      <c r="A51" s="491"/>
      <c r="B51" s="497"/>
      <c r="C51" s="497"/>
      <c r="D51" s="507"/>
      <c r="E51" s="507"/>
      <c r="F51" s="512"/>
      <c r="G51" s="512"/>
      <c r="H51" s="512"/>
      <c r="I51" s="512"/>
      <c r="J51" s="497"/>
      <c r="K51" s="498"/>
      <c r="L51" s="495"/>
      <c r="M51" s="512"/>
      <c r="N51" s="512"/>
      <c r="O51" s="508"/>
      <c r="P51" s="491"/>
      <c r="Q51" s="486"/>
      <c r="R51" s="486"/>
      <c r="S51" s="486"/>
      <c r="T51" s="486"/>
      <c r="U51" s="486"/>
      <c r="V51" s="490"/>
      <c r="W51" s="490"/>
      <c r="X51" s="490"/>
      <c r="Y51" s="490"/>
      <c r="Z51" s="490"/>
      <c r="AA51" s="518"/>
      <c r="AB51" s="518"/>
      <c r="AC51" s="490"/>
      <c r="AD51" s="490"/>
      <c r="AE51" s="490"/>
      <c r="AF51" s="490"/>
      <c r="AG51" s="490"/>
      <c r="AH51" s="490"/>
      <c r="AI51" s="490"/>
      <c r="AJ51" s="490"/>
      <c r="AK51" s="490"/>
      <c r="AL51" s="490"/>
      <c r="AM51" s="312"/>
      <c r="AN51" s="312"/>
      <c r="AO51" s="312"/>
      <c r="AP51" s="312"/>
      <c r="AQ51" s="312"/>
      <c r="AR51" s="313"/>
      <c r="AS51" s="313"/>
      <c r="AT51" s="313"/>
      <c r="AU51" s="313"/>
      <c r="AV51" s="313"/>
      <c r="AW51" s="313"/>
      <c r="AX51" s="313"/>
      <c r="AY51" s="313"/>
      <c r="AZ51" s="313"/>
      <c r="BA51" s="313"/>
      <c r="BB51" s="313"/>
      <c r="BC51" s="313"/>
      <c r="BD51" s="313"/>
      <c r="BE51" s="313"/>
      <c r="BF51" s="313"/>
      <c r="BG51" s="313"/>
      <c r="BH51" s="313"/>
      <c r="BI51" s="313"/>
      <c r="BJ51" s="313"/>
      <c r="BK51" s="134"/>
      <c r="BL51" s="134"/>
      <c r="BM51" s="134"/>
      <c r="BN51" s="134"/>
      <c r="BO51" s="134"/>
      <c r="BP51" s="134"/>
      <c r="BQ51" s="134"/>
      <c r="BR51" s="134"/>
      <c r="BS51" s="134"/>
      <c r="BT51" s="134"/>
      <c r="BU51" s="134"/>
      <c r="BV51" s="134"/>
      <c r="BW51" s="134"/>
      <c r="BX51" s="134"/>
      <c r="BY51" s="134"/>
      <c r="BZ51" s="134"/>
      <c r="CA51" s="134"/>
      <c r="CB51" s="134"/>
      <c r="CC51" s="134"/>
      <c r="CD51" s="134"/>
      <c r="CE51" s="134"/>
      <c r="CF51" s="134"/>
      <c r="CG51" s="134"/>
      <c r="CH51" s="134"/>
      <c r="CI51" s="134"/>
      <c r="CJ51" s="134"/>
      <c r="CK51" s="134"/>
      <c r="CL51" s="134"/>
      <c r="CM51" s="134"/>
      <c r="CN51" s="134"/>
      <c r="CO51" s="134"/>
      <c r="CP51" s="134"/>
      <c r="CQ51" s="134"/>
      <c r="CR51" s="134"/>
      <c r="CS51" s="134"/>
      <c r="CT51" s="134"/>
      <c r="CU51" s="134"/>
      <c r="CV51" s="134"/>
      <c r="CW51" s="134"/>
      <c r="CX51" s="134"/>
      <c r="CY51" s="134"/>
      <c r="CZ51" s="134"/>
      <c r="DA51" s="134"/>
      <c r="DB51" s="134"/>
      <c r="DC51" s="134"/>
      <c r="DD51" s="134"/>
      <c r="DE51" s="134"/>
      <c r="DF51" s="134"/>
      <c r="DG51" s="134"/>
      <c r="DH51" s="134"/>
      <c r="DI51" s="134"/>
      <c r="DJ51" s="134"/>
      <c r="DK51" s="134"/>
      <c r="DL51" s="134"/>
      <c r="DM51" s="134"/>
      <c r="DN51" s="134"/>
      <c r="DO51" s="134"/>
      <c r="DP51" s="134"/>
      <c r="DQ51" s="134"/>
      <c r="DR51" s="134"/>
      <c r="DS51" s="134"/>
      <c r="DT51" s="134"/>
      <c r="DU51" s="134"/>
      <c r="DV51" s="134"/>
      <c r="DW51" s="134"/>
      <c r="DX51" s="134"/>
      <c r="DY51" s="134"/>
      <c r="DZ51" s="134"/>
      <c r="EA51" s="134"/>
      <c r="EB51" s="134"/>
      <c r="EC51" s="134"/>
      <c r="ED51" s="134"/>
      <c r="EE51" s="134"/>
      <c r="EF51" s="134"/>
      <c r="EG51" s="134"/>
      <c r="EH51" s="134"/>
      <c r="EI51" s="134"/>
      <c r="EJ51" s="134"/>
      <c r="EK51" s="134"/>
      <c r="EL51" s="134"/>
      <c r="EM51" s="134"/>
      <c r="EN51" s="134"/>
      <c r="EO51" s="134"/>
      <c r="EP51" s="134"/>
      <c r="EQ51" s="134"/>
      <c r="ER51" s="134"/>
      <c r="ES51" s="134"/>
      <c r="ET51" s="134"/>
      <c r="EU51" s="134"/>
      <c r="EV51" s="134"/>
      <c r="EW51" s="134"/>
      <c r="EX51" s="134"/>
      <c r="EY51" s="134"/>
      <c r="EZ51" s="134"/>
      <c r="FA51" s="134"/>
      <c r="FB51" s="134"/>
      <c r="FC51" s="134"/>
      <c r="FD51" s="134"/>
      <c r="FE51" s="134"/>
      <c r="FF51" s="134"/>
      <c r="FG51" s="134"/>
      <c r="FH51" s="134"/>
      <c r="FI51" s="134"/>
      <c r="FJ51" s="134"/>
    </row>
    <row r="52" spans="1:166">
      <c r="A52" s="491"/>
      <c r="B52" s="497"/>
      <c r="C52" s="497"/>
      <c r="D52" s="507"/>
      <c r="E52" s="507"/>
      <c r="F52" s="512"/>
      <c r="G52" s="512"/>
      <c r="H52" s="512"/>
      <c r="I52" s="512"/>
      <c r="J52" s="497"/>
      <c r="K52" s="498"/>
      <c r="L52" s="495"/>
      <c r="M52" s="512"/>
      <c r="N52" s="512"/>
      <c r="O52" s="508"/>
      <c r="P52" s="491"/>
      <c r="Q52" s="486"/>
      <c r="R52" s="486"/>
      <c r="S52" s="486"/>
      <c r="T52" s="486"/>
      <c r="U52" s="486"/>
      <c r="V52" s="490"/>
      <c r="W52" s="490"/>
      <c r="X52" s="490"/>
      <c r="Y52" s="490"/>
      <c r="Z52" s="490"/>
      <c r="AA52" s="518"/>
      <c r="AB52" s="518"/>
      <c r="AC52" s="490"/>
      <c r="AD52" s="490"/>
      <c r="AE52" s="490"/>
      <c r="AF52" s="490"/>
      <c r="AG52" s="490"/>
      <c r="AH52" s="490"/>
      <c r="AI52" s="490"/>
      <c r="AJ52" s="490"/>
      <c r="AK52" s="490"/>
      <c r="AL52" s="490"/>
      <c r="AM52" s="312"/>
      <c r="AN52" s="312"/>
      <c r="AO52" s="312"/>
      <c r="AP52" s="312"/>
      <c r="AQ52" s="312"/>
      <c r="AR52" s="313"/>
      <c r="AS52" s="313"/>
      <c r="AT52" s="313"/>
      <c r="AU52" s="313"/>
      <c r="AV52" s="313"/>
      <c r="AW52" s="313"/>
      <c r="AX52" s="313"/>
      <c r="AY52" s="313"/>
      <c r="AZ52" s="313"/>
      <c r="BA52" s="313"/>
      <c r="BB52" s="313"/>
      <c r="BC52" s="313"/>
      <c r="BD52" s="313"/>
      <c r="BE52" s="313"/>
      <c r="BF52" s="313"/>
      <c r="BG52" s="313"/>
      <c r="BH52" s="313"/>
      <c r="BI52" s="313"/>
      <c r="BJ52" s="313"/>
      <c r="BK52" s="134"/>
      <c r="BL52" s="134"/>
      <c r="BM52" s="134"/>
      <c r="BN52" s="134"/>
      <c r="BO52" s="134"/>
      <c r="BP52" s="134"/>
      <c r="BQ52" s="134"/>
      <c r="BR52" s="134"/>
      <c r="BS52" s="134"/>
      <c r="BT52" s="134"/>
      <c r="BU52" s="134"/>
      <c r="BV52" s="134"/>
      <c r="BW52" s="134"/>
      <c r="BX52" s="134"/>
      <c r="BY52" s="134"/>
      <c r="BZ52" s="134"/>
      <c r="CA52" s="134"/>
      <c r="CB52" s="134"/>
      <c r="CC52" s="134"/>
      <c r="CD52" s="134"/>
      <c r="CE52" s="134"/>
      <c r="CF52" s="134"/>
      <c r="CG52" s="134"/>
      <c r="CH52" s="134"/>
      <c r="CI52" s="134"/>
      <c r="CJ52" s="134"/>
      <c r="CK52" s="134"/>
      <c r="CL52" s="134"/>
      <c r="CM52" s="134"/>
      <c r="CN52" s="134"/>
      <c r="CO52" s="134"/>
      <c r="CP52" s="134"/>
      <c r="CQ52" s="134"/>
      <c r="CR52" s="134"/>
      <c r="CS52" s="134"/>
      <c r="CT52" s="134"/>
      <c r="CU52" s="134"/>
      <c r="CV52" s="134"/>
      <c r="CW52" s="134"/>
      <c r="CX52" s="134"/>
      <c r="CY52" s="134"/>
      <c r="CZ52" s="134"/>
      <c r="DA52" s="134"/>
      <c r="DB52" s="134"/>
      <c r="DC52" s="134"/>
      <c r="DD52" s="134"/>
      <c r="DE52" s="134"/>
      <c r="DF52" s="134"/>
      <c r="DG52" s="134"/>
      <c r="DH52" s="134"/>
      <c r="DI52" s="134"/>
      <c r="DJ52" s="134"/>
      <c r="DK52" s="134"/>
      <c r="DL52" s="134"/>
      <c r="DM52" s="134"/>
      <c r="DN52" s="134"/>
      <c r="DO52" s="134"/>
      <c r="DP52" s="134"/>
      <c r="DQ52" s="134"/>
      <c r="DR52" s="134"/>
      <c r="DS52" s="134"/>
      <c r="DT52" s="134"/>
      <c r="DU52" s="134"/>
      <c r="DV52" s="134"/>
      <c r="DW52" s="134"/>
      <c r="DX52" s="134"/>
      <c r="DY52" s="134"/>
      <c r="DZ52" s="134"/>
      <c r="EA52" s="134"/>
      <c r="EB52" s="134"/>
      <c r="EC52" s="134"/>
      <c r="ED52" s="134"/>
      <c r="EE52" s="134"/>
      <c r="EF52" s="134"/>
      <c r="EG52" s="134"/>
      <c r="EH52" s="134"/>
      <c r="EI52" s="134"/>
      <c r="EJ52" s="134"/>
      <c r="EK52" s="134"/>
      <c r="EL52" s="134"/>
      <c r="EM52" s="134"/>
      <c r="EN52" s="134"/>
      <c r="EO52" s="134"/>
      <c r="EP52" s="134"/>
      <c r="EQ52" s="134"/>
      <c r="ER52" s="134"/>
      <c r="ES52" s="134"/>
      <c r="ET52" s="134"/>
      <c r="EU52" s="134"/>
      <c r="EV52" s="134"/>
      <c r="EW52" s="134"/>
      <c r="EX52" s="134"/>
      <c r="EY52" s="134"/>
      <c r="EZ52" s="134"/>
      <c r="FA52" s="134"/>
      <c r="FB52" s="134"/>
      <c r="FC52" s="134"/>
      <c r="FD52" s="134"/>
      <c r="FE52" s="134"/>
      <c r="FF52" s="134"/>
      <c r="FG52" s="134"/>
      <c r="FH52" s="134"/>
      <c r="FI52" s="134"/>
      <c r="FJ52" s="134"/>
    </row>
    <row r="53" spans="1:166">
      <c r="A53" s="491"/>
      <c r="B53" s="497"/>
      <c r="C53" s="497"/>
      <c r="D53" s="507"/>
      <c r="E53" s="507"/>
      <c r="F53" s="512"/>
      <c r="G53" s="512"/>
      <c r="H53" s="512"/>
      <c r="I53" s="512"/>
      <c r="J53" s="497"/>
      <c r="K53" s="498"/>
      <c r="L53" s="495"/>
      <c r="M53" s="512"/>
      <c r="N53" s="512"/>
      <c r="O53" s="508"/>
      <c r="P53" s="491"/>
      <c r="Q53" s="486"/>
      <c r="R53" s="486"/>
      <c r="S53" s="486"/>
      <c r="T53" s="486"/>
      <c r="U53" s="486"/>
      <c r="V53" s="490"/>
      <c r="W53" s="490"/>
      <c r="X53" s="490"/>
      <c r="Y53" s="490"/>
      <c r="Z53" s="490"/>
      <c r="AA53" s="518"/>
      <c r="AB53" s="518"/>
      <c r="AC53" s="490"/>
      <c r="AD53" s="490"/>
      <c r="AE53" s="490"/>
      <c r="AF53" s="490"/>
      <c r="AG53" s="490"/>
      <c r="AH53" s="490"/>
      <c r="AI53" s="490"/>
      <c r="AJ53" s="490"/>
      <c r="AK53" s="490"/>
      <c r="AL53" s="490"/>
      <c r="AM53" s="312"/>
      <c r="AN53" s="312"/>
      <c r="AO53" s="312"/>
      <c r="AP53" s="312"/>
      <c r="AQ53" s="312"/>
      <c r="AR53" s="313"/>
      <c r="AS53" s="313"/>
      <c r="AT53" s="313"/>
      <c r="AU53" s="313"/>
      <c r="AV53" s="313"/>
      <c r="AW53" s="313"/>
      <c r="AX53" s="313"/>
      <c r="AY53" s="313"/>
      <c r="AZ53" s="313"/>
      <c r="BA53" s="313"/>
      <c r="BB53" s="313"/>
      <c r="BC53" s="313"/>
      <c r="BD53" s="313"/>
      <c r="BE53" s="313"/>
      <c r="BF53" s="313"/>
      <c r="BG53" s="313"/>
      <c r="BH53" s="313"/>
      <c r="BI53" s="313"/>
      <c r="BJ53" s="313"/>
      <c r="BK53" s="134"/>
      <c r="BL53" s="134"/>
      <c r="BM53" s="134"/>
      <c r="BN53" s="134"/>
      <c r="BO53" s="134"/>
      <c r="BP53" s="134"/>
      <c r="BQ53" s="134"/>
      <c r="BR53" s="134"/>
      <c r="BS53" s="134"/>
      <c r="BT53" s="134"/>
      <c r="BU53" s="134"/>
      <c r="BV53" s="134"/>
      <c r="BW53" s="134"/>
      <c r="BX53" s="134"/>
      <c r="BY53" s="134"/>
      <c r="BZ53" s="134"/>
      <c r="CA53" s="134"/>
      <c r="CB53" s="134"/>
      <c r="CC53" s="134"/>
      <c r="CD53" s="134"/>
      <c r="CE53" s="134"/>
      <c r="CF53" s="134"/>
      <c r="CG53" s="134"/>
      <c r="CH53" s="134"/>
      <c r="CI53" s="134"/>
      <c r="CJ53" s="134"/>
      <c r="CK53" s="134"/>
      <c r="CL53" s="134"/>
      <c r="CM53" s="134"/>
      <c r="CN53" s="134"/>
      <c r="CO53" s="134"/>
      <c r="CP53" s="134"/>
      <c r="CQ53" s="134"/>
      <c r="CR53" s="134"/>
      <c r="CS53" s="134"/>
      <c r="CT53" s="134"/>
      <c r="CU53" s="134"/>
      <c r="CV53" s="134"/>
      <c r="CW53" s="134"/>
      <c r="CX53" s="134"/>
      <c r="CY53" s="134"/>
      <c r="CZ53" s="134"/>
      <c r="DA53" s="134"/>
      <c r="DB53" s="134"/>
      <c r="DC53" s="134"/>
      <c r="DD53" s="134"/>
      <c r="DE53" s="134"/>
      <c r="DF53" s="134"/>
      <c r="DG53" s="134"/>
      <c r="DH53" s="134"/>
      <c r="DI53" s="134"/>
      <c r="DJ53" s="134"/>
      <c r="DK53" s="134"/>
      <c r="DL53" s="134"/>
      <c r="DM53" s="134"/>
      <c r="DN53" s="134"/>
      <c r="DO53" s="134"/>
      <c r="DP53" s="134"/>
      <c r="DQ53" s="134"/>
      <c r="DR53" s="134"/>
      <c r="DS53" s="134"/>
      <c r="DT53" s="134"/>
      <c r="DU53" s="134"/>
      <c r="DV53" s="134"/>
      <c r="DW53" s="134"/>
      <c r="DX53" s="134"/>
      <c r="DY53" s="134"/>
      <c r="DZ53" s="134"/>
      <c r="EA53" s="134"/>
      <c r="EB53" s="134"/>
      <c r="EC53" s="134"/>
      <c r="ED53" s="134"/>
      <c r="EE53" s="134"/>
      <c r="EF53" s="134"/>
      <c r="EG53" s="134"/>
      <c r="EH53" s="134"/>
      <c r="EI53" s="134"/>
      <c r="EJ53" s="134"/>
      <c r="EK53" s="134"/>
      <c r="EL53" s="134"/>
      <c r="EM53" s="134"/>
      <c r="EN53" s="134"/>
      <c r="EO53" s="134"/>
      <c r="EP53" s="134"/>
      <c r="EQ53" s="134"/>
      <c r="ER53" s="134"/>
      <c r="ES53" s="134"/>
      <c r="ET53" s="134"/>
      <c r="EU53" s="134"/>
      <c r="EV53" s="134"/>
      <c r="EW53" s="134"/>
      <c r="EX53" s="134"/>
      <c r="EY53" s="134"/>
      <c r="EZ53" s="134"/>
      <c r="FA53" s="134"/>
      <c r="FB53" s="134"/>
      <c r="FC53" s="134"/>
      <c r="FD53" s="134"/>
      <c r="FE53" s="134"/>
      <c r="FF53" s="134"/>
      <c r="FG53" s="134"/>
      <c r="FH53" s="134"/>
      <c r="FI53" s="134"/>
      <c r="FJ53" s="134"/>
    </row>
    <row r="54" spans="1:166">
      <c r="A54" s="491"/>
      <c r="B54" s="497"/>
      <c r="C54" s="497"/>
      <c r="D54" s="507"/>
      <c r="E54" s="507"/>
      <c r="F54" s="512"/>
      <c r="G54" s="512"/>
      <c r="H54" s="512"/>
      <c r="I54" s="512"/>
      <c r="J54" s="497"/>
      <c r="K54" s="498"/>
      <c r="L54" s="495"/>
      <c r="M54" s="512"/>
      <c r="N54" s="512"/>
      <c r="O54" s="508"/>
      <c r="P54" s="491"/>
      <c r="Q54" s="486"/>
      <c r="R54" s="486"/>
      <c r="S54" s="486"/>
      <c r="T54" s="486"/>
      <c r="U54" s="486"/>
      <c r="V54" s="490"/>
      <c r="W54" s="490"/>
      <c r="X54" s="490"/>
      <c r="Y54" s="490"/>
      <c r="Z54" s="490"/>
      <c r="AA54" s="518"/>
      <c r="AB54" s="518"/>
      <c r="AC54" s="490"/>
      <c r="AD54" s="490"/>
      <c r="AE54" s="490"/>
      <c r="AF54" s="490"/>
      <c r="AG54" s="490"/>
      <c r="AH54" s="490"/>
      <c r="AI54" s="490"/>
      <c r="AJ54" s="490"/>
      <c r="AK54" s="490"/>
      <c r="AL54" s="490"/>
      <c r="AM54" s="312"/>
      <c r="AN54" s="312"/>
      <c r="AO54" s="312"/>
      <c r="AP54" s="312"/>
      <c r="AQ54" s="312"/>
      <c r="AR54" s="313"/>
      <c r="AS54" s="313"/>
      <c r="AT54" s="313"/>
      <c r="AU54" s="313"/>
      <c r="AV54" s="313"/>
      <c r="AW54" s="313"/>
      <c r="AX54" s="313"/>
      <c r="AY54" s="313"/>
      <c r="AZ54" s="313"/>
      <c r="BA54" s="313"/>
      <c r="BB54" s="313"/>
      <c r="BC54" s="313"/>
      <c r="BD54" s="313"/>
      <c r="BE54" s="313"/>
      <c r="BF54" s="313"/>
      <c r="BG54" s="313"/>
      <c r="BH54" s="313"/>
      <c r="BI54" s="313"/>
      <c r="BJ54" s="313"/>
      <c r="BK54" s="134"/>
      <c r="BL54" s="134"/>
      <c r="BM54" s="134"/>
      <c r="BN54" s="134"/>
      <c r="BO54" s="134"/>
      <c r="BP54" s="134"/>
      <c r="BQ54" s="134"/>
      <c r="BR54" s="134"/>
      <c r="BS54" s="134"/>
      <c r="BT54" s="134"/>
      <c r="BU54" s="134"/>
      <c r="BV54" s="134"/>
      <c r="BW54" s="134"/>
      <c r="BX54" s="134"/>
      <c r="BY54" s="134"/>
      <c r="BZ54" s="134"/>
      <c r="CA54" s="134"/>
      <c r="CB54" s="134"/>
      <c r="CC54" s="134"/>
      <c r="CD54" s="134"/>
      <c r="CE54" s="134"/>
      <c r="CF54" s="134"/>
      <c r="CG54" s="134"/>
      <c r="CH54" s="134"/>
      <c r="CI54" s="134"/>
      <c r="CJ54" s="134"/>
      <c r="CK54" s="134"/>
      <c r="CL54" s="134"/>
      <c r="CM54" s="134"/>
      <c r="CN54" s="134"/>
      <c r="CO54" s="134"/>
      <c r="CP54" s="134"/>
      <c r="CQ54" s="134"/>
      <c r="CR54" s="134"/>
      <c r="CS54" s="134"/>
      <c r="CT54" s="134"/>
      <c r="CU54" s="134"/>
      <c r="CV54" s="134"/>
      <c r="CW54" s="134"/>
      <c r="CX54" s="134"/>
      <c r="CY54" s="134"/>
      <c r="CZ54" s="134"/>
      <c r="DA54" s="134"/>
      <c r="DB54" s="134"/>
      <c r="DC54" s="134"/>
      <c r="DD54" s="134"/>
      <c r="DE54" s="134"/>
      <c r="DF54" s="134"/>
      <c r="DG54" s="134"/>
      <c r="DH54" s="134"/>
      <c r="DI54" s="134"/>
      <c r="DJ54" s="134"/>
      <c r="DK54" s="134"/>
      <c r="DL54" s="134"/>
      <c r="DM54" s="134"/>
      <c r="DN54" s="134"/>
      <c r="DO54" s="134"/>
      <c r="DP54" s="134"/>
      <c r="DQ54" s="134"/>
      <c r="DR54" s="134"/>
      <c r="DS54" s="134"/>
      <c r="DT54" s="134"/>
      <c r="DU54" s="134"/>
      <c r="DV54" s="134"/>
      <c r="DW54" s="134"/>
      <c r="DX54" s="134"/>
      <c r="DY54" s="134"/>
      <c r="DZ54" s="134"/>
      <c r="EA54" s="134"/>
      <c r="EB54" s="134"/>
      <c r="EC54" s="134"/>
      <c r="ED54" s="134"/>
      <c r="EE54" s="134"/>
      <c r="EF54" s="134"/>
      <c r="EG54" s="134"/>
      <c r="EH54" s="134"/>
      <c r="EI54" s="134"/>
      <c r="EJ54" s="134"/>
      <c r="EK54" s="134"/>
      <c r="EL54" s="134"/>
      <c r="EM54" s="134"/>
      <c r="EN54" s="134"/>
      <c r="EO54" s="134"/>
      <c r="EP54" s="134"/>
      <c r="EQ54" s="134"/>
      <c r="ER54" s="134"/>
      <c r="ES54" s="134"/>
      <c r="ET54" s="134"/>
      <c r="EU54" s="134"/>
      <c r="EV54" s="134"/>
      <c r="EW54" s="134"/>
      <c r="EX54" s="134"/>
      <c r="EY54" s="134"/>
      <c r="EZ54" s="134"/>
      <c r="FA54" s="134"/>
      <c r="FB54" s="134"/>
      <c r="FC54" s="134"/>
      <c r="FD54" s="134"/>
      <c r="FE54" s="134"/>
      <c r="FF54" s="134"/>
      <c r="FG54" s="134"/>
      <c r="FH54" s="134"/>
      <c r="FI54" s="134"/>
      <c r="FJ54" s="134"/>
    </row>
    <row r="55" spans="1:166">
      <c r="A55" s="491"/>
      <c r="B55" s="497"/>
      <c r="C55" s="497"/>
      <c r="D55" s="507"/>
      <c r="E55" s="507"/>
      <c r="F55" s="512"/>
      <c r="G55" s="512"/>
      <c r="H55" s="512"/>
      <c r="I55" s="512"/>
      <c r="J55" s="497"/>
      <c r="K55" s="498"/>
      <c r="L55" s="495"/>
      <c r="M55" s="512"/>
      <c r="N55" s="512"/>
      <c r="O55" s="508"/>
      <c r="P55" s="491"/>
      <c r="Q55" s="486"/>
      <c r="R55" s="486"/>
      <c r="S55" s="486"/>
      <c r="T55" s="486"/>
      <c r="U55" s="486"/>
      <c r="V55" s="490"/>
      <c r="W55" s="490"/>
      <c r="X55" s="490"/>
      <c r="Y55" s="490"/>
      <c r="Z55" s="490"/>
      <c r="AA55" s="518"/>
      <c r="AB55" s="518"/>
      <c r="AC55" s="490"/>
      <c r="AD55" s="490"/>
      <c r="AE55" s="490"/>
      <c r="AF55" s="490"/>
      <c r="AG55" s="490"/>
      <c r="AH55" s="490"/>
      <c r="AI55" s="490"/>
      <c r="AJ55" s="490"/>
      <c r="AK55" s="490"/>
      <c r="AL55" s="490"/>
      <c r="AM55" s="312"/>
      <c r="AN55" s="312"/>
      <c r="AO55" s="312"/>
      <c r="AP55" s="312"/>
      <c r="AQ55" s="312"/>
      <c r="AR55" s="313"/>
      <c r="AS55" s="313"/>
      <c r="AT55" s="313"/>
      <c r="AU55" s="313"/>
      <c r="AV55" s="313"/>
      <c r="AW55" s="313"/>
      <c r="AX55" s="313"/>
      <c r="AY55" s="313"/>
      <c r="AZ55" s="313"/>
      <c r="BA55" s="313"/>
      <c r="BB55" s="313"/>
      <c r="BC55" s="313"/>
      <c r="BD55" s="313"/>
      <c r="BE55" s="313"/>
      <c r="BF55" s="313"/>
      <c r="BG55" s="313"/>
      <c r="BH55" s="313"/>
      <c r="BI55" s="313"/>
      <c r="BJ55" s="313"/>
      <c r="BK55" s="134"/>
      <c r="BL55" s="134"/>
      <c r="BM55" s="134"/>
      <c r="BN55" s="134"/>
      <c r="BO55" s="134"/>
      <c r="BP55" s="134"/>
      <c r="BQ55" s="134"/>
      <c r="BR55" s="134"/>
      <c r="BS55" s="134"/>
      <c r="BT55" s="134"/>
      <c r="BU55" s="134"/>
      <c r="BV55" s="134"/>
      <c r="BW55" s="134"/>
      <c r="BX55" s="134"/>
      <c r="BY55" s="134"/>
      <c r="BZ55" s="134"/>
      <c r="CA55" s="134"/>
      <c r="CB55" s="134"/>
      <c r="CC55" s="134"/>
      <c r="CD55" s="134"/>
      <c r="CE55" s="134"/>
      <c r="CF55" s="134"/>
      <c r="CG55" s="134"/>
      <c r="CH55" s="134"/>
      <c r="CI55" s="134"/>
      <c r="CJ55" s="134"/>
      <c r="CK55" s="134"/>
      <c r="CL55" s="134"/>
      <c r="CM55" s="134"/>
      <c r="CN55" s="134"/>
      <c r="CO55" s="134"/>
      <c r="CP55" s="134"/>
      <c r="CQ55" s="134"/>
      <c r="CR55" s="134"/>
      <c r="CS55" s="134"/>
      <c r="CT55" s="134"/>
      <c r="CU55" s="134"/>
      <c r="CV55" s="134"/>
      <c r="CW55" s="134"/>
      <c r="CX55" s="134"/>
      <c r="CY55" s="134"/>
      <c r="CZ55" s="134"/>
      <c r="DA55" s="134"/>
      <c r="DB55" s="134"/>
      <c r="DC55" s="134"/>
      <c r="DD55" s="134"/>
      <c r="DE55" s="134"/>
      <c r="DF55" s="134"/>
      <c r="DG55" s="134"/>
      <c r="DH55" s="134"/>
      <c r="DI55" s="134"/>
      <c r="DJ55" s="134"/>
      <c r="DK55" s="134"/>
      <c r="DL55" s="134"/>
      <c r="DM55" s="134"/>
      <c r="DN55" s="134"/>
      <c r="DO55" s="134"/>
      <c r="DP55" s="134"/>
      <c r="DQ55" s="134"/>
      <c r="DR55" s="134"/>
      <c r="DS55" s="134"/>
      <c r="DT55" s="134"/>
      <c r="DU55" s="134"/>
      <c r="DV55" s="134"/>
      <c r="DW55" s="134"/>
      <c r="DX55" s="134"/>
      <c r="DY55" s="134"/>
      <c r="DZ55" s="134"/>
      <c r="EA55" s="134"/>
      <c r="EB55" s="134"/>
      <c r="EC55" s="134"/>
      <c r="ED55" s="134"/>
      <c r="EE55" s="134"/>
      <c r="EF55" s="134"/>
      <c r="EG55" s="134"/>
      <c r="EH55" s="134"/>
      <c r="EI55" s="134"/>
      <c r="EJ55" s="134"/>
      <c r="EK55" s="134"/>
      <c r="EL55" s="134"/>
      <c r="EM55" s="134"/>
      <c r="EN55" s="134"/>
      <c r="EO55" s="134"/>
      <c r="EP55" s="134"/>
      <c r="EQ55" s="134"/>
      <c r="ER55" s="134"/>
      <c r="ES55" s="134"/>
      <c r="ET55" s="134"/>
      <c r="EU55" s="134"/>
      <c r="EV55" s="134"/>
      <c r="EW55" s="134"/>
      <c r="EX55" s="134"/>
      <c r="EY55" s="134"/>
      <c r="EZ55" s="134"/>
      <c r="FA55" s="134"/>
      <c r="FB55" s="134"/>
      <c r="FC55" s="134"/>
      <c r="FD55" s="134"/>
      <c r="FE55" s="134"/>
      <c r="FF55" s="134"/>
      <c r="FG55" s="134"/>
      <c r="FH55" s="134"/>
      <c r="FI55" s="134"/>
      <c r="FJ55" s="134"/>
    </row>
    <row r="56" spans="1:166">
      <c r="A56" s="491"/>
      <c r="B56" s="497"/>
      <c r="C56" s="497"/>
      <c r="D56" s="507"/>
      <c r="E56" s="507"/>
      <c r="F56" s="512"/>
      <c r="G56" s="512"/>
      <c r="H56" s="512"/>
      <c r="I56" s="512"/>
      <c r="J56" s="497"/>
      <c r="K56" s="498"/>
      <c r="L56" s="495"/>
      <c r="M56" s="512"/>
      <c r="N56" s="512"/>
      <c r="O56" s="508"/>
      <c r="P56" s="491"/>
      <c r="Q56" s="486"/>
      <c r="R56" s="486"/>
      <c r="S56" s="486"/>
      <c r="T56" s="486"/>
      <c r="U56" s="486"/>
      <c r="V56" s="490"/>
      <c r="W56" s="490"/>
      <c r="X56" s="490"/>
      <c r="Y56" s="490"/>
      <c r="Z56" s="490"/>
      <c r="AA56" s="518"/>
      <c r="AB56" s="518"/>
      <c r="AC56" s="490"/>
      <c r="AD56" s="490"/>
      <c r="AE56" s="490"/>
      <c r="AF56" s="490"/>
      <c r="AG56" s="490"/>
      <c r="AH56" s="490"/>
      <c r="AI56" s="490"/>
      <c r="AJ56" s="490"/>
      <c r="AK56" s="490"/>
      <c r="AL56" s="490"/>
      <c r="AM56" s="312"/>
      <c r="AN56" s="312"/>
      <c r="AO56" s="312"/>
      <c r="AP56" s="312"/>
      <c r="AQ56" s="312"/>
      <c r="AR56" s="313"/>
      <c r="AS56" s="313"/>
      <c r="AT56" s="313"/>
      <c r="AU56" s="313"/>
      <c r="AV56" s="313"/>
      <c r="AW56" s="313"/>
      <c r="AX56" s="313"/>
      <c r="AY56" s="313"/>
      <c r="AZ56" s="313"/>
      <c r="BA56" s="313"/>
      <c r="BB56" s="313"/>
      <c r="BC56" s="313"/>
      <c r="BD56" s="313"/>
      <c r="BE56" s="313"/>
      <c r="BF56" s="313"/>
      <c r="BG56" s="313"/>
      <c r="BH56" s="313"/>
      <c r="BI56" s="313"/>
      <c r="BJ56" s="313"/>
      <c r="BK56" s="134"/>
      <c r="BL56" s="134"/>
      <c r="BM56" s="134"/>
      <c r="BN56" s="134"/>
      <c r="BO56" s="134"/>
      <c r="BP56" s="134"/>
      <c r="BQ56" s="134"/>
      <c r="BR56" s="134"/>
      <c r="BS56" s="134"/>
      <c r="BT56" s="134"/>
      <c r="BU56" s="134"/>
      <c r="BV56" s="134"/>
      <c r="BW56" s="134"/>
      <c r="BX56" s="134"/>
      <c r="BY56" s="134"/>
      <c r="BZ56" s="134"/>
      <c r="CA56" s="134"/>
      <c r="CB56" s="134"/>
      <c r="CC56" s="134"/>
      <c r="CD56" s="134"/>
      <c r="CE56" s="134"/>
      <c r="CF56" s="134"/>
      <c r="CG56" s="134"/>
      <c r="CH56" s="134"/>
      <c r="CI56" s="134"/>
      <c r="CJ56" s="134"/>
      <c r="CK56" s="134"/>
      <c r="CL56" s="134"/>
      <c r="CM56" s="134"/>
      <c r="CN56" s="134"/>
      <c r="CO56" s="134"/>
      <c r="CP56" s="134"/>
      <c r="CQ56" s="134"/>
      <c r="CR56" s="134"/>
      <c r="CS56" s="134"/>
      <c r="CT56" s="134"/>
      <c r="CU56" s="134"/>
      <c r="CV56" s="134"/>
      <c r="CW56" s="134"/>
      <c r="CX56" s="134"/>
      <c r="CY56" s="134"/>
      <c r="CZ56" s="134"/>
      <c r="DA56" s="134"/>
      <c r="DB56" s="134"/>
      <c r="DC56" s="134"/>
      <c r="DD56" s="134"/>
      <c r="DE56" s="134"/>
      <c r="DF56" s="134"/>
      <c r="DG56" s="134"/>
      <c r="DH56" s="134"/>
      <c r="DI56" s="134"/>
      <c r="DJ56" s="134"/>
      <c r="DK56" s="134"/>
      <c r="DL56" s="134"/>
      <c r="DM56" s="134"/>
      <c r="DN56" s="134"/>
      <c r="DO56" s="134"/>
      <c r="DP56" s="134"/>
      <c r="DQ56" s="134"/>
      <c r="DR56" s="134"/>
      <c r="DS56" s="134"/>
      <c r="DT56" s="134"/>
      <c r="DU56" s="134"/>
      <c r="DV56" s="134"/>
      <c r="DW56" s="134"/>
      <c r="DX56" s="134"/>
      <c r="DY56" s="134"/>
      <c r="DZ56" s="134"/>
      <c r="EA56" s="134"/>
      <c r="EB56" s="134"/>
      <c r="EC56" s="134"/>
      <c r="ED56" s="134"/>
      <c r="EE56" s="134"/>
      <c r="EF56" s="134"/>
      <c r="EG56" s="134"/>
      <c r="EH56" s="134"/>
      <c r="EI56" s="134"/>
      <c r="EJ56" s="134"/>
      <c r="EK56" s="134"/>
      <c r="EL56" s="134"/>
      <c r="EM56" s="134"/>
      <c r="EN56" s="134"/>
      <c r="EO56" s="134"/>
      <c r="EP56" s="134"/>
      <c r="EQ56" s="134"/>
      <c r="ER56" s="134"/>
      <c r="ES56" s="134"/>
      <c r="ET56" s="134"/>
      <c r="EU56" s="134"/>
      <c r="EV56" s="134"/>
      <c r="EW56" s="134"/>
      <c r="EX56" s="134"/>
      <c r="EY56" s="134"/>
      <c r="EZ56" s="134"/>
      <c r="FA56" s="134"/>
      <c r="FB56" s="134"/>
      <c r="FC56" s="134"/>
      <c r="FD56" s="134"/>
      <c r="FE56" s="134"/>
      <c r="FF56" s="134"/>
      <c r="FG56" s="134"/>
      <c r="FH56" s="134"/>
      <c r="FI56" s="134"/>
      <c r="FJ56" s="134"/>
    </row>
    <row r="57" spans="1:166">
      <c r="A57" s="491"/>
      <c r="B57" s="497"/>
      <c r="C57" s="497"/>
      <c r="D57" s="507"/>
      <c r="E57" s="507"/>
      <c r="F57" s="512"/>
      <c r="G57" s="512"/>
      <c r="H57" s="512"/>
      <c r="I57" s="512"/>
      <c r="J57" s="497"/>
      <c r="K57" s="498"/>
      <c r="L57" s="495"/>
      <c r="M57" s="512"/>
      <c r="N57" s="512"/>
      <c r="O57" s="508"/>
      <c r="P57" s="491"/>
      <c r="Q57" s="486"/>
      <c r="R57" s="486"/>
      <c r="S57" s="486"/>
      <c r="T57" s="486"/>
      <c r="U57" s="486"/>
      <c r="V57" s="490"/>
      <c r="W57" s="490"/>
      <c r="X57" s="490"/>
      <c r="Y57" s="490"/>
      <c r="Z57" s="490"/>
      <c r="AA57" s="518"/>
      <c r="AB57" s="518"/>
      <c r="AC57" s="490"/>
      <c r="AD57" s="490"/>
      <c r="AE57" s="490"/>
      <c r="AF57" s="490"/>
      <c r="AG57" s="490"/>
      <c r="AH57" s="490"/>
      <c r="AI57" s="490"/>
      <c r="AJ57" s="490"/>
      <c r="AK57" s="490"/>
      <c r="AL57" s="490"/>
      <c r="AM57" s="312"/>
      <c r="AN57" s="312"/>
      <c r="AO57" s="312"/>
      <c r="AP57" s="312"/>
      <c r="AQ57" s="312"/>
      <c r="AR57" s="313"/>
      <c r="AS57" s="313"/>
      <c r="AT57" s="313"/>
      <c r="AU57" s="313"/>
      <c r="AV57" s="313"/>
      <c r="AW57" s="313"/>
      <c r="AX57" s="313"/>
      <c r="AY57" s="313"/>
      <c r="AZ57" s="313"/>
      <c r="BA57" s="313"/>
      <c r="BB57" s="313"/>
      <c r="BC57" s="313"/>
      <c r="BD57" s="313"/>
      <c r="BE57" s="313"/>
      <c r="BF57" s="313"/>
      <c r="BG57" s="313"/>
      <c r="BH57" s="313"/>
      <c r="BI57" s="313"/>
      <c r="BJ57" s="313"/>
      <c r="BK57" s="134"/>
      <c r="BL57" s="134"/>
      <c r="BM57" s="134"/>
      <c r="BN57" s="134"/>
      <c r="BO57" s="134"/>
      <c r="BP57" s="134"/>
      <c r="BQ57" s="134"/>
      <c r="BR57" s="134"/>
      <c r="BS57" s="134"/>
      <c r="BT57" s="134"/>
      <c r="BU57" s="134"/>
      <c r="BV57" s="134"/>
      <c r="BW57" s="134"/>
      <c r="BX57" s="134"/>
      <c r="BY57" s="134"/>
      <c r="BZ57" s="134"/>
      <c r="CA57" s="134"/>
      <c r="CB57" s="134"/>
      <c r="CC57" s="134"/>
      <c r="CD57" s="134"/>
      <c r="CE57" s="134"/>
      <c r="CF57" s="134"/>
      <c r="CG57" s="134"/>
      <c r="CH57" s="134"/>
      <c r="CI57" s="134"/>
      <c r="CJ57" s="134"/>
      <c r="CK57" s="134"/>
      <c r="CL57" s="134"/>
      <c r="CM57" s="134"/>
      <c r="CN57" s="134"/>
      <c r="CO57" s="134"/>
      <c r="CP57" s="134"/>
      <c r="CQ57" s="134"/>
      <c r="CR57" s="134"/>
      <c r="CS57" s="134"/>
      <c r="CT57" s="134"/>
      <c r="CU57" s="134"/>
      <c r="CV57" s="134"/>
      <c r="CW57" s="134"/>
      <c r="CX57" s="134"/>
      <c r="CY57" s="134"/>
      <c r="CZ57" s="134"/>
      <c r="DA57" s="134"/>
      <c r="DB57" s="134"/>
      <c r="DC57" s="134"/>
      <c r="DD57" s="134"/>
      <c r="DE57" s="134"/>
      <c r="DF57" s="134"/>
      <c r="DG57" s="134"/>
      <c r="DH57" s="134"/>
      <c r="DI57" s="134"/>
      <c r="DJ57" s="134"/>
      <c r="DK57" s="134"/>
      <c r="DL57" s="134"/>
      <c r="DM57" s="134"/>
      <c r="DN57" s="134"/>
      <c r="DO57" s="134"/>
      <c r="DP57" s="134"/>
      <c r="DQ57" s="134"/>
      <c r="DR57" s="134"/>
      <c r="DS57" s="134"/>
      <c r="DT57" s="134"/>
      <c r="DU57" s="134"/>
      <c r="DV57" s="134"/>
      <c r="DW57" s="134"/>
      <c r="DX57" s="134"/>
      <c r="DY57" s="134"/>
      <c r="DZ57" s="134"/>
      <c r="EA57" s="134"/>
      <c r="EB57" s="134"/>
      <c r="EC57" s="134"/>
      <c r="ED57" s="134"/>
      <c r="EE57" s="134"/>
      <c r="EF57" s="134"/>
      <c r="EG57" s="134"/>
      <c r="EH57" s="134"/>
      <c r="EI57" s="134"/>
      <c r="EJ57" s="134"/>
      <c r="EK57" s="134"/>
      <c r="EL57" s="134"/>
      <c r="EM57" s="134"/>
      <c r="EN57" s="134"/>
      <c r="EO57" s="134"/>
      <c r="EP57" s="134"/>
      <c r="EQ57" s="134"/>
      <c r="ER57" s="134"/>
      <c r="ES57" s="134"/>
      <c r="ET57" s="134"/>
      <c r="EU57" s="134"/>
      <c r="EV57" s="134"/>
      <c r="EW57" s="134"/>
      <c r="EX57" s="134"/>
      <c r="EY57" s="134"/>
      <c r="EZ57" s="134"/>
      <c r="FA57" s="134"/>
      <c r="FB57" s="134"/>
      <c r="FC57" s="134"/>
      <c r="FD57" s="134"/>
      <c r="FE57" s="134"/>
      <c r="FF57" s="134"/>
      <c r="FG57" s="134"/>
      <c r="FH57" s="134"/>
      <c r="FI57" s="134"/>
      <c r="FJ57" s="134"/>
    </row>
    <row r="58" spans="1:166">
      <c r="A58" s="491"/>
      <c r="B58" s="497"/>
      <c r="C58" s="497"/>
      <c r="D58" s="507"/>
      <c r="E58" s="507"/>
      <c r="F58" s="512"/>
      <c r="G58" s="512"/>
      <c r="H58" s="512"/>
      <c r="I58" s="512"/>
      <c r="J58" s="497"/>
      <c r="K58" s="498"/>
      <c r="L58" s="495"/>
      <c r="M58" s="512"/>
      <c r="N58" s="512"/>
      <c r="O58" s="508"/>
      <c r="P58" s="491"/>
      <c r="Q58" s="486"/>
      <c r="R58" s="486"/>
      <c r="S58" s="486"/>
      <c r="T58" s="486"/>
      <c r="U58" s="486"/>
      <c r="V58" s="490"/>
      <c r="W58" s="490"/>
      <c r="X58" s="490"/>
      <c r="Y58" s="490"/>
      <c r="Z58" s="490"/>
      <c r="AA58" s="518"/>
      <c r="AB58" s="518"/>
      <c r="AC58" s="490"/>
      <c r="AD58" s="490"/>
      <c r="AE58" s="490"/>
      <c r="AF58" s="490"/>
      <c r="AG58" s="490"/>
      <c r="AH58" s="490"/>
      <c r="AI58" s="490"/>
      <c r="AJ58" s="490"/>
      <c r="AK58" s="490"/>
      <c r="AL58" s="490"/>
      <c r="AM58" s="312"/>
      <c r="AN58" s="312"/>
      <c r="AO58" s="312"/>
      <c r="AP58" s="312"/>
      <c r="AQ58" s="312"/>
      <c r="AR58" s="313"/>
      <c r="AS58" s="313"/>
      <c r="AT58" s="313"/>
      <c r="AU58" s="313"/>
      <c r="AV58" s="313"/>
      <c r="AW58" s="313"/>
      <c r="AX58" s="313"/>
      <c r="AY58" s="313"/>
      <c r="AZ58" s="313"/>
      <c r="BA58" s="313"/>
      <c r="BB58" s="313"/>
      <c r="BC58" s="313"/>
      <c r="BD58" s="313"/>
      <c r="BE58" s="313"/>
      <c r="BF58" s="313"/>
      <c r="BG58" s="313"/>
      <c r="BH58" s="313"/>
      <c r="BI58" s="313"/>
      <c r="BJ58" s="313"/>
      <c r="BK58" s="134"/>
      <c r="BL58" s="134"/>
      <c r="BM58" s="134"/>
      <c r="BN58" s="134"/>
      <c r="BO58" s="134"/>
      <c r="BP58" s="134"/>
      <c r="BQ58" s="134"/>
      <c r="BR58" s="134"/>
      <c r="BS58" s="134"/>
      <c r="BT58" s="134"/>
      <c r="BU58" s="134"/>
      <c r="BV58" s="134"/>
      <c r="BW58" s="134"/>
      <c r="BX58" s="134"/>
      <c r="BY58" s="134"/>
      <c r="BZ58" s="134"/>
      <c r="CA58" s="134"/>
      <c r="CB58" s="134"/>
      <c r="CC58" s="134"/>
      <c r="CD58" s="134"/>
      <c r="CE58" s="134"/>
      <c r="CF58" s="134"/>
      <c r="CG58" s="134"/>
      <c r="CH58" s="134"/>
      <c r="CI58" s="134"/>
      <c r="CJ58" s="134"/>
      <c r="CK58" s="134"/>
      <c r="CL58" s="134"/>
      <c r="CM58" s="134"/>
      <c r="CN58" s="134"/>
      <c r="CO58" s="134"/>
      <c r="CP58" s="134"/>
      <c r="CQ58" s="134"/>
      <c r="CR58" s="134"/>
      <c r="CS58" s="134"/>
      <c r="CT58" s="134"/>
      <c r="CU58" s="134"/>
      <c r="CV58" s="134"/>
      <c r="CW58" s="134"/>
      <c r="CX58" s="134"/>
      <c r="CY58" s="134"/>
      <c r="CZ58" s="134"/>
      <c r="DA58" s="134"/>
      <c r="DB58" s="134"/>
      <c r="DC58" s="134"/>
      <c r="DD58" s="134"/>
      <c r="DE58" s="134"/>
      <c r="DF58" s="134"/>
      <c r="DG58" s="134"/>
      <c r="DH58" s="134"/>
      <c r="DI58" s="134"/>
      <c r="DJ58" s="134"/>
      <c r="DK58" s="134"/>
      <c r="DL58" s="134"/>
      <c r="DM58" s="134"/>
      <c r="DN58" s="134"/>
      <c r="DO58" s="134"/>
      <c r="DP58" s="134"/>
      <c r="DQ58" s="134"/>
      <c r="DR58" s="134"/>
      <c r="DS58" s="134"/>
      <c r="DT58" s="134"/>
      <c r="DU58" s="134"/>
      <c r="DV58" s="134"/>
      <c r="DW58" s="134"/>
      <c r="DX58" s="134"/>
      <c r="DY58" s="134"/>
      <c r="DZ58" s="134"/>
      <c r="EA58" s="134"/>
      <c r="EB58" s="134"/>
      <c r="EC58" s="134"/>
      <c r="ED58" s="134"/>
      <c r="EE58" s="134"/>
      <c r="EF58" s="134"/>
      <c r="EG58" s="134"/>
      <c r="EH58" s="134"/>
      <c r="EI58" s="134"/>
      <c r="EJ58" s="134"/>
      <c r="EK58" s="134"/>
      <c r="EL58" s="134"/>
      <c r="EM58" s="134"/>
      <c r="EN58" s="134"/>
      <c r="EO58" s="134"/>
      <c r="EP58" s="134"/>
      <c r="EQ58" s="134"/>
      <c r="ER58" s="134"/>
      <c r="ES58" s="134"/>
      <c r="ET58" s="134"/>
      <c r="EU58" s="134"/>
      <c r="EV58" s="134"/>
      <c r="EW58" s="134"/>
      <c r="EX58" s="134"/>
      <c r="EY58" s="134"/>
      <c r="EZ58" s="134"/>
      <c r="FA58" s="134"/>
      <c r="FB58" s="134"/>
      <c r="FC58" s="134"/>
      <c r="FD58" s="134"/>
      <c r="FE58" s="134"/>
      <c r="FF58" s="134"/>
      <c r="FG58" s="134"/>
      <c r="FH58" s="134"/>
      <c r="FI58" s="134"/>
      <c r="FJ58" s="134"/>
    </row>
    <row r="59" spans="1:166">
      <c r="A59" s="491"/>
      <c r="B59" s="497"/>
      <c r="C59" s="497"/>
      <c r="D59" s="507"/>
      <c r="E59" s="507"/>
      <c r="F59" s="512"/>
      <c r="G59" s="512"/>
      <c r="H59" s="512"/>
      <c r="I59" s="512"/>
      <c r="J59" s="497"/>
      <c r="K59" s="498"/>
      <c r="L59" s="495"/>
      <c r="M59" s="512"/>
      <c r="N59" s="512"/>
      <c r="O59" s="508"/>
      <c r="P59" s="491"/>
      <c r="Q59" s="486"/>
      <c r="R59" s="486"/>
      <c r="S59" s="486"/>
      <c r="T59" s="486"/>
      <c r="U59" s="486"/>
      <c r="V59" s="490"/>
      <c r="W59" s="490"/>
      <c r="X59" s="490"/>
      <c r="Y59" s="490"/>
      <c r="Z59" s="490"/>
      <c r="AA59" s="518"/>
      <c r="AB59" s="518"/>
      <c r="AC59" s="490"/>
      <c r="AD59" s="490"/>
      <c r="AE59" s="490"/>
      <c r="AF59" s="490"/>
      <c r="AG59" s="490"/>
      <c r="AH59" s="490"/>
      <c r="AI59" s="490"/>
      <c r="AJ59" s="490"/>
      <c r="AK59" s="490"/>
      <c r="AL59" s="490"/>
      <c r="AM59" s="312"/>
      <c r="AN59" s="312"/>
      <c r="AO59" s="312"/>
      <c r="AP59" s="312"/>
      <c r="AQ59" s="312"/>
      <c r="AR59" s="313"/>
      <c r="AS59" s="313"/>
      <c r="AT59" s="313"/>
      <c r="AU59" s="313"/>
      <c r="AV59" s="313"/>
      <c r="AW59" s="313"/>
      <c r="AX59" s="313"/>
      <c r="AY59" s="313"/>
      <c r="AZ59" s="313"/>
      <c r="BA59" s="313"/>
      <c r="BB59" s="313"/>
      <c r="BC59" s="313"/>
      <c r="BD59" s="313"/>
      <c r="BE59" s="313"/>
      <c r="BF59" s="313"/>
      <c r="BG59" s="313"/>
      <c r="BH59" s="313"/>
      <c r="BI59" s="313"/>
      <c r="BJ59" s="313"/>
      <c r="BK59" s="134"/>
      <c r="BL59" s="134"/>
      <c r="BM59" s="134"/>
      <c r="BN59" s="134"/>
      <c r="BO59" s="134"/>
      <c r="BP59" s="134"/>
      <c r="BQ59" s="134"/>
      <c r="BR59" s="134"/>
      <c r="BS59" s="134"/>
      <c r="BT59" s="134"/>
      <c r="BU59" s="134"/>
      <c r="BV59" s="134"/>
      <c r="BW59" s="134"/>
      <c r="BX59" s="134"/>
      <c r="BY59" s="134"/>
      <c r="BZ59" s="134"/>
      <c r="CA59" s="134"/>
      <c r="CB59" s="134"/>
      <c r="CC59" s="134"/>
      <c r="CD59" s="134"/>
      <c r="CE59" s="134"/>
      <c r="CF59" s="134"/>
      <c r="CG59" s="134"/>
      <c r="CH59" s="134"/>
      <c r="CI59" s="134"/>
      <c r="CJ59" s="134"/>
      <c r="CK59" s="134"/>
      <c r="CL59" s="134"/>
      <c r="CM59" s="134"/>
      <c r="CN59" s="134"/>
      <c r="CO59" s="134"/>
      <c r="CP59" s="134"/>
      <c r="CQ59" s="134"/>
      <c r="CR59" s="134"/>
      <c r="CS59" s="134"/>
      <c r="CT59" s="134"/>
      <c r="CU59" s="134"/>
      <c r="CV59" s="134"/>
      <c r="CW59" s="134"/>
      <c r="CX59" s="134"/>
      <c r="CY59" s="134"/>
      <c r="CZ59" s="134"/>
      <c r="DA59" s="134"/>
      <c r="DB59" s="134"/>
      <c r="DC59" s="134"/>
      <c r="DD59" s="134"/>
      <c r="DE59" s="134"/>
      <c r="DF59" s="134"/>
      <c r="DG59" s="134"/>
      <c r="DH59" s="134"/>
      <c r="DI59" s="134"/>
      <c r="DJ59" s="134"/>
      <c r="DK59" s="134"/>
      <c r="DL59" s="134"/>
      <c r="DM59" s="134"/>
      <c r="DN59" s="134"/>
      <c r="DO59" s="134"/>
      <c r="DP59" s="134"/>
      <c r="DQ59" s="134"/>
      <c r="DR59" s="134"/>
      <c r="DS59" s="134"/>
      <c r="DT59" s="134"/>
      <c r="DU59" s="134"/>
      <c r="DV59" s="134"/>
      <c r="DW59" s="134"/>
      <c r="DX59" s="134"/>
      <c r="DY59" s="134"/>
      <c r="DZ59" s="134"/>
      <c r="EA59" s="134"/>
      <c r="EB59" s="134"/>
      <c r="EC59" s="134"/>
      <c r="ED59" s="134"/>
      <c r="EE59" s="134"/>
      <c r="EF59" s="134"/>
      <c r="EG59" s="134"/>
      <c r="EH59" s="134"/>
      <c r="EI59" s="134"/>
      <c r="EJ59" s="134"/>
      <c r="EK59" s="134"/>
      <c r="EL59" s="134"/>
      <c r="EM59" s="134"/>
      <c r="EN59" s="134"/>
      <c r="EO59" s="134"/>
      <c r="EP59" s="134"/>
      <c r="EQ59" s="134"/>
      <c r="ER59" s="134"/>
      <c r="ES59" s="134"/>
      <c r="ET59" s="134"/>
      <c r="EU59" s="134"/>
      <c r="EV59" s="134"/>
      <c r="EW59" s="134"/>
      <c r="EX59" s="134"/>
      <c r="EY59" s="134"/>
      <c r="EZ59" s="134"/>
      <c r="FA59" s="134"/>
      <c r="FB59" s="134"/>
      <c r="FC59" s="134"/>
      <c r="FD59" s="134"/>
      <c r="FE59" s="134"/>
      <c r="FF59" s="134"/>
      <c r="FG59" s="134"/>
      <c r="FH59" s="134"/>
      <c r="FI59" s="134"/>
      <c r="FJ59" s="134"/>
    </row>
    <row r="60" spans="1:166">
      <c r="A60" s="491"/>
      <c r="B60" s="497"/>
      <c r="C60" s="497"/>
      <c r="D60" s="507"/>
      <c r="E60" s="507"/>
      <c r="F60" s="512"/>
      <c r="G60" s="512"/>
      <c r="H60" s="512"/>
      <c r="I60" s="512"/>
      <c r="J60" s="497"/>
      <c r="K60" s="498"/>
      <c r="L60" s="495"/>
      <c r="M60" s="512"/>
      <c r="N60" s="512"/>
      <c r="O60" s="508"/>
      <c r="P60" s="491"/>
      <c r="Q60" s="486"/>
      <c r="R60" s="486"/>
      <c r="S60" s="486"/>
      <c r="T60" s="486"/>
      <c r="U60" s="486"/>
      <c r="V60" s="490"/>
      <c r="W60" s="490"/>
      <c r="X60" s="490"/>
      <c r="Y60" s="490"/>
      <c r="Z60" s="490"/>
      <c r="AA60" s="518"/>
      <c r="AB60" s="518"/>
      <c r="AC60" s="490"/>
      <c r="AD60" s="490"/>
      <c r="AE60" s="490"/>
      <c r="AF60" s="490"/>
      <c r="AG60" s="490"/>
      <c r="AH60" s="490"/>
      <c r="AI60" s="490"/>
      <c r="AJ60" s="490"/>
      <c r="AK60" s="490"/>
      <c r="AL60" s="490"/>
      <c r="AM60" s="312"/>
      <c r="AN60" s="312"/>
      <c r="AO60" s="312"/>
      <c r="AP60" s="312"/>
      <c r="AQ60" s="312"/>
      <c r="AR60" s="313"/>
      <c r="AS60" s="313"/>
      <c r="AT60" s="313"/>
      <c r="AU60" s="313"/>
      <c r="AV60" s="313"/>
      <c r="AW60" s="313"/>
      <c r="AX60" s="313"/>
      <c r="AY60" s="313"/>
      <c r="AZ60" s="313"/>
      <c r="BA60" s="313"/>
      <c r="BB60" s="313"/>
      <c r="BC60" s="313"/>
      <c r="BD60" s="313"/>
      <c r="BE60" s="313"/>
      <c r="BF60" s="313"/>
      <c r="BG60" s="313"/>
      <c r="BH60" s="313"/>
      <c r="BI60" s="313"/>
      <c r="BJ60" s="313"/>
      <c r="BK60" s="134"/>
      <c r="BL60" s="134"/>
      <c r="BM60" s="134"/>
      <c r="BN60" s="134"/>
      <c r="BO60" s="134"/>
      <c r="BP60" s="134"/>
      <c r="BQ60" s="134"/>
      <c r="BR60" s="134"/>
      <c r="BS60" s="134"/>
      <c r="BT60" s="134"/>
      <c r="BU60" s="134"/>
      <c r="BV60" s="134"/>
      <c r="BW60" s="134"/>
      <c r="BX60" s="134"/>
      <c r="BY60" s="134"/>
      <c r="BZ60" s="134"/>
      <c r="CA60" s="134"/>
      <c r="CB60" s="134"/>
      <c r="CC60" s="134"/>
      <c r="CD60" s="134"/>
      <c r="CE60" s="134"/>
      <c r="CF60" s="134"/>
      <c r="CG60" s="134"/>
      <c r="CH60" s="134"/>
      <c r="CI60" s="134"/>
      <c r="CJ60" s="134"/>
      <c r="CK60" s="134"/>
      <c r="CL60" s="134"/>
      <c r="CM60" s="134"/>
      <c r="CN60" s="134"/>
      <c r="CO60" s="134"/>
      <c r="CP60" s="134"/>
      <c r="CQ60" s="134"/>
      <c r="CR60" s="134"/>
      <c r="CS60" s="134"/>
      <c r="CT60" s="134"/>
      <c r="CU60" s="134"/>
      <c r="CV60" s="134"/>
      <c r="CW60" s="134"/>
      <c r="CX60" s="134"/>
      <c r="CY60" s="134"/>
      <c r="CZ60" s="134"/>
      <c r="DA60" s="134"/>
      <c r="DB60" s="134"/>
      <c r="DC60" s="134"/>
      <c r="DD60" s="134"/>
      <c r="DE60" s="134"/>
      <c r="DF60" s="134"/>
      <c r="DG60" s="134"/>
      <c r="DH60" s="134"/>
      <c r="DI60" s="134"/>
      <c r="DJ60" s="134"/>
      <c r="DK60" s="134"/>
      <c r="DL60" s="134"/>
      <c r="DM60" s="134"/>
      <c r="DN60" s="134"/>
      <c r="DO60" s="134"/>
      <c r="DP60" s="134"/>
      <c r="DQ60" s="134"/>
      <c r="DR60" s="134"/>
      <c r="DS60" s="134"/>
      <c r="DT60" s="134"/>
      <c r="DU60" s="134"/>
      <c r="DV60" s="134"/>
      <c r="DW60" s="134"/>
      <c r="DX60" s="134"/>
      <c r="DY60" s="134"/>
      <c r="DZ60" s="134"/>
      <c r="EA60" s="134"/>
      <c r="EB60" s="134"/>
      <c r="EC60" s="134"/>
      <c r="ED60" s="134"/>
      <c r="EE60" s="134"/>
      <c r="EF60" s="134"/>
      <c r="EG60" s="134"/>
      <c r="EH60" s="134"/>
      <c r="EI60" s="134"/>
      <c r="EJ60" s="134"/>
      <c r="EK60" s="134"/>
      <c r="EL60" s="134"/>
      <c r="EM60" s="134"/>
      <c r="EN60" s="134"/>
      <c r="EO60" s="134"/>
      <c r="EP60" s="134"/>
      <c r="EQ60" s="134"/>
      <c r="ER60" s="134"/>
      <c r="ES60" s="134"/>
      <c r="ET60" s="134"/>
      <c r="EU60" s="134"/>
      <c r="EV60" s="134"/>
      <c r="EW60" s="134"/>
      <c r="EX60" s="134"/>
      <c r="EY60" s="134"/>
      <c r="EZ60" s="134"/>
      <c r="FA60" s="134"/>
      <c r="FB60" s="134"/>
      <c r="FC60" s="134"/>
      <c r="FD60" s="134"/>
      <c r="FE60" s="134"/>
      <c r="FF60" s="134"/>
      <c r="FG60" s="134"/>
      <c r="FH60" s="134"/>
      <c r="FI60" s="134"/>
      <c r="FJ60" s="134"/>
    </row>
    <row r="61" spans="1:166">
      <c r="A61" s="491"/>
      <c r="B61" s="497"/>
      <c r="C61" s="497"/>
      <c r="D61" s="507"/>
      <c r="E61" s="507"/>
      <c r="F61" s="512"/>
      <c r="G61" s="512"/>
      <c r="H61" s="512"/>
      <c r="I61" s="512"/>
      <c r="J61" s="497"/>
      <c r="K61" s="498"/>
      <c r="L61" s="495"/>
      <c r="M61" s="512"/>
      <c r="N61" s="512"/>
      <c r="O61" s="508"/>
      <c r="P61" s="491"/>
      <c r="Q61" s="486"/>
      <c r="R61" s="486"/>
      <c r="S61" s="486"/>
      <c r="T61" s="486"/>
      <c r="U61" s="486"/>
      <c r="V61" s="490"/>
      <c r="W61" s="490"/>
      <c r="X61" s="490"/>
      <c r="Y61" s="490"/>
      <c r="Z61" s="490"/>
      <c r="AA61" s="518"/>
      <c r="AB61" s="518"/>
      <c r="AC61" s="490"/>
      <c r="AD61" s="490"/>
      <c r="AE61" s="490"/>
      <c r="AF61" s="490"/>
      <c r="AG61" s="490"/>
      <c r="AH61" s="490"/>
      <c r="AI61" s="490"/>
      <c r="AJ61" s="490"/>
      <c r="AK61" s="490"/>
      <c r="AL61" s="490"/>
      <c r="AM61" s="312"/>
      <c r="AN61" s="312"/>
      <c r="AO61" s="312"/>
      <c r="AP61" s="312"/>
      <c r="AQ61" s="312"/>
      <c r="AR61" s="313"/>
      <c r="AS61" s="313"/>
      <c r="AT61" s="313"/>
      <c r="AU61" s="313"/>
      <c r="AV61" s="313"/>
      <c r="AW61" s="313"/>
      <c r="AX61" s="313"/>
      <c r="AY61" s="313"/>
      <c r="AZ61" s="313"/>
      <c r="BA61" s="313"/>
      <c r="BB61" s="313"/>
      <c r="BC61" s="313"/>
      <c r="BD61" s="313"/>
      <c r="BE61" s="313"/>
      <c r="BF61" s="313"/>
      <c r="BG61" s="313"/>
      <c r="BH61" s="313"/>
      <c r="BI61" s="313"/>
      <c r="BJ61" s="313"/>
      <c r="BK61" s="134"/>
      <c r="BL61" s="134"/>
      <c r="BM61" s="134"/>
      <c r="BN61" s="134"/>
      <c r="BO61" s="134"/>
      <c r="BP61" s="134"/>
      <c r="BQ61" s="134"/>
      <c r="BR61" s="134"/>
      <c r="BS61" s="134"/>
      <c r="BT61" s="134"/>
      <c r="BU61" s="134"/>
      <c r="BV61" s="134"/>
      <c r="BW61" s="134"/>
      <c r="BX61" s="134"/>
      <c r="BY61" s="134"/>
      <c r="BZ61" s="134"/>
      <c r="CA61" s="134"/>
      <c r="CB61" s="134"/>
      <c r="CC61" s="134"/>
      <c r="CD61" s="134"/>
      <c r="CE61" s="134"/>
      <c r="CF61" s="134"/>
      <c r="CG61" s="134"/>
      <c r="CH61" s="134"/>
      <c r="CI61" s="134"/>
      <c r="CJ61" s="134"/>
      <c r="CK61" s="134"/>
      <c r="CL61" s="134"/>
      <c r="CM61" s="134"/>
      <c r="CN61" s="134"/>
      <c r="CO61" s="134"/>
      <c r="CP61" s="134"/>
      <c r="CQ61" s="134"/>
      <c r="CR61" s="134"/>
      <c r="CS61" s="134"/>
      <c r="CT61" s="134"/>
      <c r="CU61" s="134"/>
      <c r="CV61" s="134"/>
      <c r="CW61" s="134"/>
      <c r="CX61" s="134"/>
      <c r="CY61" s="134"/>
      <c r="CZ61" s="134"/>
      <c r="DA61" s="134"/>
      <c r="DB61" s="134"/>
      <c r="DC61" s="134"/>
      <c r="DD61" s="134"/>
      <c r="DE61" s="134"/>
      <c r="DF61" s="134"/>
      <c r="DG61" s="134"/>
      <c r="DH61" s="134"/>
      <c r="DI61" s="134"/>
      <c r="DJ61" s="134"/>
      <c r="DK61" s="134"/>
      <c r="DL61" s="134"/>
      <c r="DM61" s="134"/>
      <c r="DN61" s="134"/>
      <c r="DO61" s="134"/>
      <c r="DP61" s="134"/>
      <c r="DQ61" s="134"/>
      <c r="DR61" s="134"/>
      <c r="DS61" s="134"/>
      <c r="DT61" s="134"/>
      <c r="DU61" s="134"/>
      <c r="DV61" s="134"/>
      <c r="DW61" s="134"/>
      <c r="DX61" s="134"/>
      <c r="DY61" s="134"/>
      <c r="DZ61" s="134"/>
      <c r="EA61" s="134"/>
      <c r="EB61" s="134"/>
      <c r="EC61" s="134"/>
      <c r="ED61" s="134"/>
      <c r="EE61" s="134"/>
      <c r="EF61" s="134"/>
      <c r="EG61" s="134"/>
      <c r="EH61" s="134"/>
      <c r="EI61" s="134"/>
      <c r="EJ61" s="134"/>
      <c r="EK61" s="134"/>
      <c r="EL61" s="134"/>
      <c r="EM61" s="134"/>
      <c r="EN61" s="134"/>
      <c r="EO61" s="134"/>
      <c r="EP61" s="134"/>
      <c r="EQ61" s="134"/>
      <c r="ER61" s="134"/>
      <c r="ES61" s="134"/>
      <c r="ET61" s="134"/>
      <c r="EU61" s="134"/>
      <c r="EV61" s="134"/>
      <c r="EW61" s="134"/>
      <c r="EX61" s="134"/>
      <c r="EY61" s="134"/>
      <c r="EZ61" s="134"/>
      <c r="FA61" s="134"/>
      <c r="FB61" s="134"/>
      <c r="FC61" s="134"/>
      <c r="FD61" s="134"/>
      <c r="FE61" s="134"/>
      <c r="FF61" s="134"/>
      <c r="FG61" s="134"/>
      <c r="FH61" s="134"/>
      <c r="FI61" s="134"/>
      <c r="FJ61" s="134"/>
    </row>
    <row r="62" spans="1:166">
      <c r="A62" s="491"/>
      <c r="B62" s="497"/>
      <c r="C62" s="497"/>
      <c r="D62" s="507"/>
      <c r="E62" s="507"/>
      <c r="F62" s="512"/>
      <c r="G62" s="512"/>
      <c r="H62" s="512"/>
      <c r="I62" s="512"/>
      <c r="J62" s="497"/>
      <c r="K62" s="498"/>
      <c r="L62" s="495"/>
      <c r="M62" s="512"/>
      <c r="N62" s="512"/>
      <c r="O62" s="508"/>
      <c r="P62" s="491"/>
      <c r="Q62" s="486"/>
      <c r="R62" s="486"/>
      <c r="S62" s="486"/>
      <c r="T62" s="486"/>
      <c r="U62" s="486"/>
      <c r="V62" s="490"/>
      <c r="W62" s="490"/>
      <c r="X62" s="490"/>
      <c r="Y62" s="490"/>
      <c r="Z62" s="490"/>
      <c r="AA62" s="518"/>
      <c r="AB62" s="518"/>
      <c r="AC62" s="490"/>
      <c r="AD62" s="490"/>
      <c r="AE62" s="490"/>
      <c r="AF62" s="490"/>
      <c r="AG62" s="490"/>
      <c r="AH62" s="490"/>
      <c r="AI62" s="490"/>
      <c r="AJ62" s="490"/>
      <c r="AK62" s="490"/>
      <c r="AL62" s="490"/>
      <c r="AM62" s="312"/>
      <c r="AN62" s="312"/>
      <c r="AO62" s="312"/>
      <c r="AP62" s="312"/>
      <c r="AQ62" s="312"/>
      <c r="AR62" s="313"/>
      <c r="AS62" s="313"/>
      <c r="AT62" s="313"/>
      <c r="AU62" s="313"/>
      <c r="AV62" s="313"/>
      <c r="AW62" s="313"/>
      <c r="AX62" s="313"/>
      <c r="AY62" s="313"/>
      <c r="AZ62" s="313"/>
      <c r="BA62" s="313"/>
      <c r="BB62" s="313"/>
      <c r="BC62" s="313"/>
      <c r="BD62" s="313"/>
      <c r="BE62" s="313"/>
      <c r="BF62" s="313"/>
      <c r="BG62" s="313"/>
      <c r="BH62" s="313"/>
      <c r="BI62" s="313"/>
      <c r="BJ62" s="313"/>
      <c r="BK62" s="134"/>
      <c r="BL62" s="134"/>
      <c r="BM62" s="134"/>
      <c r="BN62" s="134"/>
      <c r="BO62" s="134"/>
      <c r="BP62" s="134"/>
      <c r="BQ62" s="134"/>
      <c r="BR62" s="134"/>
      <c r="BS62" s="134"/>
      <c r="BT62" s="134"/>
      <c r="BU62" s="134"/>
      <c r="BV62" s="134"/>
      <c r="BW62" s="134"/>
      <c r="BX62" s="134"/>
      <c r="BY62" s="134"/>
      <c r="BZ62" s="134"/>
      <c r="CA62" s="134"/>
      <c r="CB62" s="134"/>
      <c r="CC62" s="134"/>
      <c r="CD62" s="134"/>
      <c r="CE62" s="134"/>
      <c r="CF62" s="134"/>
      <c r="CG62" s="134"/>
      <c r="CH62" s="134"/>
      <c r="CI62" s="134"/>
      <c r="CJ62" s="134"/>
      <c r="CK62" s="134"/>
      <c r="CL62" s="134"/>
      <c r="CM62" s="134"/>
      <c r="CN62" s="134"/>
      <c r="CO62" s="134"/>
      <c r="CP62" s="134"/>
      <c r="CQ62" s="134"/>
      <c r="CR62" s="134"/>
      <c r="CS62" s="134"/>
      <c r="CT62" s="134"/>
      <c r="CU62" s="134"/>
      <c r="CV62" s="134"/>
      <c r="CW62" s="134"/>
      <c r="CX62" s="134"/>
      <c r="CY62" s="134"/>
      <c r="CZ62" s="134"/>
      <c r="DA62" s="134"/>
      <c r="DB62" s="134"/>
      <c r="DC62" s="134"/>
      <c r="DD62" s="134"/>
      <c r="DE62" s="134"/>
      <c r="DF62" s="134"/>
      <c r="DG62" s="134"/>
      <c r="DH62" s="134"/>
      <c r="DI62" s="134"/>
      <c r="DJ62" s="134"/>
      <c r="DK62" s="134"/>
      <c r="DL62" s="134"/>
      <c r="DM62" s="134"/>
      <c r="DN62" s="134"/>
      <c r="DO62" s="134"/>
      <c r="DP62" s="134"/>
      <c r="DQ62" s="134"/>
      <c r="DR62" s="134"/>
      <c r="DS62" s="134"/>
      <c r="DT62" s="134"/>
      <c r="DU62" s="134"/>
      <c r="DV62" s="134"/>
      <c r="DW62" s="134"/>
      <c r="DX62" s="134"/>
      <c r="DY62" s="134"/>
      <c r="DZ62" s="134"/>
      <c r="EA62" s="134"/>
      <c r="EB62" s="134"/>
      <c r="EC62" s="134"/>
      <c r="ED62" s="134"/>
      <c r="EE62" s="134"/>
      <c r="EF62" s="134"/>
      <c r="EG62" s="134"/>
      <c r="EH62" s="134"/>
      <c r="EI62" s="134"/>
      <c r="EJ62" s="134"/>
      <c r="EK62" s="134"/>
      <c r="EL62" s="134"/>
      <c r="EM62" s="134"/>
      <c r="EN62" s="134"/>
      <c r="EO62" s="134"/>
      <c r="EP62" s="134"/>
      <c r="EQ62" s="134"/>
      <c r="ER62" s="134"/>
      <c r="ES62" s="134"/>
      <c r="ET62" s="134"/>
      <c r="EU62" s="134"/>
      <c r="EV62" s="134"/>
      <c r="EW62" s="134"/>
      <c r="EX62" s="134"/>
      <c r="EY62" s="134"/>
      <c r="EZ62" s="134"/>
      <c r="FA62" s="134"/>
      <c r="FB62" s="134"/>
      <c r="FC62" s="134"/>
      <c r="FD62" s="134"/>
      <c r="FE62" s="134"/>
      <c r="FF62" s="134"/>
      <c r="FG62" s="134"/>
      <c r="FH62" s="134"/>
      <c r="FI62" s="134"/>
      <c r="FJ62" s="134"/>
    </row>
    <row r="63" spans="1:166">
      <c r="A63" s="491"/>
      <c r="B63" s="497"/>
      <c r="C63" s="497"/>
      <c r="D63" s="507"/>
      <c r="E63" s="507"/>
      <c r="F63" s="512"/>
      <c r="G63" s="512"/>
      <c r="H63" s="512"/>
      <c r="I63" s="512"/>
      <c r="J63" s="497"/>
      <c r="K63" s="498"/>
      <c r="L63" s="495"/>
      <c r="M63" s="512"/>
      <c r="N63" s="512"/>
      <c r="O63" s="508"/>
      <c r="P63" s="491"/>
      <c r="Q63" s="486"/>
      <c r="R63" s="486"/>
      <c r="S63" s="486"/>
      <c r="T63" s="486"/>
      <c r="U63" s="486"/>
      <c r="V63" s="490"/>
      <c r="W63" s="490"/>
      <c r="X63" s="490"/>
      <c r="Y63" s="490"/>
      <c r="Z63" s="490"/>
      <c r="AA63" s="518"/>
      <c r="AB63" s="518"/>
      <c r="AC63" s="490"/>
      <c r="AD63" s="490"/>
      <c r="AE63" s="490"/>
      <c r="AF63" s="490"/>
      <c r="AG63" s="490"/>
      <c r="AH63" s="490"/>
      <c r="AI63" s="490"/>
      <c r="AJ63" s="490"/>
      <c r="AK63" s="490"/>
      <c r="AL63" s="490"/>
      <c r="AM63" s="312"/>
      <c r="AN63" s="312"/>
      <c r="AO63" s="312"/>
      <c r="AP63" s="312"/>
      <c r="AQ63" s="312"/>
      <c r="AR63" s="313"/>
      <c r="AS63" s="313"/>
      <c r="AT63" s="313"/>
      <c r="AU63" s="313"/>
      <c r="AV63" s="313"/>
      <c r="AW63" s="313"/>
      <c r="AX63" s="313"/>
      <c r="AY63" s="313"/>
      <c r="AZ63" s="313"/>
      <c r="BA63" s="313"/>
      <c r="BB63" s="313"/>
      <c r="BC63" s="313"/>
      <c r="BD63" s="313"/>
      <c r="BE63" s="313"/>
      <c r="BF63" s="313"/>
      <c r="BG63" s="313"/>
      <c r="BH63" s="313"/>
      <c r="BI63" s="313"/>
      <c r="BJ63" s="313"/>
      <c r="BK63" s="134"/>
      <c r="BL63" s="134"/>
      <c r="BM63" s="134"/>
      <c r="BN63" s="134"/>
      <c r="BO63" s="134"/>
      <c r="BP63" s="134"/>
      <c r="BQ63" s="134"/>
      <c r="BR63" s="134"/>
      <c r="BS63" s="134"/>
      <c r="BT63" s="134"/>
      <c r="BU63" s="134"/>
      <c r="BV63" s="134"/>
      <c r="BW63" s="134"/>
      <c r="BX63" s="134"/>
      <c r="BY63" s="134"/>
      <c r="BZ63" s="134"/>
      <c r="CA63" s="134"/>
      <c r="CB63" s="134"/>
      <c r="CC63" s="134"/>
      <c r="CD63" s="134"/>
      <c r="CE63" s="134"/>
      <c r="CF63" s="134"/>
      <c r="CG63" s="134"/>
      <c r="CH63" s="134"/>
      <c r="CI63" s="134"/>
      <c r="CJ63" s="134"/>
      <c r="CK63" s="134"/>
      <c r="CL63" s="134"/>
      <c r="CM63" s="134"/>
      <c r="CN63" s="134"/>
      <c r="CO63" s="134"/>
      <c r="CP63" s="134"/>
      <c r="CQ63" s="134"/>
      <c r="CR63" s="134"/>
      <c r="CS63" s="134"/>
      <c r="CT63" s="134"/>
      <c r="CU63" s="134"/>
      <c r="CV63" s="134"/>
      <c r="CW63" s="134"/>
      <c r="CX63" s="134"/>
      <c r="CY63" s="134"/>
      <c r="CZ63" s="134"/>
      <c r="DA63" s="134"/>
      <c r="DB63" s="134"/>
      <c r="DC63" s="134"/>
      <c r="DD63" s="134"/>
      <c r="DE63" s="134"/>
      <c r="DF63" s="134"/>
      <c r="DG63" s="134"/>
      <c r="DH63" s="134"/>
      <c r="DI63" s="134"/>
      <c r="DJ63" s="134"/>
      <c r="DK63" s="134"/>
      <c r="DL63" s="134"/>
      <c r="DM63" s="134"/>
      <c r="DN63" s="134"/>
      <c r="DO63" s="134"/>
      <c r="DP63" s="134"/>
      <c r="DQ63" s="134"/>
      <c r="DR63" s="134"/>
      <c r="DS63" s="134"/>
      <c r="DT63" s="134"/>
      <c r="DU63" s="134"/>
      <c r="DV63" s="134"/>
      <c r="DW63" s="134"/>
      <c r="DX63" s="134"/>
      <c r="DY63" s="134"/>
      <c r="DZ63" s="134"/>
      <c r="EA63" s="134"/>
      <c r="EB63" s="134"/>
      <c r="EC63" s="134"/>
      <c r="ED63" s="134"/>
      <c r="EE63" s="134"/>
      <c r="EF63" s="134"/>
      <c r="EG63" s="134"/>
      <c r="EH63" s="134"/>
      <c r="EI63" s="134"/>
      <c r="EJ63" s="134"/>
      <c r="EK63" s="134"/>
      <c r="EL63" s="134"/>
      <c r="EM63" s="134"/>
      <c r="EN63" s="134"/>
      <c r="EO63" s="134"/>
      <c r="EP63" s="134"/>
      <c r="EQ63" s="134"/>
      <c r="ER63" s="134"/>
      <c r="ES63" s="134"/>
      <c r="ET63" s="134"/>
      <c r="EU63" s="134"/>
      <c r="EV63" s="134"/>
      <c r="EW63" s="134"/>
      <c r="EX63" s="134"/>
      <c r="EY63" s="134"/>
      <c r="EZ63" s="134"/>
      <c r="FA63" s="134"/>
      <c r="FB63" s="134"/>
      <c r="FC63" s="134"/>
      <c r="FD63" s="134"/>
      <c r="FE63" s="134"/>
      <c r="FF63" s="134"/>
      <c r="FG63" s="134"/>
      <c r="FH63" s="134"/>
      <c r="FI63" s="134"/>
      <c r="FJ63" s="134"/>
    </row>
    <row r="64" spans="1:166">
      <c r="A64" s="491"/>
      <c r="B64" s="497"/>
      <c r="C64" s="497"/>
      <c r="D64" s="507"/>
      <c r="E64" s="507"/>
      <c r="F64" s="512"/>
      <c r="G64" s="512"/>
      <c r="H64" s="512"/>
      <c r="I64" s="512"/>
      <c r="J64" s="497"/>
      <c r="K64" s="498"/>
      <c r="L64" s="495"/>
      <c r="M64" s="512"/>
      <c r="N64" s="512"/>
      <c r="O64" s="508"/>
      <c r="P64" s="491"/>
      <c r="Q64" s="486"/>
      <c r="R64" s="486"/>
      <c r="S64" s="486"/>
      <c r="T64" s="486"/>
      <c r="U64" s="486"/>
      <c r="V64" s="490"/>
      <c r="W64" s="490"/>
      <c r="X64" s="490"/>
      <c r="Y64" s="490"/>
      <c r="Z64" s="490"/>
      <c r="AA64" s="518"/>
      <c r="AB64" s="518"/>
      <c r="AC64" s="490"/>
      <c r="AD64" s="490"/>
      <c r="AE64" s="490"/>
      <c r="AF64" s="490"/>
      <c r="AG64" s="490"/>
      <c r="AH64" s="490"/>
      <c r="AI64" s="490"/>
      <c r="AJ64" s="490"/>
      <c r="AK64" s="490"/>
      <c r="AL64" s="490"/>
      <c r="AM64" s="312"/>
      <c r="AN64" s="312"/>
      <c r="AO64" s="312"/>
      <c r="AP64" s="312"/>
      <c r="AQ64" s="312"/>
      <c r="AR64" s="313"/>
      <c r="AS64" s="313"/>
      <c r="AT64" s="313"/>
      <c r="AU64" s="313"/>
      <c r="AV64" s="313"/>
      <c r="AW64" s="313"/>
      <c r="AX64" s="313"/>
      <c r="AY64" s="313"/>
      <c r="AZ64" s="313"/>
      <c r="BA64" s="313"/>
      <c r="BB64" s="313"/>
      <c r="BC64" s="313"/>
      <c r="BD64" s="313"/>
      <c r="BE64" s="313"/>
      <c r="BF64" s="313"/>
      <c r="BG64" s="313"/>
      <c r="BH64" s="313"/>
      <c r="BI64" s="313"/>
      <c r="BJ64" s="313"/>
      <c r="BK64" s="134"/>
      <c r="BL64" s="134"/>
      <c r="BM64" s="134"/>
      <c r="BN64" s="134"/>
      <c r="BO64" s="134"/>
      <c r="BP64" s="134"/>
      <c r="BQ64" s="134"/>
      <c r="BR64" s="134"/>
      <c r="BS64" s="134"/>
      <c r="BT64" s="134"/>
      <c r="BU64" s="134"/>
      <c r="BV64" s="134"/>
      <c r="BW64" s="134"/>
      <c r="BX64" s="134"/>
      <c r="BY64" s="134"/>
      <c r="BZ64" s="134"/>
      <c r="CA64" s="134"/>
      <c r="CB64" s="134"/>
      <c r="CC64" s="134"/>
      <c r="CD64" s="134"/>
      <c r="CE64" s="134"/>
      <c r="CF64" s="134"/>
      <c r="CG64" s="134"/>
      <c r="CH64" s="134"/>
      <c r="CI64" s="134"/>
      <c r="CJ64" s="134"/>
      <c r="CK64" s="134"/>
      <c r="CL64" s="134"/>
      <c r="CM64" s="134"/>
      <c r="CN64" s="134"/>
      <c r="CO64" s="134"/>
      <c r="CP64" s="134"/>
      <c r="CQ64" s="134"/>
      <c r="CR64" s="134"/>
      <c r="CS64" s="134"/>
      <c r="CT64" s="134"/>
      <c r="CU64" s="134"/>
      <c r="CV64" s="134"/>
      <c r="CW64" s="134"/>
      <c r="CX64" s="134"/>
      <c r="CY64" s="134"/>
      <c r="CZ64" s="134"/>
      <c r="DA64" s="134"/>
      <c r="DB64" s="134"/>
      <c r="DC64" s="134"/>
      <c r="DD64" s="134"/>
      <c r="DE64" s="134"/>
      <c r="DF64" s="134"/>
      <c r="DG64" s="134"/>
      <c r="DH64" s="134"/>
      <c r="DI64" s="134"/>
      <c r="DJ64" s="134"/>
      <c r="DK64" s="134"/>
      <c r="DL64" s="134"/>
      <c r="DM64" s="134"/>
      <c r="DN64" s="134"/>
      <c r="DO64" s="134"/>
      <c r="DP64" s="134"/>
      <c r="DQ64" s="134"/>
      <c r="DR64" s="134"/>
      <c r="DS64" s="134"/>
      <c r="DT64" s="134"/>
      <c r="DU64" s="134"/>
      <c r="DV64" s="134"/>
      <c r="DW64" s="134"/>
      <c r="DX64" s="134"/>
      <c r="DY64" s="134"/>
      <c r="DZ64" s="134"/>
      <c r="EA64" s="134"/>
      <c r="EB64" s="134"/>
      <c r="EC64" s="134"/>
      <c r="ED64" s="134"/>
      <c r="EE64" s="134"/>
      <c r="EF64" s="134"/>
      <c r="EG64" s="134"/>
      <c r="EH64" s="134"/>
      <c r="EI64" s="134"/>
      <c r="EJ64" s="134"/>
      <c r="EK64" s="134"/>
      <c r="EL64" s="134"/>
      <c r="EM64" s="134"/>
      <c r="EN64" s="134"/>
      <c r="EO64" s="134"/>
      <c r="EP64" s="134"/>
      <c r="EQ64" s="134"/>
      <c r="ER64" s="134"/>
      <c r="ES64" s="134"/>
      <c r="ET64" s="134"/>
      <c r="EU64" s="134"/>
      <c r="EV64" s="134"/>
      <c r="EW64" s="134"/>
      <c r="EX64" s="134"/>
      <c r="EY64" s="134"/>
      <c r="EZ64" s="134"/>
      <c r="FA64" s="134"/>
      <c r="FB64" s="134"/>
      <c r="FC64" s="134"/>
      <c r="FD64" s="134"/>
      <c r="FE64" s="134"/>
      <c r="FF64" s="134"/>
      <c r="FG64" s="134"/>
      <c r="FH64" s="134"/>
      <c r="FI64" s="134"/>
      <c r="FJ64" s="134"/>
    </row>
    <row r="65" spans="1:166">
      <c r="A65" s="491"/>
      <c r="B65" s="497"/>
      <c r="C65" s="497"/>
      <c r="D65" s="507"/>
      <c r="E65" s="507"/>
      <c r="F65" s="512"/>
      <c r="G65" s="512"/>
      <c r="H65" s="512"/>
      <c r="I65" s="512"/>
      <c r="J65" s="497"/>
      <c r="K65" s="498"/>
      <c r="L65" s="495"/>
      <c r="M65" s="512"/>
      <c r="N65" s="512"/>
      <c r="O65" s="508"/>
      <c r="P65" s="491"/>
      <c r="Q65" s="486"/>
      <c r="R65" s="486"/>
      <c r="S65" s="486"/>
      <c r="T65" s="486"/>
      <c r="U65" s="486"/>
      <c r="V65" s="490"/>
      <c r="W65" s="490"/>
      <c r="X65" s="490"/>
      <c r="Y65" s="490"/>
      <c r="Z65" s="490"/>
      <c r="AA65" s="518"/>
      <c r="AB65" s="518"/>
      <c r="AC65" s="490"/>
      <c r="AD65" s="490"/>
      <c r="AE65" s="490"/>
      <c r="AF65" s="490"/>
      <c r="AG65" s="490"/>
      <c r="AH65" s="490"/>
      <c r="AI65" s="490"/>
      <c r="AJ65" s="490"/>
      <c r="AK65" s="490"/>
      <c r="AL65" s="490"/>
      <c r="AM65" s="312"/>
      <c r="AN65" s="312"/>
      <c r="AO65" s="312"/>
      <c r="AP65" s="312"/>
      <c r="AQ65" s="312"/>
      <c r="AR65" s="313"/>
      <c r="AS65" s="313"/>
      <c r="AT65" s="313"/>
      <c r="AU65" s="313"/>
      <c r="AV65" s="313"/>
      <c r="AW65" s="313"/>
      <c r="AX65" s="313"/>
      <c r="AY65" s="313"/>
      <c r="AZ65" s="313"/>
      <c r="BA65" s="313"/>
      <c r="BB65" s="313"/>
      <c r="BC65" s="313"/>
      <c r="BD65" s="313"/>
      <c r="BE65" s="313"/>
      <c r="BF65" s="313"/>
      <c r="BG65" s="313"/>
      <c r="BH65" s="313"/>
      <c r="BI65" s="313"/>
      <c r="BJ65" s="313"/>
      <c r="BK65" s="134"/>
      <c r="BL65" s="134"/>
      <c r="BM65" s="134"/>
      <c r="BN65" s="134"/>
      <c r="BO65" s="134"/>
      <c r="BP65" s="134"/>
      <c r="BQ65" s="134"/>
      <c r="BR65" s="134"/>
      <c r="BS65" s="134"/>
      <c r="BT65" s="134"/>
      <c r="BU65" s="134"/>
      <c r="BV65" s="134"/>
      <c r="BW65" s="134"/>
      <c r="BX65" s="134"/>
      <c r="BY65" s="134"/>
      <c r="BZ65" s="134"/>
      <c r="CA65" s="134"/>
      <c r="CB65" s="134"/>
      <c r="CC65" s="134"/>
      <c r="CD65" s="134"/>
      <c r="CE65" s="134"/>
      <c r="CF65" s="134"/>
      <c r="CG65" s="134"/>
      <c r="CH65" s="134"/>
      <c r="CI65" s="134"/>
      <c r="CJ65" s="134"/>
      <c r="CK65" s="134"/>
      <c r="CL65" s="134"/>
      <c r="CM65" s="134"/>
      <c r="CN65" s="134"/>
      <c r="CO65" s="134"/>
      <c r="CP65" s="134"/>
      <c r="CQ65" s="134"/>
      <c r="CR65" s="134"/>
      <c r="CS65" s="134"/>
      <c r="CT65" s="134"/>
      <c r="CU65" s="134"/>
      <c r="CV65" s="134"/>
      <c r="CW65" s="134"/>
      <c r="CX65" s="134"/>
      <c r="CY65" s="134"/>
      <c r="CZ65" s="134"/>
      <c r="DA65" s="134"/>
      <c r="DB65" s="134"/>
      <c r="DC65" s="134"/>
      <c r="DD65" s="134"/>
      <c r="DE65" s="134"/>
      <c r="DF65" s="134"/>
      <c r="DG65" s="134"/>
      <c r="DH65" s="134"/>
      <c r="DI65" s="134"/>
      <c r="DJ65" s="134"/>
      <c r="DK65" s="134"/>
      <c r="DL65" s="134"/>
      <c r="DM65" s="134"/>
      <c r="DN65" s="134"/>
      <c r="DO65" s="134"/>
      <c r="DP65" s="134"/>
      <c r="DQ65" s="134"/>
      <c r="DR65" s="134"/>
      <c r="DS65" s="134"/>
      <c r="DT65" s="134"/>
      <c r="DU65" s="134"/>
      <c r="DV65" s="134"/>
      <c r="DW65" s="134"/>
      <c r="DX65" s="134"/>
      <c r="DY65" s="134"/>
      <c r="DZ65" s="134"/>
      <c r="EA65" s="134"/>
      <c r="EB65" s="134"/>
      <c r="EC65" s="134"/>
      <c r="ED65" s="134"/>
      <c r="EE65" s="134"/>
      <c r="EF65" s="134"/>
      <c r="EG65" s="134"/>
      <c r="EH65" s="134"/>
      <c r="EI65" s="134"/>
      <c r="EJ65" s="134"/>
      <c r="EK65" s="134"/>
      <c r="EL65" s="134"/>
      <c r="EM65" s="134"/>
      <c r="EN65" s="134"/>
      <c r="EO65" s="134"/>
      <c r="EP65" s="134"/>
      <c r="EQ65" s="134"/>
      <c r="ER65" s="134"/>
      <c r="ES65" s="134"/>
      <c r="ET65" s="134"/>
      <c r="EU65" s="134"/>
      <c r="EV65" s="134"/>
      <c r="EW65" s="134"/>
      <c r="EX65" s="134"/>
      <c r="EY65" s="134"/>
      <c r="EZ65" s="134"/>
      <c r="FA65" s="134"/>
      <c r="FB65" s="134"/>
      <c r="FC65" s="134"/>
      <c r="FD65" s="134"/>
      <c r="FE65" s="134"/>
      <c r="FF65" s="134"/>
      <c r="FG65" s="134"/>
      <c r="FH65" s="134"/>
      <c r="FI65" s="134"/>
      <c r="FJ65" s="134"/>
    </row>
    <row r="66" spans="1:166">
      <c r="A66" s="491"/>
      <c r="B66" s="497"/>
      <c r="C66" s="497"/>
      <c r="D66" s="507"/>
      <c r="E66" s="507"/>
      <c r="F66" s="512"/>
      <c r="G66" s="512"/>
      <c r="H66" s="512"/>
      <c r="I66" s="512"/>
      <c r="J66" s="497"/>
      <c r="K66" s="498"/>
      <c r="L66" s="495"/>
      <c r="M66" s="512"/>
      <c r="N66" s="512"/>
      <c r="O66" s="508"/>
      <c r="P66" s="491"/>
      <c r="Q66" s="486"/>
      <c r="R66" s="486"/>
      <c r="S66" s="486"/>
      <c r="T66" s="486"/>
      <c r="U66" s="486"/>
      <c r="V66" s="490"/>
      <c r="W66" s="490"/>
      <c r="X66" s="490"/>
      <c r="Y66" s="490"/>
      <c r="Z66" s="490"/>
      <c r="AA66" s="518"/>
      <c r="AB66" s="518"/>
      <c r="AC66" s="490"/>
      <c r="AD66" s="490"/>
      <c r="AE66" s="490"/>
      <c r="AF66" s="490"/>
      <c r="AG66" s="490"/>
      <c r="AH66" s="490"/>
      <c r="AI66" s="490"/>
      <c r="AJ66" s="490"/>
      <c r="AK66" s="490"/>
      <c r="AL66" s="490"/>
      <c r="AM66" s="312"/>
      <c r="AN66" s="312"/>
      <c r="AO66" s="312"/>
      <c r="AP66" s="312"/>
      <c r="AQ66" s="312"/>
      <c r="AR66" s="313"/>
      <c r="AS66" s="313"/>
      <c r="AT66" s="313"/>
      <c r="AU66" s="313"/>
      <c r="AV66" s="313"/>
      <c r="AW66" s="313"/>
      <c r="AX66" s="313"/>
      <c r="AY66" s="313"/>
      <c r="AZ66" s="313"/>
      <c r="BA66" s="313"/>
      <c r="BB66" s="313"/>
      <c r="BC66" s="313"/>
      <c r="BD66" s="313"/>
      <c r="BE66" s="313"/>
      <c r="BF66" s="313"/>
      <c r="BG66" s="313"/>
      <c r="BH66" s="313"/>
      <c r="BI66" s="313"/>
      <c r="BJ66" s="313"/>
      <c r="BK66" s="134"/>
      <c r="BL66" s="134"/>
      <c r="BM66" s="134"/>
      <c r="BN66" s="134"/>
      <c r="BO66" s="134"/>
      <c r="BP66" s="134"/>
      <c r="BQ66" s="134"/>
      <c r="BR66" s="134"/>
      <c r="BS66" s="134"/>
      <c r="BT66" s="134"/>
      <c r="BU66" s="134"/>
      <c r="BV66" s="134"/>
      <c r="BW66" s="134"/>
      <c r="BX66" s="134"/>
      <c r="BY66" s="134"/>
      <c r="BZ66" s="134"/>
      <c r="CA66" s="134"/>
      <c r="CB66" s="134"/>
      <c r="CC66" s="134"/>
      <c r="CD66" s="134"/>
      <c r="CE66" s="134"/>
      <c r="CF66" s="134"/>
      <c r="CG66" s="134"/>
      <c r="CH66" s="134"/>
      <c r="CI66" s="134"/>
      <c r="CJ66" s="134"/>
      <c r="CK66" s="134"/>
      <c r="CL66" s="134"/>
      <c r="CM66" s="134"/>
      <c r="CN66" s="134"/>
      <c r="CO66" s="134"/>
      <c r="CP66" s="134"/>
      <c r="CQ66" s="134"/>
      <c r="CR66" s="134"/>
      <c r="CS66" s="134"/>
      <c r="CT66" s="134"/>
      <c r="CU66" s="134"/>
      <c r="CV66" s="134"/>
      <c r="CW66" s="134"/>
      <c r="CX66" s="134"/>
      <c r="CY66" s="134"/>
      <c r="CZ66" s="134"/>
      <c r="DA66" s="134"/>
      <c r="DB66" s="134"/>
      <c r="DC66" s="134"/>
      <c r="DD66" s="134"/>
      <c r="DE66" s="134"/>
      <c r="DF66" s="134"/>
      <c r="DG66" s="134"/>
      <c r="DH66" s="134"/>
      <c r="DI66" s="134"/>
      <c r="DJ66" s="134"/>
      <c r="DK66" s="134"/>
      <c r="DL66" s="134"/>
      <c r="DM66" s="134"/>
      <c r="DN66" s="134"/>
      <c r="DO66" s="134"/>
      <c r="DP66" s="134"/>
      <c r="DQ66" s="134"/>
      <c r="DR66" s="134"/>
      <c r="DS66" s="134"/>
      <c r="DT66" s="134"/>
      <c r="DU66" s="134"/>
      <c r="DV66" s="134"/>
      <c r="DW66" s="134"/>
      <c r="DX66" s="134"/>
      <c r="DY66" s="134"/>
      <c r="DZ66" s="134"/>
      <c r="EA66" s="134"/>
      <c r="EB66" s="134"/>
      <c r="EC66" s="134"/>
      <c r="ED66" s="134"/>
      <c r="EE66" s="134"/>
      <c r="EF66" s="134"/>
      <c r="EG66" s="134"/>
      <c r="EH66" s="134"/>
      <c r="EI66" s="134"/>
      <c r="EJ66" s="134"/>
      <c r="EK66" s="134"/>
      <c r="EL66" s="134"/>
      <c r="EM66" s="134"/>
      <c r="EN66" s="134"/>
      <c r="EO66" s="134"/>
      <c r="EP66" s="134"/>
      <c r="EQ66" s="134"/>
      <c r="ER66" s="134"/>
      <c r="ES66" s="134"/>
      <c r="ET66" s="134"/>
      <c r="EU66" s="134"/>
      <c r="EV66" s="134"/>
      <c r="EW66" s="134"/>
      <c r="EX66" s="134"/>
      <c r="EY66" s="134"/>
      <c r="EZ66" s="134"/>
      <c r="FA66" s="134"/>
      <c r="FB66" s="134"/>
      <c r="FC66" s="134"/>
      <c r="FD66" s="134"/>
      <c r="FE66" s="134"/>
      <c r="FF66" s="134"/>
      <c r="FG66" s="134"/>
      <c r="FH66" s="134"/>
      <c r="FI66" s="134"/>
      <c r="FJ66" s="134"/>
    </row>
    <row r="67" spans="1:166">
      <c r="A67" s="491"/>
      <c r="B67" s="497"/>
      <c r="C67" s="497"/>
      <c r="D67" s="507"/>
      <c r="E67" s="507"/>
      <c r="F67" s="512"/>
      <c r="G67" s="512"/>
      <c r="H67" s="512"/>
      <c r="I67" s="512"/>
      <c r="J67" s="497"/>
      <c r="K67" s="498"/>
      <c r="L67" s="495"/>
      <c r="M67" s="512"/>
      <c r="N67" s="512"/>
      <c r="O67" s="508"/>
      <c r="P67" s="491"/>
      <c r="Q67" s="486"/>
      <c r="R67" s="486"/>
      <c r="S67" s="486"/>
      <c r="T67" s="486"/>
      <c r="U67" s="486"/>
      <c r="V67" s="490"/>
      <c r="W67" s="490"/>
      <c r="X67" s="490"/>
      <c r="Y67" s="490"/>
      <c r="Z67" s="490"/>
      <c r="AA67" s="518"/>
      <c r="AB67" s="518"/>
      <c r="AC67" s="490"/>
      <c r="AD67" s="490"/>
      <c r="AE67" s="490"/>
      <c r="AF67" s="490"/>
      <c r="AG67" s="490"/>
      <c r="AH67" s="490"/>
      <c r="AI67" s="490"/>
      <c r="AJ67" s="490"/>
      <c r="AK67" s="490"/>
      <c r="AL67" s="490"/>
      <c r="AM67" s="312"/>
      <c r="AN67" s="312"/>
      <c r="AO67" s="312"/>
      <c r="AP67" s="312"/>
      <c r="AQ67" s="312"/>
      <c r="AR67" s="313"/>
      <c r="AS67" s="313"/>
      <c r="AT67" s="313"/>
      <c r="AU67" s="313"/>
      <c r="AV67" s="313"/>
      <c r="AW67" s="313"/>
      <c r="AX67" s="313"/>
      <c r="AY67" s="313"/>
      <c r="AZ67" s="313"/>
      <c r="BA67" s="313"/>
      <c r="BB67" s="313"/>
      <c r="BC67" s="313"/>
      <c r="BD67" s="313"/>
      <c r="BE67" s="313"/>
      <c r="BF67" s="313"/>
      <c r="BG67" s="313"/>
      <c r="BH67" s="313"/>
      <c r="BI67" s="313"/>
      <c r="BJ67" s="313"/>
      <c r="BK67" s="134"/>
      <c r="BL67" s="134"/>
      <c r="BM67" s="134"/>
      <c r="BN67" s="134"/>
      <c r="BO67" s="134"/>
      <c r="BP67" s="134"/>
      <c r="BQ67" s="134"/>
      <c r="BR67" s="134"/>
      <c r="BS67" s="134"/>
      <c r="BT67" s="134"/>
      <c r="BU67" s="134"/>
      <c r="BV67" s="134"/>
      <c r="BW67" s="134"/>
      <c r="BX67" s="134"/>
      <c r="BY67" s="134"/>
      <c r="BZ67" s="134"/>
      <c r="CA67" s="134"/>
      <c r="CB67" s="134"/>
      <c r="CC67" s="134"/>
      <c r="CD67" s="134"/>
      <c r="CE67" s="134"/>
      <c r="CF67" s="134"/>
      <c r="CG67" s="134"/>
      <c r="CH67" s="134"/>
      <c r="CI67" s="134"/>
      <c r="CJ67" s="134"/>
      <c r="CK67" s="134"/>
      <c r="CL67" s="134"/>
      <c r="CM67" s="134"/>
      <c r="CN67" s="134"/>
      <c r="CO67" s="134"/>
      <c r="CP67" s="134"/>
      <c r="CQ67" s="134"/>
      <c r="CR67" s="134"/>
      <c r="CS67" s="134"/>
      <c r="CT67" s="134"/>
      <c r="CU67" s="134"/>
      <c r="CV67" s="134"/>
      <c r="CW67" s="134"/>
      <c r="CX67" s="134"/>
      <c r="CY67" s="134"/>
      <c r="CZ67" s="134"/>
      <c r="DA67" s="134"/>
      <c r="DB67" s="134"/>
      <c r="DC67" s="134"/>
      <c r="DD67" s="134"/>
      <c r="DE67" s="134"/>
      <c r="DF67" s="134"/>
      <c r="DG67" s="134"/>
      <c r="DH67" s="134"/>
      <c r="DI67" s="134"/>
      <c r="DJ67" s="134"/>
      <c r="DK67" s="134"/>
      <c r="DL67" s="134"/>
      <c r="DM67" s="134"/>
      <c r="DN67" s="134"/>
      <c r="DO67" s="134"/>
      <c r="DP67" s="134"/>
      <c r="DQ67" s="134"/>
      <c r="DR67" s="134"/>
      <c r="DS67" s="134"/>
      <c r="DT67" s="134"/>
      <c r="DU67" s="134"/>
      <c r="DV67" s="134"/>
      <c r="DW67" s="134"/>
      <c r="DX67" s="134"/>
      <c r="DY67" s="134"/>
      <c r="DZ67" s="134"/>
      <c r="EA67" s="134"/>
      <c r="EB67" s="134"/>
      <c r="EC67" s="134"/>
      <c r="ED67" s="134"/>
      <c r="EE67" s="134"/>
      <c r="EF67" s="134"/>
      <c r="EG67" s="134"/>
      <c r="EH67" s="134"/>
      <c r="EI67" s="134"/>
      <c r="EJ67" s="134"/>
      <c r="EK67" s="134"/>
      <c r="EL67" s="134"/>
      <c r="EM67" s="134"/>
      <c r="EN67" s="134"/>
      <c r="EO67" s="134"/>
      <c r="EP67" s="134"/>
      <c r="EQ67" s="134"/>
      <c r="ER67" s="134"/>
      <c r="ES67" s="134"/>
      <c r="ET67" s="134"/>
      <c r="EU67" s="134"/>
      <c r="EV67" s="134"/>
      <c r="EW67" s="134"/>
      <c r="EX67" s="134"/>
      <c r="EY67" s="134"/>
      <c r="EZ67" s="134"/>
      <c r="FA67" s="134"/>
      <c r="FB67" s="134"/>
      <c r="FC67" s="134"/>
      <c r="FD67" s="134"/>
      <c r="FE67" s="134"/>
      <c r="FF67" s="134"/>
      <c r="FG67" s="134"/>
      <c r="FH67" s="134"/>
      <c r="FI67" s="134"/>
      <c r="FJ67" s="134"/>
    </row>
    <row r="68" spans="1:166">
      <c r="A68" s="491"/>
      <c r="B68" s="497"/>
      <c r="C68" s="497"/>
      <c r="D68" s="507"/>
      <c r="E68" s="507"/>
      <c r="F68" s="512"/>
      <c r="G68" s="512"/>
      <c r="H68" s="512"/>
      <c r="I68" s="512"/>
      <c r="J68" s="497"/>
      <c r="K68" s="498"/>
      <c r="L68" s="495"/>
      <c r="M68" s="512"/>
      <c r="N68" s="512"/>
      <c r="O68" s="508"/>
      <c r="P68" s="491"/>
      <c r="Q68" s="486"/>
      <c r="R68" s="486"/>
      <c r="S68" s="486"/>
      <c r="T68" s="486"/>
      <c r="U68" s="486"/>
      <c r="V68" s="490"/>
      <c r="W68" s="490"/>
      <c r="X68" s="490"/>
      <c r="Y68" s="490"/>
      <c r="Z68" s="490"/>
      <c r="AA68" s="518"/>
      <c r="AB68" s="518"/>
      <c r="AC68" s="490"/>
      <c r="AD68" s="490"/>
      <c r="AE68" s="490"/>
      <c r="AF68" s="490"/>
      <c r="AG68" s="490"/>
      <c r="AH68" s="490"/>
      <c r="AI68" s="490"/>
      <c r="AJ68" s="490"/>
      <c r="AK68" s="490"/>
      <c r="AL68" s="490"/>
      <c r="AM68" s="312"/>
      <c r="AN68" s="312"/>
      <c r="AO68" s="312"/>
      <c r="AP68" s="312"/>
      <c r="AQ68" s="312"/>
      <c r="AR68" s="313"/>
      <c r="AS68" s="313"/>
      <c r="AT68" s="313"/>
      <c r="AU68" s="313"/>
      <c r="AV68" s="313"/>
      <c r="AW68" s="313"/>
      <c r="AX68" s="313"/>
      <c r="AY68" s="313"/>
      <c r="AZ68" s="313"/>
      <c r="BA68" s="313"/>
      <c r="BB68" s="313"/>
      <c r="BC68" s="313"/>
      <c r="BD68" s="313"/>
      <c r="BE68" s="313"/>
      <c r="BF68" s="313"/>
      <c r="BG68" s="313"/>
      <c r="BH68" s="313"/>
      <c r="BI68" s="313"/>
      <c r="BJ68" s="313"/>
      <c r="BK68" s="134"/>
      <c r="BL68" s="134"/>
      <c r="BM68" s="134"/>
      <c r="BN68" s="134"/>
      <c r="BO68" s="134"/>
      <c r="BP68" s="134"/>
      <c r="BQ68" s="134"/>
      <c r="BR68" s="134"/>
      <c r="BS68" s="134"/>
      <c r="BT68" s="134"/>
      <c r="BU68" s="134"/>
      <c r="BV68" s="134"/>
      <c r="BW68" s="134"/>
      <c r="BX68" s="134"/>
      <c r="BY68" s="134"/>
      <c r="BZ68" s="134"/>
      <c r="CA68" s="134"/>
      <c r="CB68" s="134"/>
      <c r="CC68" s="134"/>
      <c r="CD68" s="134"/>
      <c r="CE68" s="134"/>
      <c r="CF68" s="134"/>
      <c r="CG68" s="134"/>
      <c r="CH68" s="134"/>
      <c r="CI68" s="134"/>
      <c r="CJ68" s="134"/>
      <c r="CK68" s="134"/>
      <c r="CL68" s="134"/>
      <c r="CM68" s="134"/>
      <c r="CN68" s="134"/>
      <c r="CO68" s="134"/>
      <c r="CP68" s="134"/>
      <c r="CQ68" s="134"/>
      <c r="CR68" s="134"/>
      <c r="CS68" s="134"/>
      <c r="CT68" s="134"/>
      <c r="CU68" s="134"/>
      <c r="CV68" s="134"/>
      <c r="CW68" s="134"/>
      <c r="CX68" s="134"/>
      <c r="CY68" s="134"/>
      <c r="CZ68" s="134"/>
      <c r="DA68" s="134"/>
      <c r="DB68" s="134"/>
      <c r="DC68" s="134"/>
      <c r="DD68" s="134"/>
      <c r="DE68" s="134"/>
      <c r="DF68" s="134"/>
      <c r="DG68" s="134"/>
      <c r="DH68" s="134"/>
      <c r="DI68" s="134"/>
      <c r="DJ68" s="134"/>
      <c r="DK68" s="134"/>
      <c r="DL68" s="134"/>
      <c r="DM68" s="134"/>
      <c r="DN68" s="134"/>
      <c r="DO68" s="134"/>
      <c r="DP68" s="134"/>
      <c r="DQ68" s="134"/>
      <c r="DR68" s="134"/>
      <c r="DS68" s="134"/>
      <c r="DT68" s="134"/>
      <c r="DU68" s="134"/>
      <c r="DV68" s="134"/>
      <c r="DW68" s="134"/>
      <c r="DX68" s="134"/>
      <c r="DY68" s="134"/>
      <c r="DZ68" s="134"/>
      <c r="EA68" s="134"/>
      <c r="EB68" s="134"/>
      <c r="EC68" s="134"/>
      <c r="ED68" s="134"/>
      <c r="EE68" s="134"/>
      <c r="EF68" s="134"/>
      <c r="EG68" s="134"/>
      <c r="EH68" s="134"/>
      <c r="EI68" s="134"/>
      <c r="EJ68" s="134"/>
      <c r="EK68" s="134"/>
      <c r="EL68" s="134"/>
      <c r="EM68" s="134"/>
      <c r="EN68" s="134"/>
      <c r="EO68" s="134"/>
      <c r="EP68" s="134"/>
      <c r="EQ68" s="134"/>
      <c r="ER68" s="134"/>
      <c r="ES68" s="134"/>
      <c r="ET68" s="134"/>
      <c r="EU68" s="134"/>
      <c r="EV68" s="134"/>
      <c r="EW68" s="134"/>
      <c r="EX68" s="134"/>
      <c r="EY68" s="134"/>
      <c r="EZ68" s="134"/>
      <c r="FA68" s="134"/>
      <c r="FB68" s="134"/>
      <c r="FC68" s="134"/>
      <c r="FD68" s="134"/>
      <c r="FE68" s="134"/>
      <c r="FF68" s="134"/>
      <c r="FG68" s="134"/>
      <c r="FH68" s="134"/>
      <c r="FI68" s="134"/>
      <c r="FJ68" s="134"/>
    </row>
    <row r="69" spans="1:166">
      <c r="A69" s="491"/>
      <c r="B69" s="497"/>
      <c r="C69" s="497"/>
      <c r="D69" s="507"/>
      <c r="E69" s="507"/>
      <c r="F69" s="512"/>
      <c r="G69" s="512"/>
      <c r="H69" s="512"/>
      <c r="I69" s="512"/>
      <c r="J69" s="497"/>
      <c r="K69" s="498"/>
      <c r="L69" s="495"/>
      <c r="M69" s="512"/>
      <c r="N69" s="512"/>
      <c r="O69" s="508"/>
      <c r="P69" s="491"/>
      <c r="Q69" s="486"/>
      <c r="R69" s="486"/>
      <c r="S69" s="486"/>
      <c r="T69" s="486"/>
      <c r="U69" s="486"/>
      <c r="V69" s="490"/>
      <c r="W69" s="490"/>
      <c r="X69" s="490"/>
      <c r="Y69" s="490"/>
      <c r="Z69" s="490"/>
      <c r="AA69" s="518"/>
      <c r="AB69" s="518"/>
      <c r="AC69" s="490"/>
      <c r="AD69" s="490"/>
      <c r="AE69" s="490"/>
      <c r="AF69" s="490"/>
      <c r="AG69" s="490"/>
      <c r="AH69" s="490"/>
      <c r="AI69" s="490"/>
      <c r="AJ69" s="490"/>
      <c r="AK69" s="490"/>
      <c r="AL69" s="490"/>
      <c r="AM69" s="312"/>
      <c r="AN69" s="312"/>
      <c r="AO69" s="312"/>
      <c r="AP69" s="312"/>
      <c r="AQ69" s="312"/>
      <c r="AR69" s="313"/>
      <c r="AS69" s="313"/>
      <c r="AT69" s="313"/>
      <c r="AU69" s="313"/>
      <c r="AV69" s="313"/>
      <c r="AW69" s="313"/>
      <c r="AX69" s="313"/>
      <c r="AY69" s="313"/>
      <c r="AZ69" s="313"/>
      <c r="BA69" s="313"/>
      <c r="BB69" s="313"/>
      <c r="BC69" s="313"/>
      <c r="BD69" s="313"/>
      <c r="BE69" s="313"/>
      <c r="BF69" s="313"/>
      <c r="BG69" s="313"/>
      <c r="BH69" s="313"/>
      <c r="BI69" s="313"/>
      <c r="BJ69" s="313"/>
      <c r="BK69" s="134"/>
      <c r="BL69" s="134"/>
      <c r="BM69" s="134"/>
      <c r="BN69" s="134"/>
      <c r="BO69" s="134"/>
      <c r="BP69" s="134"/>
      <c r="BQ69" s="134"/>
      <c r="BR69" s="134"/>
      <c r="BS69" s="134"/>
      <c r="BT69" s="134"/>
      <c r="BU69" s="134"/>
      <c r="BV69" s="134"/>
      <c r="BW69" s="134"/>
      <c r="BX69" s="134"/>
      <c r="BY69" s="134"/>
      <c r="BZ69" s="134"/>
      <c r="CA69" s="134"/>
      <c r="CB69" s="134"/>
      <c r="CC69" s="134"/>
      <c r="CD69" s="134"/>
      <c r="CE69" s="134"/>
      <c r="CF69" s="134"/>
      <c r="CG69" s="134"/>
      <c r="CH69" s="134"/>
      <c r="CI69" s="134"/>
      <c r="CJ69" s="134"/>
      <c r="CK69" s="134"/>
      <c r="CL69" s="134"/>
      <c r="CM69" s="134"/>
      <c r="CN69" s="134"/>
      <c r="CO69" s="134"/>
      <c r="CP69" s="134"/>
      <c r="CQ69" s="134"/>
      <c r="CR69" s="134"/>
      <c r="CS69" s="134"/>
      <c r="CT69" s="134"/>
      <c r="CU69" s="134"/>
      <c r="CV69" s="134"/>
      <c r="CW69" s="134"/>
      <c r="CX69" s="134"/>
      <c r="CY69" s="134"/>
      <c r="CZ69" s="134"/>
      <c r="DA69" s="134"/>
      <c r="DB69" s="134"/>
      <c r="DC69" s="134"/>
      <c r="DD69" s="134"/>
      <c r="DE69" s="134"/>
      <c r="DF69" s="134"/>
      <c r="DG69" s="134"/>
      <c r="DH69" s="134"/>
      <c r="DI69" s="134"/>
      <c r="DJ69" s="134"/>
      <c r="DK69" s="134"/>
      <c r="DL69" s="134"/>
      <c r="DM69" s="134"/>
      <c r="DN69" s="134"/>
      <c r="DO69" s="134"/>
      <c r="DP69" s="134"/>
      <c r="DQ69" s="134"/>
      <c r="DR69" s="134"/>
      <c r="DS69" s="134"/>
      <c r="DT69" s="134"/>
      <c r="DU69" s="134"/>
      <c r="DV69" s="134"/>
      <c r="DW69" s="134"/>
      <c r="DX69" s="134"/>
      <c r="DY69" s="134"/>
      <c r="DZ69" s="134"/>
      <c r="EA69" s="134"/>
      <c r="EB69" s="134"/>
      <c r="EC69" s="134"/>
      <c r="ED69" s="134"/>
      <c r="EE69" s="134"/>
      <c r="EF69" s="134"/>
      <c r="EG69" s="134"/>
      <c r="EH69" s="134"/>
      <c r="EI69" s="134"/>
      <c r="EJ69" s="134"/>
      <c r="EK69" s="134"/>
      <c r="EL69" s="134"/>
      <c r="EM69" s="134"/>
      <c r="EN69" s="134"/>
      <c r="EO69" s="134"/>
      <c r="EP69" s="134"/>
      <c r="EQ69" s="134"/>
      <c r="ER69" s="134"/>
      <c r="ES69" s="134"/>
      <c r="ET69" s="134"/>
      <c r="EU69" s="134"/>
      <c r="EV69" s="134"/>
      <c r="EW69" s="134"/>
      <c r="EX69" s="134"/>
      <c r="EY69" s="134"/>
      <c r="EZ69" s="134"/>
      <c r="FA69" s="134"/>
      <c r="FB69" s="134"/>
      <c r="FC69" s="134"/>
      <c r="FD69" s="134"/>
      <c r="FE69" s="134"/>
      <c r="FF69" s="134"/>
      <c r="FG69" s="134"/>
      <c r="FH69" s="134"/>
      <c r="FI69" s="134"/>
      <c r="FJ69" s="134"/>
    </row>
    <row r="70" spans="1:166">
      <c r="A70" s="314"/>
      <c r="B70" s="319"/>
      <c r="C70" s="319"/>
      <c r="D70" s="320"/>
      <c r="E70" s="320"/>
      <c r="F70" s="322"/>
      <c r="G70" s="322"/>
      <c r="H70" s="322"/>
      <c r="I70" s="322"/>
      <c r="J70" s="316"/>
      <c r="K70" s="317"/>
      <c r="L70" s="315"/>
      <c r="M70" s="322"/>
      <c r="N70" s="322"/>
      <c r="O70" s="321"/>
      <c r="P70" s="314"/>
      <c r="Q70" s="311"/>
      <c r="R70" s="311"/>
      <c r="S70" s="311"/>
      <c r="T70" s="311"/>
      <c r="U70" s="311"/>
      <c r="V70" s="312"/>
      <c r="W70" s="312"/>
      <c r="X70" s="312"/>
      <c r="Y70" s="312"/>
      <c r="Z70" s="312"/>
      <c r="AA70" s="323"/>
      <c r="AB70" s="323"/>
      <c r="AC70" s="312"/>
      <c r="AD70" s="312"/>
      <c r="AE70" s="312"/>
      <c r="AF70" s="312"/>
      <c r="AG70" s="312"/>
      <c r="AH70" s="312"/>
      <c r="AI70" s="312"/>
      <c r="AJ70" s="312"/>
      <c r="AK70" s="312"/>
      <c r="AL70" s="312"/>
      <c r="AM70" s="312"/>
      <c r="AN70" s="312"/>
      <c r="AO70" s="312"/>
      <c r="AP70" s="312"/>
      <c r="AQ70" s="312"/>
      <c r="AR70" s="313"/>
      <c r="AS70" s="313"/>
      <c r="AT70" s="313"/>
      <c r="AU70" s="313"/>
      <c r="AV70" s="313"/>
      <c r="AW70" s="313"/>
      <c r="AX70" s="313"/>
      <c r="AY70" s="313"/>
      <c r="AZ70" s="313"/>
      <c r="BA70" s="313"/>
      <c r="BB70" s="313"/>
      <c r="BC70" s="313"/>
      <c r="BD70" s="313"/>
      <c r="BE70" s="313"/>
      <c r="BF70" s="313"/>
      <c r="BG70" s="313"/>
      <c r="BH70" s="313"/>
      <c r="BI70" s="313"/>
      <c r="BJ70" s="313"/>
      <c r="BK70" s="134"/>
      <c r="BL70" s="134"/>
      <c r="BM70" s="134"/>
      <c r="BN70" s="134"/>
      <c r="BO70" s="134"/>
      <c r="BP70" s="134"/>
      <c r="BQ70" s="134"/>
      <c r="BR70" s="134"/>
      <c r="BS70" s="134"/>
      <c r="BT70" s="134"/>
      <c r="BU70" s="134"/>
      <c r="BV70" s="134"/>
      <c r="BW70" s="134"/>
      <c r="BX70" s="134"/>
      <c r="BY70" s="134"/>
      <c r="BZ70" s="134"/>
      <c r="CA70" s="134"/>
      <c r="CB70" s="134"/>
      <c r="CC70" s="134"/>
      <c r="CD70" s="134"/>
      <c r="CE70" s="134"/>
      <c r="CF70" s="134"/>
      <c r="CG70" s="134"/>
      <c r="CH70" s="134"/>
      <c r="CI70" s="134"/>
      <c r="CJ70" s="134"/>
      <c r="CK70" s="134"/>
      <c r="CL70" s="134"/>
      <c r="CM70" s="134"/>
      <c r="CN70" s="134"/>
      <c r="CO70" s="134"/>
      <c r="CP70" s="134"/>
      <c r="CQ70" s="134"/>
      <c r="CR70" s="134"/>
      <c r="CS70" s="134"/>
      <c r="CT70" s="134"/>
      <c r="CU70" s="134"/>
      <c r="CV70" s="134"/>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row>
    <row r="71" spans="1:166">
      <c r="A71" s="120"/>
      <c r="B71" s="126"/>
      <c r="C71" s="126"/>
      <c r="D71" s="132"/>
      <c r="E71" s="132"/>
      <c r="F71" s="134"/>
      <c r="G71" s="134"/>
      <c r="H71" s="134"/>
      <c r="I71" s="134"/>
      <c r="J71" s="126"/>
      <c r="K71" s="127"/>
      <c r="L71" s="136"/>
      <c r="M71" s="134"/>
      <c r="N71" s="134"/>
      <c r="O71" s="134"/>
      <c r="P71" s="134"/>
      <c r="Q71" s="134"/>
      <c r="R71" s="134"/>
      <c r="S71" s="134"/>
      <c r="T71" s="134"/>
      <c r="U71" s="134"/>
      <c r="V71" s="134"/>
      <c r="W71" s="134"/>
      <c r="X71" s="134"/>
      <c r="Y71" s="134"/>
      <c r="Z71" s="134"/>
      <c r="AA71" s="134"/>
      <c r="AB71" s="134"/>
      <c r="AC71" s="134"/>
      <c r="AD71" s="134"/>
      <c r="AE71" s="134"/>
      <c r="AF71" s="134"/>
      <c r="AG71" s="134"/>
      <c r="AH71" s="134"/>
      <c r="AI71" s="134"/>
      <c r="AJ71" s="134"/>
      <c r="AK71" s="134"/>
      <c r="AL71" s="134"/>
      <c r="AM71" s="134"/>
      <c r="AN71" s="134"/>
      <c r="AO71" s="134"/>
      <c r="AP71" s="134"/>
      <c r="AQ71" s="134"/>
      <c r="AR71" s="134"/>
      <c r="AS71" s="134"/>
      <c r="AT71" s="134"/>
      <c r="AU71" s="134"/>
      <c r="AV71" s="134"/>
      <c r="AW71" s="134"/>
      <c r="AX71" s="134"/>
      <c r="AY71" s="134"/>
      <c r="AZ71" s="134"/>
      <c r="BA71" s="134"/>
      <c r="BB71" s="134"/>
      <c r="BC71" s="134"/>
      <c r="BD71" s="134"/>
      <c r="BE71" s="134"/>
      <c r="BF71" s="134"/>
      <c r="BG71" s="134"/>
      <c r="BH71" s="134"/>
      <c r="BI71" s="134"/>
      <c r="BJ71" s="134"/>
      <c r="BK71" s="134"/>
      <c r="BL71" s="134"/>
      <c r="BM71" s="134"/>
      <c r="BN71" s="134"/>
      <c r="BO71" s="134"/>
      <c r="BP71" s="134"/>
      <c r="BQ71" s="134"/>
      <c r="BR71" s="134"/>
      <c r="BS71" s="134"/>
      <c r="BT71" s="134"/>
      <c r="BU71" s="134"/>
      <c r="BV71" s="134"/>
      <c r="BW71" s="134"/>
      <c r="BX71" s="134"/>
      <c r="BY71" s="134"/>
      <c r="BZ71" s="134"/>
      <c r="CA71" s="134"/>
      <c r="CB71" s="134"/>
      <c r="CC71" s="134"/>
      <c r="CD71" s="134"/>
      <c r="CE71" s="134"/>
      <c r="CF71" s="134"/>
      <c r="CG71" s="134"/>
      <c r="CH71" s="134"/>
      <c r="CI71" s="134"/>
      <c r="CJ71" s="134"/>
      <c r="CK71" s="134"/>
      <c r="CL71" s="134"/>
      <c r="CM71" s="134"/>
      <c r="CN71" s="134"/>
      <c r="CO71" s="134"/>
      <c r="CP71" s="134"/>
      <c r="CQ71" s="134"/>
      <c r="CR71" s="134"/>
      <c r="CS71" s="134"/>
      <c r="CT71" s="134"/>
      <c r="CU71" s="134"/>
      <c r="CV71" s="134"/>
      <c r="CW71" s="134"/>
      <c r="CX71" s="134"/>
      <c r="CY71" s="134"/>
      <c r="CZ71" s="134"/>
      <c r="DA71" s="134"/>
      <c r="DB71" s="134"/>
      <c r="DC71" s="134"/>
      <c r="DD71" s="134"/>
      <c r="DE71" s="134"/>
      <c r="DF71" s="134"/>
      <c r="DG71" s="134"/>
      <c r="DH71" s="134"/>
      <c r="DI71" s="134"/>
      <c r="DJ71" s="134"/>
      <c r="DK71" s="134"/>
      <c r="DL71" s="134"/>
      <c r="DM71" s="134"/>
      <c r="DN71" s="134"/>
      <c r="DO71" s="134"/>
      <c r="DP71" s="134"/>
      <c r="DQ71" s="134"/>
      <c r="DR71" s="134"/>
      <c r="DS71" s="134"/>
      <c r="DT71" s="134"/>
      <c r="DU71" s="134"/>
      <c r="DV71" s="134"/>
      <c r="DW71" s="134"/>
      <c r="DX71" s="134"/>
      <c r="DY71" s="134"/>
      <c r="DZ71" s="134"/>
      <c r="EA71" s="134"/>
      <c r="EB71" s="134"/>
      <c r="EC71" s="134"/>
      <c r="ED71" s="134"/>
      <c r="EE71" s="134"/>
      <c r="EF71" s="134"/>
      <c r="EG71" s="134"/>
      <c r="EH71" s="134"/>
      <c r="EI71" s="134"/>
      <c r="EJ71" s="134"/>
      <c r="EK71" s="134"/>
      <c r="EL71" s="134"/>
      <c r="EM71" s="134"/>
      <c r="EN71" s="134"/>
      <c r="EO71" s="134"/>
      <c r="EP71" s="134"/>
      <c r="EQ71" s="134"/>
      <c r="ER71" s="134"/>
      <c r="ES71" s="134"/>
      <c r="ET71" s="134"/>
      <c r="EU71" s="134"/>
      <c r="EV71" s="134"/>
      <c r="EW71" s="134"/>
      <c r="EX71" s="134"/>
      <c r="EY71" s="134"/>
      <c r="EZ71" s="134"/>
      <c r="FA71" s="134"/>
      <c r="FB71" s="134"/>
      <c r="FC71" s="134"/>
      <c r="FD71" s="134"/>
      <c r="FE71" s="134"/>
      <c r="FF71" s="134"/>
      <c r="FG71" s="134"/>
      <c r="FH71" s="134"/>
      <c r="FI71" s="134"/>
      <c r="FJ71" s="134"/>
    </row>
    <row r="72" spans="1:166">
      <c r="A72" s="120"/>
      <c r="B72" s="126"/>
      <c r="C72" s="126"/>
      <c r="D72" s="132"/>
      <c r="E72" s="132"/>
      <c r="F72" s="134"/>
      <c r="G72" s="134"/>
      <c r="H72" s="134"/>
      <c r="I72" s="134"/>
      <c r="J72" s="126"/>
      <c r="K72" s="127"/>
      <c r="L72" s="136"/>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34"/>
      <c r="AX72" s="134"/>
      <c r="AY72" s="134"/>
      <c r="AZ72" s="134"/>
      <c r="BA72" s="134"/>
      <c r="BB72" s="134"/>
      <c r="BC72" s="134"/>
      <c r="BD72" s="134"/>
      <c r="BE72" s="134"/>
      <c r="BF72" s="134"/>
      <c r="BG72" s="134"/>
      <c r="BH72" s="134"/>
      <c r="BI72" s="134"/>
      <c r="BJ72" s="134"/>
      <c r="BK72" s="134"/>
      <c r="BL72" s="134"/>
      <c r="BM72" s="134"/>
      <c r="BN72" s="134"/>
      <c r="BO72" s="134"/>
      <c r="BP72" s="134"/>
      <c r="BQ72" s="134"/>
      <c r="BR72" s="134"/>
      <c r="BS72" s="134"/>
      <c r="BT72" s="134"/>
      <c r="BU72" s="134"/>
      <c r="BV72" s="134"/>
      <c r="BW72" s="134"/>
      <c r="BX72" s="134"/>
      <c r="BY72" s="134"/>
      <c r="BZ72" s="134"/>
      <c r="CA72" s="134"/>
      <c r="CB72" s="134"/>
      <c r="CC72" s="134"/>
      <c r="CD72" s="134"/>
      <c r="CE72" s="134"/>
      <c r="CF72" s="134"/>
      <c r="CG72" s="134"/>
      <c r="CH72" s="134"/>
      <c r="CI72" s="134"/>
      <c r="CJ72" s="134"/>
      <c r="CK72" s="134"/>
      <c r="CL72" s="134"/>
      <c r="CM72" s="134"/>
      <c r="CN72" s="134"/>
      <c r="CO72" s="134"/>
      <c r="CP72" s="134"/>
      <c r="CQ72" s="134"/>
      <c r="CR72" s="134"/>
      <c r="CS72" s="134"/>
      <c r="CT72" s="134"/>
      <c r="CU72" s="134"/>
      <c r="CV72" s="134"/>
      <c r="CW72" s="134"/>
      <c r="CX72" s="134"/>
      <c r="CY72" s="134"/>
      <c r="CZ72" s="134"/>
      <c r="DA72" s="134"/>
      <c r="DB72" s="134"/>
      <c r="DC72" s="134"/>
      <c r="DD72" s="134"/>
      <c r="DE72" s="134"/>
      <c r="DF72" s="134"/>
      <c r="DG72" s="134"/>
      <c r="DH72" s="134"/>
      <c r="DI72" s="134"/>
      <c r="DJ72" s="134"/>
      <c r="DK72" s="134"/>
      <c r="DL72" s="134"/>
      <c r="DM72" s="134"/>
      <c r="DN72" s="134"/>
      <c r="DO72" s="134"/>
      <c r="DP72" s="134"/>
      <c r="DQ72" s="134"/>
      <c r="DR72" s="134"/>
      <c r="DS72" s="134"/>
      <c r="DT72" s="134"/>
      <c r="DU72" s="134"/>
      <c r="DV72" s="134"/>
      <c r="DW72" s="134"/>
      <c r="DX72" s="134"/>
      <c r="DY72" s="134"/>
      <c r="DZ72" s="134"/>
      <c r="EA72" s="134"/>
      <c r="EB72" s="134"/>
      <c r="EC72" s="134"/>
      <c r="ED72" s="134"/>
      <c r="EE72" s="134"/>
      <c r="EF72" s="134"/>
      <c r="EG72" s="134"/>
      <c r="EH72" s="134"/>
      <c r="EI72" s="134"/>
      <c r="EJ72" s="134"/>
      <c r="EK72" s="134"/>
      <c r="EL72" s="134"/>
      <c r="EM72" s="134"/>
      <c r="EN72" s="134"/>
      <c r="EO72" s="134"/>
      <c r="EP72" s="134"/>
      <c r="EQ72" s="134"/>
      <c r="ER72" s="134"/>
      <c r="ES72" s="134"/>
      <c r="ET72" s="134"/>
      <c r="EU72" s="134"/>
      <c r="EV72" s="134"/>
      <c r="EW72" s="134"/>
      <c r="EX72" s="134"/>
      <c r="EY72" s="134"/>
      <c r="EZ72" s="134"/>
      <c r="FA72" s="134"/>
      <c r="FB72" s="134"/>
      <c r="FC72" s="134"/>
      <c r="FD72" s="134"/>
      <c r="FE72" s="134"/>
      <c r="FF72" s="134"/>
      <c r="FG72" s="134"/>
      <c r="FH72" s="134"/>
      <c r="FI72" s="134"/>
      <c r="FJ72" s="134"/>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F5A29-6B46-4F63-8BD8-D1B307AB5F8B}">
  <sheetPr codeName="Sheet19"/>
  <dimension ref="A2:S168"/>
  <sheetViews>
    <sheetView showGridLines="0" topLeftCell="A46" zoomScale="80" zoomScaleNormal="80" workbookViewId="0">
      <selection activeCell="AH66" sqref="AH66"/>
    </sheetView>
  </sheetViews>
  <sheetFormatPr defaultColWidth="8.5703125" defaultRowHeight="15"/>
  <cols>
    <col min="1" max="1" width="11.42578125" style="1" customWidth="1"/>
    <col min="2" max="4" width="12" style="12" customWidth="1"/>
    <col min="5" max="5" width="14.42578125" style="1" customWidth="1"/>
    <col min="6" max="7" width="9.5703125" style="1" bestFit="1" customWidth="1"/>
    <col min="8" max="8" width="12.140625" style="1" customWidth="1"/>
    <col min="9" max="9" width="15" style="1" customWidth="1"/>
    <col min="10" max="10" width="18" style="1" customWidth="1"/>
    <col min="11" max="11" width="10.5703125" style="1" bestFit="1" customWidth="1"/>
    <col min="12" max="16384" width="8.5703125" style="1"/>
  </cols>
  <sheetData>
    <row r="2" spans="1:13">
      <c r="B2" s="12">
        <v>2016</v>
      </c>
      <c r="C2" s="12">
        <v>2017</v>
      </c>
      <c r="D2" s="12">
        <v>2018</v>
      </c>
      <c r="E2" s="12">
        <v>2019</v>
      </c>
      <c r="F2" s="12">
        <f>E2+1</f>
        <v>2020</v>
      </c>
      <c r="G2" s="1">
        <f>F2+1</f>
        <v>2021</v>
      </c>
      <c r="H2" s="1">
        <f>G2+1</f>
        <v>2022</v>
      </c>
      <c r="I2" s="1">
        <f>H2+1</f>
        <v>2023</v>
      </c>
      <c r="J2" s="1">
        <f>I2+1</f>
        <v>2024</v>
      </c>
    </row>
    <row r="3" spans="1:13">
      <c r="A3" s="1" t="s">
        <v>144</v>
      </c>
      <c r="E3" s="12"/>
      <c r="F3" s="12"/>
    </row>
    <row r="4" spans="1:13">
      <c r="A4" s="1" t="s">
        <v>0</v>
      </c>
      <c r="B4" s="13">
        <f>Nigeria!C39</f>
        <v>0</v>
      </c>
      <c r="C4" s="13">
        <f>Nigeria!D39</f>
        <v>22750</v>
      </c>
      <c r="D4" s="13">
        <f>Nigeria!E39</f>
        <v>23090</v>
      </c>
      <c r="E4" s="13">
        <f>Nigeria!F39</f>
        <v>24196</v>
      </c>
      <c r="F4" s="13">
        <f>Nigeria!G39</f>
        <v>24834</v>
      </c>
      <c r="G4" s="2">
        <f>Nigeria!H39</f>
        <v>25621</v>
      </c>
      <c r="H4" s="2">
        <f>Nigeria!I39</f>
        <v>26210</v>
      </c>
      <c r="I4" s="2">
        <f>Nigeria!J39</f>
        <v>26009</v>
      </c>
      <c r="J4" s="2">
        <f>Nigeria!K39</f>
        <v>25740</v>
      </c>
      <c r="M4" s="5" t="e">
        <f>E4/$E$8</f>
        <v>#REF!</v>
      </c>
    </row>
    <row r="5" spans="1:13">
      <c r="A5" s="1" t="s">
        <v>134</v>
      </c>
      <c r="B5" s="13" t="e">
        <f>#REF!</f>
        <v>#REF!</v>
      </c>
      <c r="C5" s="13" t="e">
        <f>#REF!</f>
        <v>#REF!</v>
      </c>
      <c r="D5" s="13" t="e">
        <f>#REF!</f>
        <v>#REF!</v>
      </c>
      <c r="E5" s="13" t="e">
        <f>#REF!</f>
        <v>#REF!</v>
      </c>
      <c r="F5" s="13" t="e">
        <f>#REF!</f>
        <v>#REF!</v>
      </c>
      <c r="G5" s="2" t="e">
        <f>#REF!</f>
        <v>#REF!</v>
      </c>
      <c r="H5" s="2" t="e">
        <f>#REF!</f>
        <v>#REF!</v>
      </c>
      <c r="I5" s="2" t="e">
        <f>#REF!</f>
        <v>#REF!</v>
      </c>
      <c r="J5" s="2" t="e">
        <f>#REF!</f>
        <v>#REF!</v>
      </c>
      <c r="M5" s="5" t="e">
        <f>E5/$E$8</f>
        <v>#REF!</v>
      </c>
    </row>
    <row r="6" spans="1:13">
      <c r="A6" s="1" t="s">
        <v>135</v>
      </c>
      <c r="B6" s="13" t="e">
        <f>#REF!</f>
        <v>#REF!</v>
      </c>
      <c r="C6" s="13" t="e">
        <f>#REF!</f>
        <v>#REF!</v>
      </c>
      <c r="D6" s="13" t="e">
        <f>#REF!</f>
        <v>#REF!</v>
      </c>
      <c r="E6" s="13" t="e">
        <f>#REF!</f>
        <v>#REF!</v>
      </c>
      <c r="F6" s="13" t="e">
        <f>#REF!</f>
        <v>#REF!</v>
      </c>
      <c r="G6" s="2" t="e">
        <f>#REF!</f>
        <v>#REF!</v>
      </c>
      <c r="H6" s="2" t="e">
        <f>#REF!</f>
        <v>#REF!</v>
      </c>
      <c r="I6" s="2" t="e">
        <f>#REF!</f>
        <v>#REF!</v>
      </c>
      <c r="J6" s="2" t="e">
        <f>#REF!</f>
        <v>#REF!</v>
      </c>
      <c r="M6" s="5" t="e">
        <f>E6/$E$8</f>
        <v>#REF!</v>
      </c>
    </row>
    <row r="7" spans="1:13">
      <c r="A7" s="1" t="s">
        <v>136</v>
      </c>
      <c r="B7" s="13" t="e">
        <f>#REF!</f>
        <v>#REF!</v>
      </c>
      <c r="C7" s="13" t="e">
        <f>#REF!</f>
        <v>#REF!</v>
      </c>
      <c r="D7" s="13" t="e">
        <f>#REF!</f>
        <v>#REF!</v>
      </c>
      <c r="E7" s="13" t="e">
        <f>#REF!</f>
        <v>#REF!</v>
      </c>
      <c r="F7" s="13" t="e">
        <f>#REF!</f>
        <v>#REF!</v>
      </c>
      <c r="G7" s="2" t="e">
        <f>#REF!</f>
        <v>#REF!</v>
      </c>
      <c r="H7" s="2" t="e">
        <f>#REF!</f>
        <v>#REF!</v>
      </c>
      <c r="I7" s="2" t="e">
        <f>#REF!</f>
        <v>#REF!</v>
      </c>
      <c r="J7" s="2" t="e">
        <f>#REF!</f>
        <v>#REF!</v>
      </c>
      <c r="M7" s="5" t="e">
        <f>E7/$E$8</f>
        <v>#REF!</v>
      </c>
    </row>
    <row r="8" spans="1:13">
      <c r="B8" s="13" t="e">
        <f>SUM(B4:B7)</f>
        <v>#REF!</v>
      </c>
      <c r="C8" s="13" t="e">
        <f>SUM(C4:C7)</f>
        <v>#REF!</v>
      </c>
      <c r="D8" s="13" t="e">
        <f>SUM(D4:D7)</f>
        <v>#REF!</v>
      </c>
      <c r="E8" s="13" t="e">
        <f t="shared" ref="E8:J8" si="0">SUM(E4:E7)</f>
        <v>#REF!</v>
      </c>
      <c r="F8" s="13" t="e">
        <f t="shared" si="0"/>
        <v>#REF!</v>
      </c>
      <c r="G8" s="2" t="e">
        <f t="shared" si="0"/>
        <v>#REF!</v>
      </c>
      <c r="H8" s="2" t="e">
        <f t="shared" si="0"/>
        <v>#REF!</v>
      </c>
      <c r="I8" s="2" t="e">
        <f t="shared" si="0"/>
        <v>#REF!</v>
      </c>
      <c r="J8" s="2" t="e">
        <f t="shared" si="0"/>
        <v>#REF!</v>
      </c>
    </row>
    <row r="9" spans="1:13">
      <c r="C9" s="15" t="e">
        <f>C8/B8-1</f>
        <v>#REF!</v>
      </c>
      <c r="D9" s="15" t="e">
        <f t="shared" ref="D9:I9" si="1">D8/C8-1</f>
        <v>#REF!</v>
      </c>
      <c r="E9" s="15" t="e">
        <f t="shared" si="1"/>
        <v>#REF!</v>
      </c>
      <c r="F9" s="15" t="e">
        <f t="shared" si="1"/>
        <v>#REF!</v>
      </c>
      <c r="G9" s="15" t="e">
        <f t="shared" si="1"/>
        <v>#REF!</v>
      </c>
      <c r="H9" s="15" t="e">
        <f t="shared" si="1"/>
        <v>#REF!</v>
      </c>
      <c r="I9" s="15" t="e">
        <f t="shared" si="1"/>
        <v>#REF!</v>
      </c>
      <c r="J9" s="2" t="e">
        <f>J8-D8</f>
        <v>#REF!</v>
      </c>
    </row>
    <row r="10" spans="1:13">
      <c r="D10" s="12" t="e">
        <f>(D8/B8)^(1/2)-1</f>
        <v>#REF!</v>
      </c>
      <c r="E10" s="12"/>
      <c r="F10" s="12"/>
      <c r="I10" s="1" t="s">
        <v>147</v>
      </c>
      <c r="J10" s="1">
        <v>7500</v>
      </c>
      <c r="K10" s="1" t="s">
        <v>148</v>
      </c>
    </row>
    <row r="11" spans="1:13">
      <c r="D11" s="33" t="e">
        <f>D8</f>
        <v>#REF!</v>
      </c>
      <c r="E11" s="6" t="e">
        <f>D11+7500</f>
        <v>#REF!</v>
      </c>
      <c r="G11" s="1">
        <v>10</v>
      </c>
      <c r="H11" s="1">
        <v>15</v>
      </c>
    </row>
    <row r="12" spans="1:13">
      <c r="D12" s="33"/>
      <c r="E12" s="6"/>
    </row>
    <row r="13" spans="1:13">
      <c r="A13" s="1" t="s">
        <v>162</v>
      </c>
      <c r="B13" s="12">
        <f>B2</f>
        <v>2016</v>
      </c>
      <c r="C13" s="12">
        <f>B13+1</f>
        <v>2017</v>
      </c>
      <c r="D13" s="12">
        <f t="shared" ref="D13:I13" si="2">C13+1</f>
        <v>2018</v>
      </c>
      <c r="E13" s="12">
        <f t="shared" si="2"/>
        <v>2019</v>
      </c>
      <c r="F13" s="12">
        <f t="shared" si="2"/>
        <v>2020</v>
      </c>
      <c r="G13" s="12">
        <f t="shared" si="2"/>
        <v>2021</v>
      </c>
      <c r="H13" s="12">
        <f t="shared" si="2"/>
        <v>2022</v>
      </c>
      <c r="I13" s="12">
        <f t="shared" si="2"/>
        <v>2023</v>
      </c>
    </row>
    <row r="14" spans="1:13">
      <c r="A14" s="1" t="s">
        <v>0</v>
      </c>
      <c r="B14" s="13">
        <f>Nigeria!C20</f>
        <v>0</v>
      </c>
      <c r="C14" s="13">
        <f>Nigeria!D20</f>
        <v>16250</v>
      </c>
      <c r="D14" s="13">
        <f>Nigeria!E20</f>
        <v>16390</v>
      </c>
      <c r="E14" s="13">
        <f>Nigeria!F20</f>
        <v>16499</v>
      </c>
      <c r="F14" s="13">
        <f>Nigeria!G20</f>
        <v>16537</v>
      </c>
      <c r="G14" s="13">
        <f>Nigeria!H20</f>
        <v>16854</v>
      </c>
      <c r="H14" s="13">
        <f>Nigeria!I20</f>
        <v>16995</v>
      </c>
      <c r="I14" s="13">
        <f>Nigeria!J20</f>
        <v>16395</v>
      </c>
    </row>
    <row r="15" spans="1:13">
      <c r="A15" s="1" t="s">
        <v>134</v>
      </c>
      <c r="B15" s="13" t="e">
        <f>#REF!</f>
        <v>#REF!</v>
      </c>
      <c r="C15" s="13" t="e">
        <f>#REF!</f>
        <v>#REF!</v>
      </c>
      <c r="D15" s="13" t="e">
        <f>#REF!</f>
        <v>#REF!</v>
      </c>
      <c r="E15" s="13" t="e">
        <f>#REF!</f>
        <v>#REF!</v>
      </c>
      <c r="F15" s="13" t="e">
        <f>#REF!</f>
        <v>#REF!</v>
      </c>
      <c r="G15" s="13" t="e">
        <f>#REF!</f>
        <v>#REF!</v>
      </c>
      <c r="H15" s="13" t="e">
        <f>#REF!</f>
        <v>#REF!</v>
      </c>
      <c r="I15" s="13" t="e">
        <f>#REF!</f>
        <v>#REF!</v>
      </c>
    </row>
    <row r="16" spans="1:13">
      <c r="A16" s="1" t="s">
        <v>135</v>
      </c>
      <c r="B16" s="13" t="e">
        <f>#REF!</f>
        <v>#REF!</v>
      </c>
      <c r="C16" s="13" t="e">
        <f>#REF!</f>
        <v>#REF!</v>
      </c>
      <c r="D16" s="13" t="e">
        <f>#REF!</f>
        <v>#REF!</v>
      </c>
      <c r="E16" s="13" t="e">
        <f>#REF!</f>
        <v>#REF!</v>
      </c>
      <c r="F16" s="13" t="e">
        <f>#REF!</f>
        <v>#REF!</v>
      </c>
      <c r="G16" s="13" t="e">
        <f>#REF!</f>
        <v>#REF!</v>
      </c>
      <c r="H16" s="13" t="e">
        <f>#REF!</f>
        <v>#REF!</v>
      </c>
      <c r="I16" s="13" t="e">
        <f>#REF!</f>
        <v>#REF!</v>
      </c>
    </row>
    <row r="17" spans="1:10">
      <c r="A17" s="1" t="s">
        <v>136</v>
      </c>
      <c r="B17" s="13" t="e">
        <f>#REF!</f>
        <v>#REF!</v>
      </c>
      <c r="C17" s="13" t="e">
        <f>#REF!</f>
        <v>#REF!</v>
      </c>
      <c r="D17" s="13" t="e">
        <f>#REF!</f>
        <v>#REF!</v>
      </c>
      <c r="E17" s="13" t="e">
        <f>#REF!</f>
        <v>#REF!</v>
      </c>
      <c r="F17" s="13" t="e">
        <f>#REF!</f>
        <v>#REF!</v>
      </c>
      <c r="G17" s="13" t="e">
        <f>#REF!</f>
        <v>#REF!</v>
      </c>
      <c r="H17" s="13" t="e">
        <f>#REF!</f>
        <v>#REF!</v>
      </c>
      <c r="I17" s="13" t="e">
        <f>#REF!</f>
        <v>#REF!</v>
      </c>
    </row>
    <row r="18" spans="1:10">
      <c r="A18" s="1" t="s">
        <v>255</v>
      </c>
      <c r="B18" s="33" t="e">
        <f>SUM(B14:B17)</f>
        <v>#REF!</v>
      </c>
      <c r="C18" s="33" t="e">
        <f t="shared" ref="C18:J18" si="3">SUM(C14:C17)</f>
        <v>#REF!</v>
      </c>
      <c r="D18" s="33" t="e">
        <f t="shared" si="3"/>
        <v>#REF!</v>
      </c>
      <c r="E18" s="33" t="e">
        <f t="shared" si="3"/>
        <v>#REF!</v>
      </c>
      <c r="F18" s="33" t="e">
        <f t="shared" si="3"/>
        <v>#REF!</v>
      </c>
      <c r="G18" s="33" t="e">
        <f t="shared" si="3"/>
        <v>#REF!</v>
      </c>
      <c r="H18" s="33" t="e">
        <f t="shared" si="3"/>
        <v>#REF!</v>
      </c>
      <c r="I18" s="33" t="e">
        <f t="shared" si="3"/>
        <v>#REF!</v>
      </c>
      <c r="J18" s="33">
        <f t="shared" si="3"/>
        <v>0</v>
      </c>
    </row>
    <row r="19" spans="1:10">
      <c r="A19" s="1" t="s">
        <v>256</v>
      </c>
      <c r="B19" s="35" t="e">
        <f>B8/B18</f>
        <v>#REF!</v>
      </c>
      <c r="C19" s="35" t="e">
        <f t="shared" ref="C19:I19" si="4">C8/C18</f>
        <v>#REF!</v>
      </c>
      <c r="D19" s="35" t="e">
        <f t="shared" si="4"/>
        <v>#REF!</v>
      </c>
      <c r="E19" s="35" t="e">
        <f t="shared" si="4"/>
        <v>#REF!</v>
      </c>
      <c r="F19" s="35" t="e">
        <f t="shared" si="4"/>
        <v>#REF!</v>
      </c>
      <c r="G19" s="35" t="e">
        <f t="shared" si="4"/>
        <v>#REF!</v>
      </c>
      <c r="H19" s="35" t="e">
        <f t="shared" si="4"/>
        <v>#REF!</v>
      </c>
      <c r="I19" s="35" t="e">
        <f t="shared" si="4"/>
        <v>#REF!</v>
      </c>
    </row>
    <row r="20" spans="1:10">
      <c r="C20" s="14" t="e">
        <f>C19-B19</f>
        <v>#REF!</v>
      </c>
      <c r="D20" s="14" t="e">
        <f t="shared" ref="D20:I20" si="5">D19-C19</f>
        <v>#REF!</v>
      </c>
      <c r="E20" s="14" t="e">
        <f t="shared" si="5"/>
        <v>#REF!</v>
      </c>
      <c r="F20" s="14" t="e">
        <f t="shared" si="5"/>
        <v>#REF!</v>
      </c>
      <c r="G20" s="14" t="e">
        <f t="shared" si="5"/>
        <v>#REF!</v>
      </c>
      <c r="H20" s="14" t="e">
        <f t="shared" si="5"/>
        <v>#REF!</v>
      </c>
      <c r="I20" s="14" t="e">
        <f t="shared" si="5"/>
        <v>#REF!</v>
      </c>
    </row>
    <row r="21" spans="1:10">
      <c r="D21" s="33"/>
      <c r="E21" s="6"/>
    </row>
    <row r="22" spans="1:10">
      <c r="D22" s="33"/>
      <c r="E22" s="6"/>
    </row>
    <row r="23" spans="1:10">
      <c r="D23" s="33"/>
      <c r="E23" s="6"/>
    </row>
    <row r="24" spans="1:10">
      <c r="D24" s="33"/>
      <c r="E24" s="6"/>
    </row>
    <row r="25" spans="1:10">
      <c r="E25" s="3" t="e">
        <f>(E11/D11)^(1/3)-1</f>
        <v>#REF!</v>
      </c>
    </row>
    <row r="26" spans="1:10">
      <c r="A26" s="1" t="s">
        <v>149</v>
      </c>
    </row>
    <row r="27" spans="1:10">
      <c r="A27" s="1" t="s">
        <v>0</v>
      </c>
      <c r="B27" s="13">
        <f>Nigeria!E46</f>
        <v>4354.0645424836612</v>
      </c>
      <c r="G27" s="1" t="s">
        <v>150</v>
      </c>
      <c r="H27" s="2">
        <v>450.28637707953476</v>
      </c>
    </row>
    <row r="28" spans="1:10">
      <c r="A28" s="1" t="s">
        <v>134</v>
      </c>
      <c r="B28" s="13" t="e">
        <f>#REF!</f>
        <v>#REF!</v>
      </c>
      <c r="G28" s="1" t="s">
        <v>154</v>
      </c>
      <c r="H28" s="2">
        <v>1379.3333333333333</v>
      </c>
    </row>
    <row r="29" spans="1:10">
      <c r="A29" s="1" t="s">
        <v>135</v>
      </c>
      <c r="B29" s="13" t="e">
        <f>#REF!</f>
        <v>#REF!</v>
      </c>
      <c r="G29" s="1" t="s">
        <v>173</v>
      </c>
      <c r="H29" s="1">
        <v>1610</v>
      </c>
    </row>
    <row r="30" spans="1:10">
      <c r="A30" s="1" t="s">
        <v>136</v>
      </c>
      <c r="B30" s="13" t="e">
        <f>#REF!</f>
        <v>#REF!</v>
      </c>
      <c r="G30" s="1" t="s">
        <v>164</v>
      </c>
      <c r="H30" s="2">
        <v>1716.1515426982514</v>
      </c>
    </row>
    <row r="31" spans="1:10">
      <c r="A31" s="1" t="s">
        <v>150</v>
      </c>
      <c r="B31" s="13">
        <v>450.28637707953476</v>
      </c>
      <c r="G31" s="1" t="s">
        <v>152</v>
      </c>
      <c r="H31" s="2">
        <v>1772</v>
      </c>
    </row>
    <row r="32" spans="1:10">
      <c r="A32" s="1" t="s">
        <v>151</v>
      </c>
      <c r="B32" s="13">
        <v>1988</v>
      </c>
      <c r="G32" s="1" t="s">
        <v>169</v>
      </c>
      <c r="H32" s="2">
        <v>1820</v>
      </c>
    </row>
    <row r="33" spans="1:8">
      <c r="A33" s="1" t="s">
        <v>152</v>
      </c>
      <c r="B33" s="13">
        <v>1772</v>
      </c>
      <c r="G33" s="1" t="s">
        <v>156</v>
      </c>
      <c r="H33" s="2">
        <v>1890</v>
      </c>
    </row>
    <row r="34" spans="1:8">
      <c r="A34" s="1" t="s">
        <v>154</v>
      </c>
      <c r="B34" s="13">
        <f>16552/12</f>
        <v>1379.3333333333333</v>
      </c>
      <c r="C34" s="12" t="s">
        <v>53</v>
      </c>
      <c r="D34" s="12" t="s">
        <v>155</v>
      </c>
      <c r="G34" s="1" t="s">
        <v>151</v>
      </c>
      <c r="H34" s="2">
        <v>1988</v>
      </c>
    </row>
    <row r="35" spans="1:8">
      <c r="A35" s="1" t="s">
        <v>156</v>
      </c>
      <c r="B35" s="13">
        <v>1890</v>
      </c>
      <c r="C35" s="12" t="s">
        <v>53</v>
      </c>
      <c r="G35" s="1" t="s">
        <v>166</v>
      </c>
      <c r="H35" s="2">
        <v>3057.771331883007</v>
      </c>
    </row>
    <row r="36" spans="1:8">
      <c r="A36" s="1" t="s">
        <v>163</v>
      </c>
      <c r="B36" s="13">
        <f>D45</f>
        <v>7467.2930493069189</v>
      </c>
      <c r="G36" s="1" t="s">
        <v>0</v>
      </c>
      <c r="H36" s="2">
        <v>3473.767148683723</v>
      </c>
    </row>
    <row r="37" spans="1:8">
      <c r="A37" s="1" t="s">
        <v>164</v>
      </c>
      <c r="B37" s="13">
        <f>D46</f>
        <v>1296.7221004224373</v>
      </c>
      <c r="G37" s="1" t="s">
        <v>165</v>
      </c>
      <c r="H37" s="2">
        <v>3507.3209581572014</v>
      </c>
    </row>
    <row r="38" spans="1:8">
      <c r="A38" s="1" t="s">
        <v>165</v>
      </c>
      <c r="B38" s="13">
        <f>D47</f>
        <v>3195.8994465886585</v>
      </c>
      <c r="G38" s="1" t="s">
        <v>135</v>
      </c>
      <c r="H38" s="2">
        <v>3982.128982128982</v>
      </c>
    </row>
    <row r="39" spans="1:8">
      <c r="A39" s="1" t="s">
        <v>166</v>
      </c>
      <c r="B39" s="13">
        <f>D48</f>
        <v>2828.136330674402</v>
      </c>
      <c r="G39" s="1" t="s">
        <v>136</v>
      </c>
      <c r="H39" s="2">
        <v>5205.6555269922883</v>
      </c>
    </row>
    <row r="40" spans="1:8">
      <c r="A40" s="1" t="s">
        <v>169</v>
      </c>
      <c r="B40" s="13">
        <v>1820</v>
      </c>
      <c r="G40" s="1" t="s">
        <v>134</v>
      </c>
      <c r="H40" s="2">
        <v>6537.676317743133</v>
      </c>
    </row>
    <row r="41" spans="1:8">
      <c r="G41" s="1" t="s">
        <v>163</v>
      </c>
      <c r="H41" s="2">
        <v>13024.79485292113</v>
      </c>
    </row>
    <row r="43" spans="1:8">
      <c r="B43" s="12" t="s">
        <v>175</v>
      </c>
      <c r="C43" s="12" t="s">
        <v>167</v>
      </c>
      <c r="D43" s="12" t="s">
        <v>168</v>
      </c>
    </row>
    <row r="44" spans="1:8">
      <c r="A44" s="1" t="s">
        <v>153</v>
      </c>
      <c r="B44" s="12" t="s">
        <v>161</v>
      </c>
      <c r="C44" s="12" t="s">
        <v>162</v>
      </c>
    </row>
    <row r="45" spans="1:8">
      <c r="A45" s="1" t="s">
        <v>157</v>
      </c>
      <c r="B45" s="12">
        <v>3605</v>
      </c>
      <c r="C45" s="12">
        <f>24231+16000</f>
        <v>40231</v>
      </c>
      <c r="D45" s="12">
        <f>B45*1000000/C45/12</f>
        <v>7467.2930493069189</v>
      </c>
    </row>
    <row r="46" spans="1:8">
      <c r="A46" s="1" t="s">
        <v>159</v>
      </c>
      <c r="B46" s="12">
        <v>1164</v>
      </c>
      <c r="C46" s="12">
        <v>74804</v>
      </c>
      <c r="D46" s="12">
        <f>B46*1000000/C46/12</f>
        <v>1296.7221004224373</v>
      </c>
    </row>
    <row r="47" spans="1:8">
      <c r="A47" s="1" t="s">
        <v>158</v>
      </c>
      <c r="B47" s="12">
        <v>626</v>
      </c>
      <c r="C47" s="12">
        <v>16323</v>
      </c>
      <c r="D47" s="12">
        <f>B47*1000000/C47/12</f>
        <v>3195.8994465886585</v>
      </c>
    </row>
    <row r="48" spans="1:8">
      <c r="A48" s="1" t="s">
        <v>160</v>
      </c>
      <c r="B48" s="12">
        <v>1170</v>
      </c>
      <c r="C48" s="12">
        <v>34475</v>
      </c>
      <c r="D48" s="12">
        <f>B48*1000000/C48/12</f>
        <v>2828.136330674402</v>
      </c>
    </row>
    <row r="50" spans="1:6">
      <c r="A50" s="1" t="s">
        <v>169</v>
      </c>
    </row>
    <row r="51" spans="1:6">
      <c r="A51" s="1" t="s">
        <v>162</v>
      </c>
      <c r="B51" s="13">
        <v>15931</v>
      </c>
    </row>
    <row r="52" spans="1:6">
      <c r="A52" s="1" t="s">
        <v>170</v>
      </c>
      <c r="B52" s="13">
        <v>348</v>
      </c>
    </row>
    <row r="53" spans="1:6">
      <c r="B53" s="13">
        <f>B52*1000000/B51/12</f>
        <v>1820.3502604983994</v>
      </c>
    </row>
    <row r="55" spans="1:6">
      <c r="A55" s="1" t="s">
        <v>176</v>
      </c>
      <c r="B55" s="12">
        <v>71446</v>
      </c>
      <c r="C55" s="12" t="s">
        <v>171</v>
      </c>
    </row>
    <row r="56" spans="1:6">
      <c r="A56" s="1" t="s">
        <v>172</v>
      </c>
      <c r="B56" s="13">
        <v>51909</v>
      </c>
    </row>
    <row r="57" spans="1:6">
      <c r="B57" s="14">
        <f>B55*1000000/B56</f>
        <v>1376370.1862875416</v>
      </c>
    </row>
    <row r="58" spans="1:6">
      <c r="B58" s="14">
        <f>B57/71.2/12</f>
        <v>1610.9201618533962</v>
      </c>
    </row>
    <row r="61" spans="1:6" ht="15.75" thickBot="1">
      <c r="A61" s="18"/>
      <c r="B61" s="19" t="s">
        <v>174</v>
      </c>
      <c r="C61" s="19" t="s">
        <v>1</v>
      </c>
      <c r="D61" s="19" t="s">
        <v>15</v>
      </c>
    </row>
    <row r="62" spans="1:6">
      <c r="A62" s="1" t="s">
        <v>177</v>
      </c>
      <c r="B62" s="17">
        <f>Nigeria!E20</f>
        <v>16390</v>
      </c>
      <c r="C62" s="16">
        <f>Nigeria!E30</f>
        <v>1.4087858450274557</v>
      </c>
      <c r="D62" s="15">
        <f>Nigeria!E71</f>
        <v>0.57347249912044096</v>
      </c>
      <c r="F62" s="1">
        <f>B62*C62</f>
        <v>23090</v>
      </c>
    </row>
    <row r="63" spans="1:6">
      <c r="A63" s="1" t="s">
        <v>178</v>
      </c>
      <c r="B63" s="17" t="e">
        <f>#REF!</f>
        <v>#REF!</v>
      </c>
      <c r="C63" s="16" t="e">
        <f>#REF!</f>
        <v>#REF!</v>
      </c>
      <c r="D63" s="15" t="e">
        <f>#REF!</f>
        <v>#REF!</v>
      </c>
      <c r="F63" s="1" t="e">
        <f>B63*C63</f>
        <v>#REF!</v>
      </c>
    </row>
    <row r="64" spans="1:6">
      <c r="A64" s="1" t="s">
        <v>179</v>
      </c>
      <c r="B64" s="17" t="e">
        <f>#REF!</f>
        <v>#REF!</v>
      </c>
      <c r="C64" s="16" t="e">
        <f>#REF!</f>
        <v>#REF!</v>
      </c>
      <c r="D64" s="15" t="e">
        <f>#REF!</f>
        <v>#REF!</v>
      </c>
      <c r="F64" s="1" t="e">
        <f>B64*C64</f>
        <v>#REF!</v>
      </c>
    </row>
    <row r="65" spans="1:19">
      <c r="A65" s="1" t="s">
        <v>180</v>
      </c>
      <c r="B65" s="17" t="e">
        <f>#REF!</f>
        <v>#REF!</v>
      </c>
      <c r="C65" s="16" t="e">
        <f>#REF!</f>
        <v>#REF!</v>
      </c>
      <c r="D65" s="15" t="e">
        <f>#REF!</f>
        <v>#REF!</v>
      </c>
      <c r="F65" s="1" t="e">
        <f>B65*C65</f>
        <v>#REF!</v>
      </c>
    </row>
    <row r="66" spans="1:19" ht="30.75" thickBot="1">
      <c r="A66" s="21" t="s">
        <v>181</v>
      </c>
      <c r="B66" s="22" t="e">
        <f>SUM(B62:B65)</f>
        <v>#REF!</v>
      </c>
      <c r="C66" s="23" t="e">
        <f>F67</f>
        <v>#REF!</v>
      </c>
      <c r="D66" s="24">
        <f>Master!E21</f>
        <v>0.20827958250263867</v>
      </c>
      <c r="F66" s="20" t="e">
        <f>SUM(F62:F65)</f>
        <v>#REF!</v>
      </c>
      <c r="H66" s="25"/>
      <c r="I66" s="26" t="s">
        <v>182</v>
      </c>
      <c r="J66" s="26" t="s">
        <v>183</v>
      </c>
    </row>
    <row r="67" spans="1:19" ht="15.75" thickTop="1">
      <c r="F67" s="1" t="e">
        <f>F66/B66</f>
        <v>#REF!</v>
      </c>
      <c r="H67" s="1" t="s">
        <v>177</v>
      </c>
      <c r="I67" s="17">
        <f>Nigeria!E46*(1-L67)</f>
        <v>3483.2516339869289</v>
      </c>
      <c r="J67" s="17">
        <f>Nigeria!E43*(1-L67)</f>
        <v>2480.2210587550903</v>
      </c>
      <c r="L67" s="34">
        <v>0.2</v>
      </c>
    </row>
    <row r="68" spans="1:19">
      <c r="B68" s="1138" t="s">
        <v>247</v>
      </c>
      <c r="C68" s="1138"/>
      <c r="D68" s="1138"/>
      <c r="H68" s="1" t="s">
        <v>178</v>
      </c>
      <c r="I68" s="17" t="e">
        <f>#REF!*(1-L68)</f>
        <v>#REF!</v>
      </c>
      <c r="J68" s="17" t="e">
        <f>#REF!*(1-L68)</f>
        <v>#REF!</v>
      </c>
      <c r="L68" s="34">
        <v>0.28000000000000003</v>
      </c>
    </row>
    <row r="69" spans="1:19">
      <c r="A69" s="31"/>
      <c r="B69" s="32" t="s">
        <v>242</v>
      </c>
      <c r="C69" s="32" t="s">
        <v>243</v>
      </c>
      <c r="D69" s="32" t="s">
        <v>244</v>
      </c>
      <c r="E69" s="1" t="s">
        <v>245</v>
      </c>
      <c r="H69" s="1" t="s">
        <v>179</v>
      </c>
      <c r="I69" s="17" t="e">
        <f>#REF!*(1-L69)</f>
        <v>#REF!</v>
      </c>
      <c r="J69" s="17" t="e">
        <f>#REF!*(1-L69)</f>
        <v>#REF!</v>
      </c>
      <c r="L69" s="34">
        <v>0.21</v>
      </c>
    </row>
    <row r="70" spans="1:19">
      <c r="A70" s="1" t="s">
        <v>0</v>
      </c>
      <c r="B70" s="12" t="s">
        <v>207</v>
      </c>
      <c r="C70" s="12" t="s">
        <v>246</v>
      </c>
      <c r="D70" s="12" t="s">
        <v>204</v>
      </c>
      <c r="H70" s="1" t="s">
        <v>180</v>
      </c>
      <c r="I70" s="17" t="e">
        <f>#REF!*(1-L70)</f>
        <v>#REF!</v>
      </c>
      <c r="J70" s="17" t="e">
        <f>#REF!*(1-L70)</f>
        <v>#REF!</v>
      </c>
      <c r="L70" s="34">
        <v>0.12</v>
      </c>
    </row>
    <row r="71" spans="1:19">
      <c r="A71" s="1" t="s">
        <v>134</v>
      </c>
      <c r="B71" s="12" t="s">
        <v>207</v>
      </c>
      <c r="C71" s="12" t="s">
        <v>213</v>
      </c>
      <c r="D71" s="12" t="s">
        <v>204</v>
      </c>
    </row>
    <row r="72" spans="1:19">
      <c r="A72" s="1" t="s">
        <v>135</v>
      </c>
      <c r="B72" s="12" t="s">
        <v>204</v>
      </c>
      <c r="C72" s="12" t="s">
        <v>208</v>
      </c>
      <c r="D72" s="12" t="s">
        <v>214</v>
      </c>
    </row>
    <row r="73" spans="1:19">
      <c r="A73" s="1" t="s">
        <v>136</v>
      </c>
      <c r="B73" s="12" t="s">
        <v>208</v>
      </c>
      <c r="C73" s="12" t="s">
        <v>204</v>
      </c>
    </row>
    <row r="77" spans="1:19">
      <c r="A77" s="4" t="s">
        <v>190</v>
      </c>
      <c r="R77" s="1" t="s">
        <v>188</v>
      </c>
      <c r="S77" s="1" t="s">
        <v>254</v>
      </c>
    </row>
    <row r="78" spans="1:19">
      <c r="A78" s="1" t="s">
        <v>0</v>
      </c>
      <c r="B78" s="13">
        <f>Nigeria!E43*0.8</f>
        <v>2480.2210587550903</v>
      </c>
      <c r="E78" s="1" t="s">
        <v>150</v>
      </c>
      <c r="F78" s="2">
        <v>293.59389171732511</v>
      </c>
      <c r="Q78" s="1" t="s">
        <v>150</v>
      </c>
      <c r="R78" s="2">
        <v>293.59389171732511</v>
      </c>
      <c r="S78" s="1">
        <v>9470</v>
      </c>
    </row>
    <row r="79" spans="1:19">
      <c r="A79" s="1" t="s">
        <v>134</v>
      </c>
      <c r="B79" s="13" t="e">
        <f>#REF!*0.72</f>
        <v>#REF!</v>
      </c>
      <c r="E79" s="1" t="s">
        <v>189</v>
      </c>
      <c r="F79" s="2">
        <v>627.60601195350841</v>
      </c>
      <c r="Q79" s="1" t="s">
        <v>189</v>
      </c>
      <c r="R79" s="2">
        <v>627.60601195350841</v>
      </c>
      <c r="S79" s="1">
        <v>2020</v>
      </c>
    </row>
    <row r="80" spans="1:19">
      <c r="A80" s="1" t="s">
        <v>135</v>
      </c>
      <c r="B80" s="13" t="e">
        <f>#REF!*0.79</f>
        <v>#REF!</v>
      </c>
      <c r="E80" s="1" t="s">
        <v>195</v>
      </c>
      <c r="F80" s="2">
        <v>899.19774037920138</v>
      </c>
      <c r="Q80" s="1" t="s">
        <v>195</v>
      </c>
      <c r="R80" s="2">
        <v>899.19774037920138</v>
      </c>
      <c r="S80" s="1">
        <v>41340</v>
      </c>
    </row>
    <row r="81" spans="1:19">
      <c r="A81" s="1" t="s">
        <v>136</v>
      </c>
      <c r="B81" s="13" t="e">
        <f>#REF!*0.88</f>
        <v>#REF!</v>
      </c>
      <c r="E81" s="1" t="s">
        <v>152</v>
      </c>
      <c r="F81" s="2">
        <v>1021.6465960131541</v>
      </c>
      <c r="Q81" s="1" t="s">
        <v>152</v>
      </c>
      <c r="R81" s="2">
        <v>1021.6465960131541</v>
      </c>
      <c r="S81" s="1">
        <v>3840</v>
      </c>
    </row>
    <row r="82" spans="1:19">
      <c r="A82" s="1" t="s">
        <v>150</v>
      </c>
      <c r="B82" s="13">
        <v>0</v>
      </c>
      <c r="E82" s="1" t="s">
        <v>191</v>
      </c>
      <c r="F82" s="2">
        <v>1048.31782457181</v>
      </c>
      <c r="Q82" s="1" t="s">
        <v>191</v>
      </c>
      <c r="R82" s="2">
        <v>1048.31782457181</v>
      </c>
      <c r="S82" s="1">
        <v>29450</v>
      </c>
    </row>
    <row r="83" spans="1:19">
      <c r="A83" s="1" t="s">
        <v>151</v>
      </c>
      <c r="B83" s="13">
        <v>1976.8183984967109</v>
      </c>
      <c r="E83" s="1" t="s">
        <v>169</v>
      </c>
      <c r="F83" s="2">
        <v>1089.8785568970266</v>
      </c>
      <c r="Q83" s="1" t="s">
        <v>169</v>
      </c>
      <c r="R83" s="2">
        <v>1089.8785568970266</v>
      </c>
      <c r="S83" s="1">
        <v>9180</v>
      </c>
    </row>
    <row r="84" spans="1:19">
      <c r="A84" s="1" t="s">
        <v>152</v>
      </c>
      <c r="B84" s="13" t="e">
        <f>#REF!*1000000/14186</f>
        <v>#REF!</v>
      </c>
      <c r="E84" s="1" t="s">
        <v>151</v>
      </c>
      <c r="F84" s="2">
        <v>1192.5598457799269</v>
      </c>
      <c r="Q84" s="1" t="s">
        <v>151</v>
      </c>
      <c r="R84" s="2">
        <v>1192.5598457799269</v>
      </c>
      <c r="S84" s="1">
        <v>3840</v>
      </c>
    </row>
    <row r="85" spans="1:19">
      <c r="A85" s="1" t="s">
        <v>154</v>
      </c>
      <c r="B85" s="13">
        <f>16552/12</f>
        <v>1379.3333333333333</v>
      </c>
      <c r="E85" s="1" t="s">
        <v>0</v>
      </c>
      <c r="F85" s="2">
        <v>1311.4610673665793</v>
      </c>
      <c r="G85" s="1">
        <f>F85/F97-1</f>
        <v>-0.62476078186936213</v>
      </c>
      <c r="Q85" s="1" t="s">
        <v>0</v>
      </c>
      <c r="R85" s="2">
        <v>1311.4610673665793</v>
      </c>
      <c r="S85" s="1">
        <v>1020</v>
      </c>
    </row>
    <row r="86" spans="1:19">
      <c r="A86" s="1" t="s">
        <v>156</v>
      </c>
      <c r="B86" s="13">
        <v>1890</v>
      </c>
      <c r="E86" s="1" t="s">
        <v>154</v>
      </c>
      <c r="F86" s="2">
        <v>1379.3333333333333</v>
      </c>
      <c r="Q86" s="1" t="s">
        <v>154</v>
      </c>
      <c r="R86" s="2">
        <v>1379.3333333333333</v>
      </c>
      <c r="S86" s="1">
        <v>33540</v>
      </c>
    </row>
    <row r="87" spans="1:19">
      <c r="A87" s="1" t="s">
        <v>163</v>
      </c>
      <c r="B87" s="13">
        <f>F101</f>
        <v>3494.8834212938873</v>
      </c>
      <c r="E87" s="1" t="s">
        <v>135</v>
      </c>
      <c r="F87" s="2">
        <v>1586.3453815261046</v>
      </c>
      <c r="Q87" s="1" t="s">
        <v>135</v>
      </c>
      <c r="R87" s="2">
        <v>1586.3453815261046</v>
      </c>
      <c r="S87" s="1">
        <v>2130</v>
      </c>
    </row>
    <row r="88" spans="1:19">
      <c r="A88" s="1" t="s">
        <v>165</v>
      </c>
      <c r="B88" s="13">
        <f>F103</f>
        <v>1871.388020992873</v>
      </c>
      <c r="E88" s="1" t="s">
        <v>166</v>
      </c>
      <c r="F88" s="2">
        <v>1676</v>
      </c>
      <c r="Q88" s="1" t="s">
        <v>156</v>
      </c>
      <c r="R88" s="2">
        <v>1890</v>
      </c>
      <c r="S88" s="1">
        <v>29450</v>
      </c>
    </row>
    <row r="89" spans="1:19">
      <c r="A89" s="1" t="s">
        <v>166</v>
      </c>
      <c r="B89" s="13">
        <f>F104</f>
        <v>1675.9831202984528</v>
      </c>
      <c r="E89" s="1" t="s">
        <v>165</v>
      </c>
      <c r="F89" s="2">
        <v>1871</v>
      </c>
      <c r="Q89" s="1" t="s">
        <v>192</v>
      </c>
      <c r="R89" s="2">
        <v>1948.5111429212982</v>
      </c>
      <c r="S89" s="1">
        <f>S86</f>
        <v>33540</v>
      </c>
    </row>
    <row r="90" spans="1:19">
      <c r="A90" s="1" t="s">
        <v>169</v>
      </c>
      <c r="B90" s="13">
        <v>1107.1402786802396</v>
      </c>
      <c r="E90" s="1" t="s">
        <v>156</v>
      </c>
      <c r="F90" s="2">
        <v>1890</v>
      </c>
      <c r="Q90" s="1" t="s">
        <v>194</v>
      </c>
      <c r="R90" s="2">
        <v>1995.3837703917561</v>
      </c>
      <c r="S90" s="1">
        <v>41080</v>
      </c>
    </row>
    <row r="91" spans="1:19">
      <c r="A91" s="1" t="s">
        <v>189</v>
      </c>
      <c r="B91" s="20">
        <v>592.72675448264113</v>
      </c>
      <c r="E91" s="1" t="s">
        <v>192</v>
      </c>
      <c r="F91" s="2">
        <v>1948.5111429212982</v>
      </c>
      <c r="Q91" s="1" t="s">
        <v>196</v>
      </c>
      <c r="R91" s="2">
        <v>2002.8531401900584</v>
      </c>
      <c r="S91" s="1">
        <v>83580</v>
      </c>
    </row>
    <row r="92" spans="1:19">
      <c r="A92" s="1" t="s">
        <v>191</v>
      </c>
      <c r="B92" s="13">
        <v>1048.31782457181</v>
      </c>
      <c r="E92" s="1" t="s">
        <v>194</v>
      </c>
      <c r="F92" s="2">
        <v>1995.3837703917561</v>
      </c>
      <c r="Q92" s="1" t="s">
        <v>193</v>
      </c>
      <c r="R92" s="2">
        <v>2003.3747407324713</v>
      </c>
      <c r="S92" s="1">
        <v>51260</v>
      </c>
    </row>
    <row r="93" spans="1:19">
      <c r="A93" s="1" t="s">
        <v>192</v>
      </c>
      <c r="B93" s="13">
        <v>1948.5111429212982</v>
      </c>
      <c r="E93" s="1" t="s">
        <v>196</v>
      </c>
      <c r="F93" s="2">
        <v>2002.8531401900584</v>
      </c>
      <c r="Q93" s="1" t="s">
        <v>134</v>
      </c>
      <c r="R93" s="2">
        <v>2472.2912706536044</v>
      </c>
      <c r="S93" s="1">
        <v>490</v>
      </c>
    </row>
    <row r="94" spans="1:19">
      <c r="A94" s="1" t="s">
        <v>193</v>
      </c>
      <c r="B94" s="13">
        <v>2003.3747407324713</v>
      </c>
      <c r="E94" s="1" t="s">
        <v>193</v>
      </c>
      <c r="F94" s="2">
        <v>2003.3747407324713</v>
      </c>
      <c r="Q94" s="1" t="s">
        <v>136</v>
      </c>
      <c r="R94" s="2">
        <v>3381.4041745730556</v>
      </c>
      <c r="S94" s="1">
        <v>1640</v>
      </c>
    </row>
    <row r="95" spans="1:19">
      <c r="A95" s="1" t="s">
        <v>194</v>
      </c>
      <c r="B95" s="13">
        <v>1995.3837703917561</v>
      </c>
      <c r="E95" s="1" t="s">
        <v>134</v>
      </c>
      <c r="F95" s="2">
        <v>2472.2912706536044</v>
      </c>
      <c r="I95" s="1" t="s">
        <v>197</v>
      </c>
      <c r="Q95" s="1" t="s">
        <v>163</v>
      </c>
      <c r="R95" s="2">
        <v>3495</v>
      </c>
      <c r="S95" s="1">
        <v>62850</v>
      </c>
    </row>
    <row r="96" spans="1:19">
      <c r="A96" s="1" t="s">
        <v>195</v>
      </c>
      <c r="B96" s="13">
        <v>899.19774037920138</v>
      </c>
      <c r="E96" s="1" t="s">
        <v>136</v>
      </c>
      <c r="F96" s="2">
        <v>3381.4041745730556</v>
      </c>
    </row>
    <row r="97" spans="1:19">
      <c r="A97" s="1" t="s">
        <v>196</v>
      </c>
      <c r="B97" s="13">
        <v>2002.8531401900584</v>
      </c>
      <c r="E97" s="1" t="s">
        <v>163</v>
      </c>
      <c r="F97" s="2">
        <v>3495</v>
      </c>
    </row>
    <row r="98" spans="1:19">
      <c r="R98" s="1" t="s">
        <v>188</v>
      </c>
      <c r="S98" s="1" t="s">
        <v>254</v>
      </c>
    </row>
    <row r="99" spans="1:19">
      <c r="Q99" s="1" t="s">
        <v>150</v>
      </c>
      <c r="R99" s="2">
        <v>293.59389171732511</v>
      </c>
      <c r="S99" s="1">
        <v>9470</v>
      </c>
    </row>
    <row r="100" spans="1:19">
      <c r="A100" s="1" t="s">
        <v>162</v>
      </c>
      <c r="B100" s="12" t="s">
        <v>186</v>
      </c>
      <c r="C100" s="12" t="s">
        <v>187</v>
      </c>
      <c r="D100" s="12" t="s">
        <v>144</v>
      </c>
      <c r="E100" s="1" t="s">
        <v>212</v>
      </c>
      <c r="F100" s="1" t="s">
        <v>188</v>
      </c>
      <c r="Q100" s="1" t="s">
        <v>189</v>
      </c>
      <c r="R100" s="2">
        <v>627.60601195350841</v>
      </c>
      <c r="S100" s="1">
        <v>2020</v>
      </c>
    </row>
    <row r="101" spans="1:19">
      <c r="A101" s="1" t="s">
        <v>184</v>
      </c>
      <c r="B101" s="13">
        <f>24454+15905</f>
        <v>40359</v>
      </c>
      <c r="C101" s="12">
        <v>2.1</v>
      </c>
      <c r="D101" s="13">
        <f>B101*C101</f>
        <v>84753.900000000009</v>
      </c>
      <c r="E101" s="2">
        <v>3822</v>
      </c>
      <c r="F101" s="2">
        <f>E101/D101/12*1000000*0.93</f>
        <v>3494.8834212938873</v>
      </c>
      <c r="H101" s="1" t="s">
        <v>253</v>
      </c>
      <c r="Q101" s="1" t="s">
        <v>195</v>
      </c>
      <c r="R101" s="2">
        <v>899.19774037920138</v>
      </c>
      <c r="S101" s="1">
        <v>41340</v>
      </c>
    </row>
    <row r="102" spans="1:19">
      <c r="A102" s="1" t="s">
        <v>185</v>
      </c>
      <c r="B102" s="13">
        <v>74804</v>
      </c>
      <c r="D102" s="13"/>
      <c r="E102" s="2"/>
      <c r="F102" s="2"/>
      <c r="Q102" s="1" t="s">
        <v>152</v>
      </c>
      <c r="R102" s="2">
        <v>1021.6465960131541</v>
      </c>
      <c r="S102" s="1">
        <v>3840</v>
      </c>
    </row>
    <row r="103" spans="1:19">
      <c r="A103" s="1" t="s">
        <v>158</v>
      </c>
      <c r="B103" s="13">
        <v>16323</v>
      </c>
      <c r="C103" s="12">
        <v>1.5</v>
      </c>
      <c r="D103" s="13">
        <f>B103*C103</f>
        <v>24484.5</v>
      </c>
      <c r="E103" s="2">
        <v>687.3</v>
      </c>
      <c r="F103" s="2">
        <f>E103/D103/12*1000000*0.8</f>
        <v>1871.388020992873</v>
      </c>
      <c r="H103" s="1" t="s">
        <v>251</v>
      </c>
      <c r="Q103" s="1" t="s">
        <v>191</v>
      </c>
      <c r="R103" s="2">
        <v>1048.31782457181</v>
      </c>
      <c r="S103" s="1">
        <v>29450</v>
      </c>
    </row>
    <row r="104" spans="1:19">
      <c r="A104" s="1" t="s">
        <v>160</v>
      </c>
      <c r="B104" s="13">
        <v>34475</v>
      </c>
      <c r="C104" s="12">
        <v>1.66</v>
      </c>
      <c r="D104" s="13">
        <f>B104*C104</f>
        <v>57228.5</v>
      </c>
      <c r="E104" s="2">
        <v>1264.8</v>
      </c>
      <c r="F104" s="2">
        <f>E104/D104/12*1000000*0.91</f>
        <v>1675.9831202984528</v>
      </c>
      <c r="H104" s="1" t="s">
        <v>252</v>
      </c>
      <c r="Q104" s="1" t="s">
        <v>169</v>
      </c>
      <c r="R104" s="2">
        <v>1089.8785568970266</v>
      </c>
      <c r="S104" s="1">
        <v>9180</v>
      </c>
    </row>
    <row r="105" spans="1:19">
      <c r="Q105" s="1" t="s">
        <v>151</v>
      </c>
      <c r="R105" s="2">
        <v>1192.5598457799269</v>
      </c>
      <c r="S105" s="1">
        <v>3840</v>
      </c>
    </row>
    <row r="106" spans="1:19">
      <c r="Q106" s="1" t="s">
        <v>154</v>
      </c>
      <c r="R106" s="2">
        <v>1379.3333333333333</v>
      </c>
      <c r="S106" s="1">
        <v>33540</v>
      </c>
    </row>
    <row r="107" spans="1:19">
      <c r="Q107" s="1" t="s">
        <v>156</v>
      </c>
      <c r="R107" s="2">
        <v>1890</v>
      </c>
      <c r="S107" s="1">
        <v>29450</v>
      </c>
    </row>
    <row r="108" spans="1:19">
      <c r="Q108" s="1" t="s">
        <v>192</v>
      </c>
      <c r="R108" s="2">
        <v>1948.5111429212982</v>
      </c>
      <c r="S108" s="1">
        <f>S106</f>
        <v>33540</v>
      </c>
    </row>
    <row r="109" spans="1:19">
      <c r="Q109" s="1" t="s">
        <v>194</v>
      </c>
      <c r="R109" s="2">
        <v>1995.3837703917561</v>
      </c>
      <c r="S109" s="1">
        <v>41080</v>
      </c>
    </row>
    <row r="110" spans="1:19">
      <c r="Q110" s="1" t="s">
        <v>196</v>
      </c>
      <c r="R110" s="2">
        <v>2002.8531401900584</v>
      </c>
      <c r="S110" s="1">
        <v>83580</v>
      </c>
    </row>
    <row r="111" spans="1:19">
      <c r="A111" s="1" t="s">
        <v>235</v>
      </c>
      <c r="B111" s="13">
        <v>596.18260869565222</v>
      </c>
      <c r="Q111" s="1" t="s">
        <v>193</v>
      </c>
      <c r="R111" s="2">
        <v>2003.3747407324713</v>
      </c>
      <c r="S111" s="1">
        <v>51260</v>
      </c>
    </row>
    <row r="112" spans="1:19">
      <c r="A112" s="1" t="s">
        <v>234</v>
      </c>
      <c r="B112" s="13">
        <v>632.71845500995926</v>
      </c>
      <c r="Q112" s="1" t="s">
        <v>163</v>
      </c>
      <c r="R112" s="2">
        <v>3495</v>
      </c>
      <c r="S112" s="1">
        <v>62850</v>
      </c>
    </row>
    <row r="113" spans="1:18">
      <c r="A113" s="1" t="s">
        <v>233</v>
      </c>
      <c r="B113" s="13">
        <v>773.04526748971193</v>
      </c>
      <c r="R113" s="2"/>
    </row>
    <row r="114" spans="1:18">
      <c r="A114" s="1" t="s">
        <v>194</v>
      </c>
      <c r="B114" s="13">
        <v>963.31747661254167</v>
      </c>
    </row>
    <row r="115" spans="1:18">
      <c r="A115" s="1" t="s">
        <v>191</v>
      </c>
      <c r="B115" s="13">
        <v>996.28922588533067</v>
      </c>
    </row>
    <row r="116" spans="1:18">
      <c r="A116" s="1" t="s">
        <v>232</v>
      </c>
      <c r="B116" s="13">
        <v>1214.3478260869565</v>
      </c>
    </row>
    <row r="117" spans="1:18">
      <c r="A117" s="1" t="s">
        <v>231</v>
      </c>
      <c r="B117" s="13">
        <v>1252.8649635036497</v>
      </c>
    </row>
    <row r="118" spans="1:18">
      <c r="A118" s="1" t="s">
        <v>192</v>
      </c>
      <c r="B118" s="13">
        <v>1354.4236044514819</v>
      </c>
    </row>
    <row r="119" spans="1:18">
      <c r="A119" s="1" t="s">
        <v>230</v>
      </c>
      <c r="B119" s="13">
        <v>1667.5090909090909</v>
      </c>
    </row>
    <row r="120" spans="1:18">
      <c r="A120" s="1" t="s">
        <v>229</v>
      </c>
      <c r="B120" s="13">
        <v>2445.96875</v>
      </c>
    </row>
    <row r="121" spans="1:18">
      <c r="A121" s="1" t="s">
        <v>184</v>
      </c>
      <c r="B121" s="13">
        <v>2674.1416666666669</v>
      </c>
    </row>
    <row r="122" spans="1:18">
      <c r="A122" s="1" t="s">
        <v>185</v>
      </c>
      <c r="B122" s="13">
        <v>2897.09218304264</v>
      </c>
    </row>
    <row r="123" spans="1:18">
      <c r="A123" s="1" t="s">
        <v>228</v>
      </c>
      <c r="B123" s="13">
        <v>2933.6590909090905</v>
      </c>
    </row>
    <row r="124" spans="1:18">
      <c r="A124" s="1" t="s">
        <v>227</v>
      </c>
      <c r="B124" s="13">
        <v>2995.1428571428573</v>
      </c>
    </row>
    <row r="125" spans="1:18">
      <c r="A125" s="1" t="s">
        <v>226</v>
      </c>
      <c r="B125" s="13">
        <v>3057.0382513661202</v>
      </c>
    </row>
    <row r="126" spans="1:18">
      <c r="A126" s="1" t="s">
        <v>225</v>
      </c>
      <c r="B126" s="13">
        <v>3122.1955896452546</v>
      </c>
    </row>
    <row r="127" spans="1:18">
      <c r="A127" s="1" t="s">
        <v>224</v>
      </c>
      <c r="B127" s="13">
        <v>3164.6325459317586</v>
      </c>
    </row>
    <row r="128" spans="1:18">
      <c r="A128" s="1" t="s">
        <v>223</v>
      </c>
      <c r="B128" s="13">
        <v>3169.1970802919709</v>
      </c>
    </row>
    <row r="129" spans="1:2">
      <c r="A129" s="1" t="s">
        <v>222</v>
      </c>
      <c r="B129" s="13">
        <v>3202.1555555555556</v>
      </c>
    </row>
    <row r="130" spans="1:2">
      <c r="A130" s="1" t="s">
        <v>221</v>
      </c>
      <c r="B130" s="13">
        <v>4119.24</v>
      </c>
    </row>
    <row r="131" spans="1:2">
      <c r="A131" s="1" t="s">
        <v>220</v>
      </c>
      <c r="B131" s="13">
        <v>4364.4222776392353</v>
      </c>
    </row>
    <row r="132" spans="1:2">
      <c r="A132" s="1" t="s">
        <v>219</v>
      </c>
      <c r="B132" s="13">
        <v>4496.1071428571431</v>
      </c>
    </row>
    <row r="133" spans="1:2">
      <c r="A133" s="1" t="s">
        <v>218</v>
      </c>
      <c r="B133" s="13">
        <v>5069.1823899371066</v>
      </c>
    </row>
    <row r="134" spans="1:2">
      <c r="A134" s="1" t="s">
        <v>217</v>
      </c>
      <c r="B134" s="13">
        <v>5410.8571428571431</v>
      </c>
    </row>
    <row r="135" spans="1:2">
      <c r="A135" s="1" t="s">
        <v>136</v>
      </c>
      <c r="B135" s="13" t="e">
        <f>#REF!</f>
        <v>#REF!</v>
      </c>
    </row>
    <row r="136" spans="1:2">
      <c r="A136" s="1" t="s">
        <v>135</v>
      </c>
      <c r="B136" s="13" t="e">
        <f>#REF!</f>
        <v>#REF!</v>
      </c>
    </row>
    <row r="137" spans="1:2">
      <c r="A137" s="1" t="s">
        <v>0</v>
      </c>
      <c r="B137" s="13">
        <f>Nigeria!E17</f>
        <v>5778.5920313488377</v>
      </c>
    </row>
    <row r="138" spans="1:2">
      <c r="A138" s="1" t="s">
        <v>134</v>
      </c>
      <c r="B138" s="13" t="e">
        <f>#REF!</f>
        <v>#REF!</v>
      </c>
    </row>
    <row r="140" spans="1:2">
      <c r="A140" s="1" t="s">
        <v>240</v>
      </c>
    </row>
    <row r="141" spans="1:2" ht="15.75">
      <c r="A141" t="s">
        <v>235</v>
      </c>
      <c r="B141" s="28">
        <v>332.74878048780488</v>
      </c>
    </row>
    <row r="142" spans="1:2" ht="15.75">
      <c r="A142" t="s">
        <v>234</v>
      </c>
      <c r="B142" s="28">
        <v>351.8633691268646</v>
      </c>
    </row>
    <row r="143" spans="1:2" ht="15.75">
      <c r="A143" t="s">
        <v>233</v>
      </c>
      <c r="B143" s="28">
        <v>450.18106995884773</v>
      </c>
    </row>
    <row r="144" spans="1:2" ht="15.75">
      <c r="A144" t="s">
        <v>236</v>
      </c>
      <c r="B144" s="28">
        <v>488.1595736441613</v>
      </c>
    </row>
    <row r="145" spans="1:11" ht="15.75">
      <c r="A145" t="s">
        <v>191</v>
      </c>
      <c r="B145" s="28">
        <v>741.50078297273978</v>
      </c>
    </row>
    <row r="146" spans="1:11" ht="15.75">
      <c r="A146" t="s">
        <v>231</v>
      </c>
      <c r="B146" s="28">
        <v>874.21072401285642</v>
      </c>
    </row>
    <row r="147" spans="1:11" ht="15.75">
      <c r="A147" t="s">
        <v>192</v>
      </c>
      <c r="B147" s="28">
        <v>890.86981844589684</v>
      </c>
    </row>
    <row r="148" spans="1:11" ht="15.75">
      <c r="A148" t="s">
        <v>237</v>
      </c>
      <c r="B148" s="28">
        <v>1138.4937313432836</v>
      </c>
    </row>
    <row r="149" spans="1:11" ht="15.75">
      <c r="A149" t="s">
        <v>184</v>
      </c>
      <c r="B149" s="28">
        <v>1300</v>
      </c>
    </row>
    <row r="150" spans="1:11" ht="15.75">
      <c r="A150" t="s">
        <v>137</v>
      </c>
      <c r="B150" s="28">
        <v>1351.8307837604116</v>
      </c>
    </row>
    <row r="151" spans="1:11" ht="15.75">
      <c r="A151" t="s">
        <v>222</v>
      </c>
      <c r="B151" s="28">
        <v>1369.7101809523811</v>
      </c>
    </row>
    <row r="152" spans="1:11" ht="15.75">
      <c r="A152" t="s">
        <v>229</v>
      </c>
      <c r="B152" s="28">
        <v>1380.5881454545454</v>
      </c>
    </row>
    <row r="153" spans="1:11" ht="15.75">
      <c r="A153" t="s">
        <v>239</v>
      </c>
      <c r="B153" s="28">
        <v>1583.7010496453902</v>
      </c>
    </row>
    <row r="154" spans="1:11" ht="15.75">
      <c r="A154" t="s">
        <v>185</v>
      </c>
      <c r="B154" s="28">
        <v>1758.3445457433204</v>
      </c>
    </row>
    <row r="155" spans="1:11" ht="15.75">
      <c r="A155" t="s">
        <v>227</v>
      </c>
      <c r="B155" s="28">
        <v>1842.7678571428571</v>
      </c>
    </row>
    <row r="156" spans="1:11" ht="15.75">
      <c r="A156" t="s">
        <v>228</v>
      </c>
      <c r="B156" s="28">
        <v>1979.4336202345958</v>
      </c>
    </row>
    <row r="157" spans="1:11" ht="15.75">
      <c r="A157" t="s">
        <v>226</v>
      </c>
      <c r="B157" s="28">
        <v>2040.0462083682648</v>
      </c>
    </row>
    <row r="158" spans="1:11" ht="15.75">
      <c r="A158" t="s">
        <v>224</v>
      </c>
      <c r="B158" s="28">
        <v>2090.6121172353455</v>
      </c>
      <c r="H158" s="30"/>
      <c r="I158" s="30"/>
      <c r="K158" s="2"/>
    </row>
    <row r="159" spans="1:11" ht="15.75">
      <c r="A159" t="s">
        <v>238</v>
      </c>
      <c r="B159" s="28">
        <v>2296.1292136616366</v>
      </c>
      <c r="H159" s="30"/>
      <c r="I159" s="30"/>
      <c r="K159" s="2"/>
    </row>
    <row r="160" spans="1:11" ht="15.75">
      <c r="A160" t="s">
        <v>135</v>
      </c>
      <c r="B160" s="28">
        <v>2633.598922437101</v>
      </c>
      <c r="H160" s="30"/>
      <c r="I160" s="30"/>
      <c r="K160" s="2"/>
    </row>
    <row r="161" spans="1:11" ht="15.75">
      <c r="A161" t="s">
        <v>221</v>
      </c>
      <c r="B161" s="28">
        <v>3170.4292</v>
      </c>
      <c r="H161" s="30"/>
      <c r="I161" s="30"/>
      <c r="K161" s="2"/>
    </row>
    <row r="162" spans="1:11" ht="15.75">
      <c r="A162" t="s">
        <v>220</v>
      </c>
      <c r="B162" s="28">
        <v>3238.6156969696972</v>
      </c>
    </row>
    <row r="163" spans="1:11" ht="15.75">
      <c r="A163" t="s">
        <v>218</v>
      </c>
      <c r="B163" s="28">
        <v>3437.5409649450435</v>
      </c>
    </row>
    <row r="164" spans="1:11">
      <c r="A164" s="1" t="s">
        <v>135</v>
      </c>
      <c r="B164" s="13">
        <v>3599.9999999999995</v>
      </c>
    </row>
    <row r="165" spans="1:11" ht="15.75">
      <c r="A165" t="s">
        <v>219</v>
      </c>
      <c r="B165" s="28">
        <v>3811.1195440729484</v>
      </c>
    </row>
    <row r="166" spans="1:11">
      <c r="A166" s="1" t="s">
        <v>0</v>
      </c>
      <c r="B166" s="13">
        <v>4672.7828746177374</v>
      </c>
    </row>
    <row r="167" spans="1:11">
      <c r="A167" s="1" t="s">
        <v>241</v>
      </c>
      <c r="B167" s="13">
        <v>4816.6351606805292</v>
      </c>
    </row>
    <row r="168" spans="1:11">
      <c r="A168" s="1" t="s">
        <v>134</v>
      </c>
      <c r="B168" s="13">
        <v>14667.525773195877</v>
      </c>
    </row>
  </sheetData>
  <sortState xmlns:xlrd2="http://schemas.microsoft.com/office/spreadsheetml/2017/richdata2" ref="E78:F95">
    <sortCondition ref="F78:F95"/>
  </sortState>
  <mergeCells count="1">
    <mergeCell ref="B68:D68"/>
  </mergeCells>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2A944-FCFE-4117-BEA1-280E9E9F402E}">
  <sheetPr codeName="Sheet20"/>
  <dimension ref="A2:AF56"/>
  <sheetViews>
    <sheetView zoomScale="85" zoomScaleNormal="85" workbookViewId="0">
      <selection activeCell="AH30" sqref="AH30"/>
    </sheetView>
  </sheetViews>
  <sheetFormatPr defaultRowHeight="15"/>
  <cols>
    <col min="1" max="1" width="19.42578125" customWidth="1"/>
    <col min="2" max="2" width="9.5703125" bestFit="1" customWidth="1"/>
  </cols>
  <sheetData>
    <row r="2" spans="1:6">
      <c r="B2" t="s">
        <v>205</v>
      </c>
      <c r="C2" t="s">
        <v>493</v>
      </c>
      <c r="D2" t="s">
        <v>150</v>
      </c>
    </row>
    <row r="3" spans="1:6">
      <c r="A3" t="s">
        <v>488</v>
      </c>
      <c r="B3" s="108">
        <v>0.09</v>
      </c>
      <c r="C3">
        <f>48434/179225</f>
        <v>0.27024131678058305</v>
      </c>
      <c r="D3" s="108">
        <v>0.35</v>
      </c>
    </row>
    <row r="4" spans="1:6">
      <c r="A4" t="s">
        <v>489</v>
      </c>
      <c r="B4" s="109">
        <f>25%-9%</f>
        <v>0.16</v>
      </c>
    </row>
    <row r="5" spans="1:6">
      <c r="A5" t="s">
        <v>490</v>
      </c>
      <c r="B5" s="108">
        <v>0.61</v>
      </c>
    </row>
    <row r="6" spans="1:6">
      <c r="A6" t="s">
        <v>491</v>
      </c>
      <c r="B6" s="108">
        <v>0.11</v>
      </c>
    </row>
    <row r="7" spans="1:6">
      <c r="A7" t="s">
        <v>492</v>
      </c>
      <c r="B7" s="108">
        <v>0.03</v>
      </c>
    </row>
    <row r="10" spans="1:6">
      <c r="A10" t="s">
        <v>494</v>
      </c>
    </row>
    <row r="11" spans="1:6">
      <c r="B11" t="s">
        <v>497</v>
      </c>
      <c r="C11" t="s">
        <v>498</v>
      </c>
      <c r="E11" t="s">
        <v>495</v>
      </c>
      <c r="F11" t="s">
        <v>496</v>
      </c>
    </row>
    <row r="12" spans="1:6">
      <c r="A12" t="s">
        <v>185</v>
      </c>
      <c r="B12">
        <v>0.28999999999999998</v>
      </c>
      <c r="C12">
        <f>F12</f>
        <v>550</v>
      </c>
      <c r="D12" t="str">
        <f>A12</f>
        <v>India</v>
      </c>
      <c r="E12">
        <v>2</v>
      </c>
      <c r="F12">
        <v>550</v>
      </c>
    </row>
    <row r="13" spans="1:6">
      <c r="A13" t="s">
        <v>228</v>
      </c>
      <c r="B13">
        <v>0.28999999999999998</v>
      </c>
      <c r="C13">
        <f>F13</f>
        <v>1100</v>
      </c>
      <c r="D13" t="str">
        <f>A13</f>
        <v>Indonesia</v>
      </c>
      <c r="E13">
        <v>2.5</v>
      </c>
      <c r="F13">
        <v>1100</v>
      </c>
    </row>
    <row r="14" spans="1:6">
      <c r="A14" t="s">
        <v>235</v>
      </c>
      <c r="B14">
        <v>0.51</v>
      </c>
      <c r="C14">
        <f>F14</f>
        <v>400</v>
      </c>
      <c r="D14" t="str">
        <f>A14</f>
        <v>China</v>
      </c>
      <c r="E14">
        <f>55/7</f>
        <v>7.8571428571428568</v>
      </c>
      <c r="F14">
        <v>400</v>
      </c>
    </row>
    <row r="15" spans="1:6">
      <c r="A15" t="s">
        <v>203</v>
      </c>
      <c r="B15">
        <v>0.8</v>
      </c>
      <c r="C15">
        <f>F15</f>
        <v>2805</v>
      </c>
      <c r="D15" t="str">
        <f>A15</f>
        <v>Nigeria</v>
      </c>
      <c r="E15">
        <v>3.93</v>
      </c>
      <c r="F15">
        <f>3300*0.85</f>
        <v>2805</v>
      </c>
    </row>
    <row r="18" spans="1:3">
      <c r="B18" t="s">
        <v>501</v>
      </c>
    </row>
    <row r="19" spans="1:3">
      <c r="A19" t="s">
        <v>499</v>
      </c>
      <c r="B19" s="46">
        <v>-5.8205294507452831E-8</v>
      </c>
      <c r="C19" t="s">
        <v>505</v>
      </c>
    </row>
    <row r="20" spans="1:3">
      <c r="A20" t="s">
        <v>500</v>
      </c>
      <c r="B20" s="46">
        <v>0.23665361500580995</v>
      </c>
    </row>
    <row r="21" spans="1:3">
      <c r="A21" t="s">
        <v>504</v>
      </c>
      <c r="B21" s="46">
        <v>0.2428154612930922</v>
      </c>
    </row>
    <row r="22" spans="1:3">
      <c r="A22" t="s">
        <v>506</v>
      </c>
      <c r="B22" s="46">
        <v>5397818.3999999994</v>
      </c>
    </row>
    <row r="23" spans="1:3">
      <c r="A23" t="s">
        <v>502</v>
      </c>
      <c r="B23" s="109">
        <f>1.1*737/3918</f>
        <v>0.20691679428279736</v>
      </c>
      <c r="C23" t="s">
        <v>503</v>
      </c>
    </row>
    <row r="46" spans="1:32" ht="15.75">
      <c r="A46" s="110" t="s">
        <v>507</v>
      </c>
      <c r="B46" s="110"/>
      <c r="C46" s="110"/>
      <c r="D46" s="110"/>
      <c r="E46" s="110"/>
      <c r="F46" s="110"/>
      <c r="G46" s="110"/>
      <c r="H46" s="110">
        <v>2003</v>
      </c>
      <c r="I46" s="110">
        <v>2004</v>
      </c>
      <c r="J46" s="110">
        <v>2005</v>
      </c>
      <c r="K46" s="110">
        <v>2005</v>
      </c>
      <c r="L46" s="110">
        <v>2006</v>
      </c>
      <c r="M46" s="110">
        <v>2007</v>
      </c>
      <c r="N46" s="110">
        <v>2008</v>
      </c>
      <c r="O46" s="110">
        <v>2009</v>
      </c>
      <c r="P46" s="110">
        <v>2010</v>
      </c>
      <c r="Q46" s="110">
        <v>2011</v>
      </c>
      <c r="R46" s="110">
        <v>2012</v>
      </c>
      <c r="S46" s="110">
        <v>2013</v>
      </c>
      <c r="T46" s="110">
        <v>2014</v>
      </c>
      <c r="U46" s="110">
        <v>2015</v>
      </c>
      <c r="V46" s="110">
        <v>2016</v>
      </c>
      <c r="W46" s="110">
        <v>2017</v>
      </c>
      <c r="X46" s="110">
        <v>2018</v>
      </c>
      <c r="Y46" s="110">
        <v>2019</v>
      </c>
      <c r="Z46" s="110">
        <v>2020</v>
      </c>
      <c r="AA46" s="110">
        <v>2021</v>
      </c>
      <c r="AB46" s="110">
        <v>2022</v>
      </c>
      <c r="AC46" s="110">
        <v>2023</v>
      </c>
      <c r="AD46" s="110">
        <v>2024</v>
      </c>
      <c r="AE46" s="110">
        <v>2025</v>
      </c>
      <c r="AF46" s="110">
        <v>2026</v>
      </c>
    </row>
    <row r="47" spans="1:32" ht="15.75">
      <c r="A47" s="111"/>
      <c r="B47" s="111"/>
      <c r="C47" s="111"/>
      <c r="D47" s="111"/>
      <c r="E47" s="111"/>
      <c r="F47" s="111"/>
      <c r="G47" s="111"/>
      <c r="H47" s="111"/>
      <c r="I47" s="111"/>
      <c r="J47" s="111"/>
      <c r="K47" s="111"/>
      <c r="L47" s="111"/>
      <c r="M47" s="111"/>
      <c r="N47" s="111"/>
      <c r="O47" s="111"/>
      <c r="P47" s="111"/>
      <c r="Q47" s="111"/>
      <c r="R47" s="111"/>
      <c r="S47" s="111"/>
      <c r="T47" s="111"/>
      <c r="U47" s="111"/>
      <c r="V47" s="111"/>
      <c r="W47" s="113">
        <v>13.5</v>
      </c>
      <c r="X47" s="113">
        <v>13.21</v>
      </c>
      <c r="Y47" s="113">
        <v>14.44</v>
      </c>
      <c r="Z47" s="113">
        <v>16</v>
      </c>
      <c r="AA47" s="113">
        <v>14.7</v>
      </c>
      <c r="AB47" s="113">
        <v>15.435</v>
      </c>
      <c r="AC47" s="113">
        <v>16.20675</v>
      </c>
      <c r="AD47" s="113">
        <v>17.017087499999999</v>
      </c>
      <c r="AE47" s="113">
        <v>17.867941875</v>
      </c>
      <c r="AF47" s="113">
        <v>18.76133896875</v>
      </c>
    </row>
    <row r="48" spans="1:32" ht="15.75">
      <c r="A48" s="111" t="s">
        <v>161</v>
      </c>
      <c r="B48" s="111"/>
      <c r="C48" s="111"/>
      <c r="D48" s="111"/>
      <c r="E48" s="111"/>
      <c r="F48" s="111"/>
      <c r="G48" s="111"/>
      <c r="H48" s="112">
        <v>5361</v>
      </c>
      <c r="I48" s="112">
        <v>6973</v>
      </c>
      <c r="J48" s="112">
        <v>9310</v>
      </c>
      <c r="K48" s="112">
        <v>9034</v>
      </c>
      <c r="L48" s="112">
        <v>14900</v>
      </c>
      <c r="M48" s="112">
        <v>20250</v>
      </c>
      <c r="N48" s="112">
        <v>31558</v>
      </c>
      <c r="O48" s="112">
        <v>33326</v>
      </c>
      <c r="P48" s="112">
        <v>33492</v>
      </c>
      <c r="Q48" s="112">
        <v>34879</v>
      </c>
      <c r="R48" s="112">
        <v>38697</v>
      </c>
      <c r="S48" s="112">
        <v>48159</v>
      </c>
      <c r="T48" s="112">
        <v>53995</v>
      </c>
      <c r="U48" s="112">
        <v>51942</v>
      </c>
      <c r="V48" s="112">
        <v>47122</v>
      </c>
      <c r="W48" s="112">
        <v>36067</v>
      </c>
      <c r="X48" s="112">
        <v>37971</v>
      </c>
      <c r="Y48" s="112">
        <v>46696</v>
      </c>
      <c r="Z48" s="112">
        <v>57980</v>
      </c>
      <c r="AA48" s="112">
        <v>57892.608940717299</v>
      </c>
      <c r="AB48" s="112">
        <v>63693.702555068274</v>
      </c>
      <c r="AC48" s="112">
        <v>69696.511907210079</v>
      </c>
      <c r="AD48" s="112">
        <v>75949.865117495705</v>
      </c>
      <c r="AE48" s="112">
        <v>80921.968645270666</v>
      </c>
      <c r="AF48" s="112">
        <v>86181.386501254878</v>
      </c>
    </row>
    <row r="49" spans="22:32">
      <c r="W49">
        <f>W48/W47</f>
        <v>2671.6296296296296</v>
      </c>
      <c r="X49">
        <f t="shared" ref="X49:AF49" si="0">X48/X47</f>
        <v>2874.4133232399695</v>
      </c>
      <c r="Y49">
        <f t="shared" si="0"/>
        <v>3233.7950138504157</v>
      </c>
      <c r="Z49">
        <f t="shared" si="0"/>
        <v>3623.75</v>
      </c>
      <c r="AA49">
        <f t="shared" si="0"/>
        <v>3938.2727170555986</v>
      </c>
      <c r="AB49">
        <f t="shared" si="0"/>
        <v>4126.5761292561237</v>
      </c>
      <c r="AC49">
        <f t="shared" si="0"/>
        <v>4300.46196228177</v>
      </c>
      <c r="AD49">
        <f t="shared" si="0"/>
        <v>4463.1529994480961</v>
      </c>
      <c r="AE49">
        <f t="shared" si="0"/>
        <v>4528.8914196935548</v>
      </c>
      <c r="AF49">
        <f t="shared" si="0"/>
        <v>4593.5626793377442</v>
      </c>
    </row>
    <row r="52" spans="22:32">
      <c r="W52" s="114">
        <f>W46</f>
        <v>2017</v>
      </c>
      <c r="X52" s="114">
        <f t="shared" ref="X52:AF52" si="1">X46</f>
        <v>2018</v>
      </c>
      <c r="Y52" s="114">
        <f t="shared" si="1"/>
        <v>2019</v>
      </c>
      <c r="Z52" s="114">
        <f t="shared" si="1"/>
        <v>2020</v>
      </c>
      <c r="AA52" s="114">
        <f t="shared" si="1"/>
        <v>2021</v>
      </c>
      <c r="AB52" s="114">
        <f t="shared" si="1"/>
        <v>2022</v>
      </c>
      <c r="AC52" s="114">
        <f t="shared" si="1"/>
        <v>2023</v>
      </c>
      <c r="AD52" s="114">
        <f t="shared" si="1"/>
        <v>2024</v>
      </c>
      <c r="AE52" s="114">
        <f t="shared" si="1"/>
        <v>2025</v>
      </c>
      <c r="AF52" s="114">
        <f t="shared" si="1"/>
        <v>2026</v>
      </c>
    </row>
    <row r="53" spans="22:32">
      <c r="V53" t="s">
        <v>508</v>
      </c>
      <c r="W53">
        <f>W49</f>
        <v>2671.6296296296296</v>
      </c>
      <c r="X53">
        <f t="shared" ref="X53:AF53" si="2">X49</f>
        <v>2874.4133232399695</v>
      </c>
      <c r="Y53">
        <f t="shared" si="2"/>
        <v>3233.7950138504157</v>
      </c>
      <c r="Z53">
        <f t="shared" si="2"/>
        <v>3623.75</v>
      </c>
      <c r="AA53">
        <f t="shared" si="2"/>
        <v>3938.2727170555986</v>
      </c>
      <c r="AB53">
        <f t="shared" si="2"/>
        <v>4126.5761292561237</v>
      </c>
      <c r="AC53">
        <f t="shared" si="2"/>
        <v>4300.46196228177</v>
      </c>
      <c r="AD53">
        <f t="shared" si="2"/>
        <v>4463.1529994480961</v>
      </c>
      <c r="AE53">
        <f t="shared" si="2"/>
        <v>4528.8914196935548</v>
      </c>
      <c r="AF53">
        <f t="shared" si="2"/>
        <v>4593.5626793377442</v>
      </c>
    </row>
    <row r="54" spans="22:32">
      <c r="V54" t="s">
        <v>472</v>
      </c>
      <c r="W54">
        <f>Nigeria!D54</f>
        <v>821</v>
      </c>
      <c r="X54">
        <f>Nigeria!E54</f>
        <v>852.7</v>
      </c>
      <c r="Y54">
        <f>Nigeria!F54</f>
        <v>925.70399999999995</v>
      </c>
      <c r="Z54">
        <f>Nigeria!G54</f>
        <v>1037.836</v>
      </c>
      <c r="AA54">
        <f>Nigeria!H54</f>
        <v>1146.732</v>
      </c>
      <c r="AB54">
        <f>Nigeria!I54</f>
        <v>1352.402</v>
      </c>
      <c r="AC54">
        <f>Nigeria!J54</f>
        <v>1381.627</v>
      </c>
      <c r="AD54">
        <f>Nigeria!K54</f>
        <v>998.46600000000001</v>
      </c>
      <c r="AE54">
        <f>Nigeria!L54</f>
        <v>1053.7872905198199</v>
      </c>
      <c r="AF54">
        <f>Nigeria!M54</f>
        <v>1134.4582270304002</v>
      </c>
    </row>
    <row r="55" spans="22:32">
      <c r="V55" t="s">
        <v>509</v>
      </c>
      <c r="X55">
        <f>X54/X53</f>
        <v>0.29665183956177088</v>
      </c>
      <c r="Y55">
        <f t="shared" ref="Y55:AF55" si="3">Y54/Y53</f>
        <v>0.28625933184855229</v>
      </c>
      <c r="Z55">
        <f t="shared" si="3"/>
        <v>0.28639834425664024</v>
      </c>
      <c r="AA55">
        <f t="shared" si="3"/>
        <v>0.29117638172537225</v>
      </c>
      <c r="AB55">
        <f t="shared" si="3"/>
        <v>0.32772980738484292</v>
      </c>
      <c r="AC55">
        <f t="shared" si="3"/>
        <v>0.32127408918341566</v>
      </c>
      <c r="AD55">
        <f t="shared" si="3"/>
        <v>0.22371314631684555</v>
      </c>
      <c r="AE55">
        <f t="shared" si="3"/>
        <v>0.2326810675869822</v>
      </c>
      <c r="AF55">
        <f t="shared" si="3"/>
        <v>0.24696696360175835</v>
      </c>
    </row>
    <row r="56" spans="22:32">
      <c r="AF56">
        <f>AA55*AF53</f>
        <v>1337.5369601982707</v>
      </c>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E182-9AE9-4FCC-8AA9-98F78D049EED}">
  <sheetPr codeName="Sheet21"/>
  <dimension ref="A2:H13"/>
  <sheetViews>
    <sheetView showGridLines="0" zoomScale="75" zoomScaleNormal="75" workbookViewId="0">
      <selection activeCell="A42" sqref="A42"/>
    </sheetView>
  </sheetViews>
  <sheetFormatPr defaultColWidth="9.140625" defaultRowHeight="16.5"/>
  <cols>
    <col min="1" max="1" width="39.5703125" style="36" customWidth="1"/>
    <col min="2" max="8" width="15.5703125" style="36" customWidth="1"/>
    <col min="9" max="16384" width="9.140625" style="36"/>
  </cols>
  <sheetData>
    <row r="2" spans="1:8" ht="17.25" thickBot="1">
      <c r="A2" s="872"/>
      <c r="B2" s="873" t="s">
        <v>1037</v>
      </c>
      <c r="C2" s="871" t="s">
        <v>457</v>
      </c>
      <c r="D2" s="871" t="s">
        <v>228</v>
      </c>
      <c r="E2" s="874" t="s">
        <v>184</v>
      </c>
      <c r="F2" s="871" t="s">
        <v>452</v>
      </c>
      <c r="G2" s="874" t="s">
        <v>185</v>
      </c>
      <c r="H2" s="871" t="s">
        <v>235</v>
      </c>
    </row>
    <row r="3" spans="1:8">
      <c r="A3" s="885" t="s">
        <v>447</v>
      </c>
      <c r="B3" s="875" t="s">
        <v>199</v>
      </c>
      <c r="C3" s="875" t="s">
        <v>199</v>
      </c>
      <c r="D3" s="875" t="s">
        <v>199</v>
      </c>
      <c r="E3" s="875" t="s">
        <v>199</v>
      </c>
      <c r="F3" s="875" t="s">
        <v>199</v>
      </c>
      <c r="G3" s="875" t="s">
        <v>453</v>
      </c>
      <c r="H3" s="876" t="s">
        <v>453</v>
      </c>
    </row>
    <row r="4" spans="1:8">
      <c r="A4" s="886" t="s">
        <v>1038</v>
      </c>
      <c r="B4" s="877" t="s">
        <v>1039</v>
      </c>
      <c r="C4" s="877" t="s">
        <v>1040</v>
      </c>
      <c r="D4" s="877" t="s">
        <v>454</v>
      </c>
      <c r="E4" s="877" t="s">
        <v>1041</v>
      </c>
      <c r="F4" s="877" t="s">
        <v>1042</v>
      </c>
      <c r="G4" s="877" t="s">
        <v>455</v>
      </c>
      <c r="H4" s="878" t="s">
        <v>456</v>
      </c>
    </row>
    <row r="5" spans="1:8">
      <c r="A5" s="887" t="s">
        <v>448</v>
      </c>
      <c r="B5" s="879" t="s">
        <v>458</v>
      </c>
      <c r="C5" s="879" t="s">
        <v>458</v>
      </c>
      <c r="D5" s="879" t="s">
        <v>458</v>
      </c>
      <c r="E5" s="879" t="s">
        <v>458</v>
      </c>
      <c r="F5" s="879" t="s">
        <v>458</v>
      </c>
      <c r="G5" s="879" t="s">
        <v>459</v>
      </c>
      <c r="H5" s="880" t="s">
        <v>460</v>
      </c>
    </row>
    <row r="6" spans="1:8" s="870" customFormat="1">
      <c r="A6" s="886" t="s">
        <v>449</v>
      </c>
      <c r="B6" s="877" t="s">
        <v>470</v>
      </c>
      <c r="C6" s="877" t="s">
        <v>470</v>
      </c>
      <c r="D6" s="877" t="s">
        <v>461</v>
      </c>
      <c r="E6" s="877" t="s">
        <v>462</v>
      </c>
      <c r="F6" s="877" t="s">
        <v>463</v>
      </c>
      <c r="G6" s="877" t="s">
        <v>463</v>
      </c>
      <c r="H6" s="878" t="s">
        <v>464</v>
      </c>
    </row>
    <row r="7" spans="1:8" ht="45">
      <c r="A7" s="888" t="s">
        <v>450</v>
      </c>
      <c r="B7" s="881" t="s">
        <v>1043</v>
      </c>
      <c r="C7" s="881" t="s">
        <v>1044</v>
      </c>
      <c r="D7" s="881" t="s">
        <v>466</v>
      </c>
      <c r="E7" s="881" t="s">
        <v>466</v>
      </c>
      <c r="F7" s="881" t="s">
        <v>466</v>
      </c>
      <c r="G7" s="881" t="s">
        <v>1047</v>
      </c>
      <c r="H7" s="882" t="s">
        <v>465</v>
      </c>
    </row>
    <row r="8" spans="1:8">
      <c r="A8" s="889" t="s">
        <v>451</v>
      </c>
      <c r="B8" s="883" t="s">
        <v>1051</v>
      </c>
      <c r="C8" s="883" t="s">
        <v>1051</v>
      </c>
      <c r="D8" s="883" t="s">
        <v>467</v>
      </c>
      <c r="E8" s="883" t="s">
        <v>468</v>
      </c>
      <c r="F8" s="883" t="s">
        <v>469</v>
      </c>
      <c r="G8" s="883" t="s">
        <v>467</v>
      </c>
      <c r="H8" s="884" t="s">
        <v>467</v>
      </c>
    </row>
    <row r="12" spans="1:8">
      <c r="C12" s="36" t="str">
        <f t="shared" ref="C12:H12" si="0">C2</f>
        <v>IHS Africa</v>
      </c>
      <c r="D12" s="36" t="str">
        <f t="shared" si="0"/>
        <v>Indonesia</v>
      </c>
      <c r="E12" s="36" t="str">
        <f t="shared" si="0"/>
        <v>USA</v>
      </c>
      <c r="F12" s="36" t="str">
        <f t="shared" si="0"/>
        <v>W Eur</v>
      </c>
      <c r="G12" s="36" t="str">
        <f t="shared" si="0"/>
        <v>India</v>
      </c>
      <c r="H12" s="36" t="str">
        <f t="shared" si="0"/>
        <v>China</v>
      </c>
    </row>
    <row r="13" spans="1:8">
      <c r="A13" s="36" t="s">
        <v>316</v>
      </c>
      <c r="C13" s="36">
        <v>100000</v>
      </c>
      <c r="D13" s="36">
        <v>50000</v>
      </c>
      <c r="E13" s="36">
        <v>250000</v>
      </c>
      <c r="F13" s="36">
        <v>80000</v>
      </c>
      <c r="G13" s="36">
        <v>35000</v>
      </c>
      <c r="H13" s="36">
        <v>35000</v>
      </c>
    </row>
  </sheetData>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BFCA4-564F-4752-B05C-2684BDC12E49}">
  <sheetPr codeName="Sheet22"/>
  <dimension ref="A1:O58"/>
  <sheetViews>
    <sheetView topLeftCell="A4" workbookViewId="0">
      <selection activeCell="A20" sqref="A20"/>
    </sheetView>
  </sheetViews>
  <sheetFormatPr defaultRowHeight="15"/>
  <cols>
    <col min="1" max="1" width="24.140625" bestFit="1" customWidth="1"/>
    <col min="2" max="2" width="10.85546875" bestFit="1" customWidth="1"/>
  </cols>
  <sheetData>
    <row r="1" spans="1:3">
      <c r="A1" t="s">
        <v>181</v>
      </c>
      <c r="B1">
        <v>331900</v>
      </c>
    </row>
    <row r="2" spans="1:3">
      <c r="A2" t="s">
        <v>208</v>
      </c>
      <c r="B2" s="28">
        <v>85176</v>
      </c>
      <c r="C2" s="46">
        <f>B2/B$1</f>
        <v>0.25663151551672192</v>
      </c>
    </row>
    <row r="3" spans="1:3">
      <c r="A3" t="s">
        <v>750</v>
      </c>
      <c r="B3" s="28">
        <v>62975</v>
      </c>
      <c r="C3" s="46">
        <f t="shared" ref="C3:C10" si="0">B3/B$1</f>
        <v>0.1897408858089786</v>
      </c>
    </row>
    <row r="4" spans="1:3">
      <c r="A4" t="s">
        <v>902</v>
      </c>
      <c r="B4" s="28">
        <v>39344</v>
      </c>
      <c r="C4" s="46">
        <f t="shared" si="0"/>
        <v>0.11854172943657729</v>
      </c>
    </row>
    <row r="5" spans="1:3">
      <c r="A5" t="s">
        <v>900</v>
      </c>
      <c r="B5" s="28">
        <v>18055</v>
      </c>
      <c r="C5" s="46">
        <f t="shared" si="0"/>
        <v>5.4398915335944563E-2</v>
      </c>
    </row>
    <row r="6" spans="1:3">
      <c r="A6" t="s">
        <v>901</v>
      </c>
      <c r="B6" s="28">
        <v>13905</v>
      </c>
      <c r="C6" s="46">
        <f t="shared" si="0"/>
        <v>4.1895149141307625E-2</v>
      </c>
    </row>
    <row r="7" spans="1:3">
      <c r="A7" t="s">
        <v>905</v>
      </c>
      <c r="B7" s="28">
        <f>3226+2998</f>
        <v>6224</v>
      </c>
      <c r="C7" s="46">
        <f t="shared" si="0"/>
        <v>1.8752636336245857E-2</v>
      </c>
    </row>
    <row r="8" spans="1:3">
      <c r="A8" t="s">
        <v>903</v>
      </c>
      <c r="B8" s="28">
        <v>4808</v>
      </c>
      <c r="C8" s="46">
        <f t="shared" si="0"/>
        <v>1.4486291051521542E-2</v>
      </c>
    </row>
    <row r="9" spans="1:3">
      <c r="A9" t="s">
        <v>904</v>
      </c>
      <c r="B9" s="28">
        <v>3794</v>
      </c>
      <c r="C9" s="46">
        <f t="shared" si="0"/>
        <v>1.1431153962036759E-2</v>
      </c>
    </row>
    <row r="10" spans="1:3">
      <c r="A10" t="s">
        <v>906</v>
      </c>
      <c r="B10" s="28">
        <v>1923</v>
      </c>
      <c r="C10" s="46">
        <f t="shared" si="0"/>
        <v>5.7939138294667066E-3</v>
      </c>
    </row>
    <row r="11" spans="1:3">
      <c r="B11" s="28">
        <f>SUM(B2:B10)</f>
        <v>236204</v>
      </c>
      <c r="C11" s="46">
        <f>B11/B$1</f>
        <v>0.71167219041880081</v>
      </c>
    </row>
    <row r="20" spans="1:15">
      <c r="A20" s="114" t="s">
        <v>759</v>
      </c>
    </row>
    <row r="23" spans="1:15">
      <c r="C23" s="139">
        <v>44440</v>
      </c>
    </row>
    <row r="24" spans="1:15">
      <c r="A24" s="114" t="s">
        <v>757</v>
      </c>
      <c r="B24" s="137" t="s">
        <v>755</v>
      </c>
      <c r="C24" s="137" t="s">
        <v>758</v>
      </c>
      <c r="M24" s="140" t="s">
        <v>757</v>
      </c>
      <c r="N24" s="141">
        <v>44531</v>
      </c>
      <c r="O24" s="142"/>
    </row>
    <row r="25" spans="1:15">
      <c r="A25" t="s">
        <v>208</v>
      </c>
      <c r="B25" s="138">
        <v>85.176719000000006</v>
      </c>
      <c r="C25" s="138">
        <f t="shared" ref="C25:C30" si="1">B25</f>
        <v>85.176719000000006</v>
      </c>
      <c r="D25" s="46">
        <f t="shared" ref="D25:D31" si="2">C25/C$32</f>
        <v>0.27471587203448183</v>
      </c>
      <c r="M25" s="143" t="s">
        <v>208</v>
      </c>
      <c r="N25" s="144">
        <v>85.176719000000006</v>
      </c>
      <c r="O25" s="145">
        <f t="shared" ref="O25:O31" si="3">N25/N$32</f>
        <v>0.25982737597509864</v>
      </c>
    </row>
    <row r="26" spans="1:15">
      <c r="A26" t="s">
        <v>750</v>
      </c>
      <c r="B26" s="138">
        <v>75.350053000000003</v>
      </c>
      <c r="C26" s="138">
        <f t="shared" si="1"/>
        <v>75.350053000000003</v>
      </c>
      <c r="D26" s="46">
        <f t="shared" si="2"/>
        <v>0.24302245684926446</v>
      </c>
      <c r="M26" s="146" t="s">
        <v>750</v>
      </c>
      <c r="N26" s="147">
        <v>75.350053000000003</v>
      </c>
      <c r="O26" s="148">
        <f t="shared" si="3"/>
        <v>0.22985161650303307</v>
      </c>
    </row>
    <row r="27" spans="1:15">
      <c r="A27" t="s">
        <v>751</v>
      </c>
      <c r="B27" s="138">
        <v>45.507764999999999</v>
      </c>
      <c r="C27" s="138">
        <f t="shared" si="1"/>
        <v>45.507764999999999</v>
      </c>
      <c r="D27" s="46">
        <f t="shared" si="2"/>
        <v>0.14677373692117995</v>
      </c>
      <c r="M27" s="143" t="s">
        <v>751</v>
      </c>
      <c r="N27" s="144">
        <v>45.507764999999999</v>
      </c>
      <c r="O27" s="145">
        <f t="shared" si="3"/>
        <v>0.13881919032877324</v>
      </c>
    </row>
    <row r="28" spans="1:15">
      <c r="A28" t="s">
        <v>752</v>
      </c>
      <c r="B28" s="138">
        <v>21.666802000000001</v>
      </c>
      <c r="C28" s="138">
        <f t="shared" si="1"/>
        <v>21.666802000000001</v>
      </c>
      <c r="D28" s="46">
        <f t="shared" si="2"/>
        <v>6.9880766429010435E-2</v>
      </c>
      <c r="M28" s="146" t="s">
        <v>752</v>
      </c>
      <c r="N28" s="147">
        <v>21.666802000000001</v>
      </c>
      <c r="O28" s="148">
        <f t="shared" si="3"/>
        <v>6.6093509770340175E-2</v>
      </c>
    </row>
    <row r="29" spans="1:15">
      <c r="A29" t="s">
        <v>753</v>
      </c>
      <c r="B29" s="138">
        <v>18.055053999999998</v>
      </c>
      <c r="C29" s="138">
        <f t="shared" si="1"/>
        <v>18.055053999999998</v>
      </c>
      <c r="D29" s="46">
        <f t="shared" si="2"/>
        <v>5.8231990648050895E-2</v>
      </c>
      <c r="M29" s="143" t="s">
        <v>753</v>
      </c>
      <c r="N29" s="144">
        <v>18.055053999999998</v>
      </c>
      <c r="O29" s="145">
        <f t="shared" si="3"/>
        <v>5.5076050815114262E-2</v>
      </c>
    </row>
    <row r="30" spans="1:15">
      <c r="A30" t="s">
        <v>754</v>
      </c>
      <c r="B30" s="138">
        <v>16.090800000000002</v>
      </c>
      <c r="C30" s="138">
        <f t="shared" si="1"/>
        <v>16.090800000000002</v>
      </c>
      <c r="D30" s="46">
        <f t="shared" si="2"/>
        <v>5.1896788296487924E-2</v>
      </c>
      <c r="M30" s="146" t="s">
        <v>754</v>
      </c>
      <c r="N30" s="147">
        <v>18.722828</v>
      </c>
      <c r="O30" s="148">
        <f t="shared" si="3"/>
        <v>5.7113062432859199E-2</v>
      </c>
    </row>
    <row r="31" spans="1:15">
      <c r="A31" t="s">
        <v>665</v>
      </c>
      <c r="C31" s="138">
        <f>C32-SUM(C25:C30)</f>
        <v>48.206676000000016</v>
      </c>
      <c r="D31" s="46">
        <f t="shared" si="2"/>
        <v>0.15547838882152448</v>
      </c>
      <c r="M31" s="143" t="s">
        <v>665</v>
      </c>
      <c r="N31" s="144">
        <f>N32-SUM(N25:N30)</f>
        <v>63.341197000000022</v>
      </c>
      <c r="O31" s="145">
        <f t="shared" si="3"/>
        <v>0.19321919417478145</v>
      </c>
    </row>
    <row r="32" spans="1:15">
      <c r="A32" s="114" t="s">
        <v>181</v>
      </c>
      <c r="C32" s="137">
        <v>310.05386900000002</v>
      </c>
      <c r="D32" s="114"/>
      <c r="E32" s="114"/>
      <c r="M32" s="149" t="s">
        <v>181</v>
      </c>
      <c r="N32" s="150">
        <v>327.82041800000002</v>
      </c>
      <c r="O32" s="149"/>
    </row>
    <row r="34" spans="1:5">
      <c r="B34">
        <f>SUM(B25:B30)</f>
        <v>261.847193</v>
      </c>
    </row>
    <row r="35" spans="1:5">
      <c r="B35">
        <v>18</v>
      </c>
      <c r="E35">
        <f>20%*N32</f>
        <v>65.564083600000004</v>
      </c>
    </row>
    <row r="36" spans="1:5">
      <c r="B36">
        <v>15.875</v>
      </c>
      <c r="E36">
        <f>20%*C32</f>
        <v>62.01077380000001</v>
      </c>
    </row>
    <row r="37" spans="1:5">
      <c r="B37">
        <f>B34+B35+B36</f>
        <v>295.722193</v>
      </c>
    </row>
    <row r="42" spans="1:5">
      <c r="A42" t="s">
        <v>756</v>
      </c>
      <c r="B42">
        <v>331.68799999999999</v>
      </c>
    </row>
    <row r="50" spans="9:11">
      <c r="I50">
        <v>130.49199999999999</v>
      </c>
    </row>
    <row r="51" spans="9:11">
      <c r="I51">
        <v>16.558</v>
      </c>
      <c r="J51">
        <f>I51/500</f>
        <v>3.3116E-2</v>
      </c>
      <c r="K51">
        <f>J51*1000</f>
        <v>33.116</v>
      </c>
    </row>
    <row r="52" spans="9:11">
      <c r="I52" s="114">
        <f>I50+I51</f>
        <v>147.04999999999998</v>
      </c>
    </row>
    <row r="53" spans="9:11">
      <c r="I53">
        <v>-146.75700000000001</v>
      </c>
    </row>
    <row r="54" spans="9:11">
      <c r="I54">
        <f>I52+I53</f>
        <v>0.29299999999997794</v>
      </c>
    </row>
    <row r="55" spans="9:11">
      <c r="I55">
        <f>I54*1000</f>
        <v>292.99999999997794</v>
      </c>
    </row>
    <row r="56" spans="9:11">
      <c r="I56">
        <v>18</v>
      </c>
    </row>
    <row r="57" spans="9:11">
      <c r="I57">
        <v>15.717000000000001</v>
      </c>
    </row>
    <row r="58" spans="9:11">
      <c r="I58">
        <f>I55+I56+I57</f>
        <v>326.71699999997793</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55733-5303-432E-BB8D-73A4FB4833CC}">
  <sheetPr codeName="Sheet23"/>
  <dimension ref="A4:AF258"/>
  <sheetViews>
    <sheetView zoomScaleNormal="100" workbookViewId="0"/>
  </sheetViews>
  <sheetFormatPr defaultRowHeight="15"/>
  <cols>
    <col min="1" max="1" width="25.5703125" customWidth="1"/>
    <col min="2" max="32" width="10.5703125" customWidth="1"/>
  </cols>
  <sheetData>
    <row r="4" spans="1:13">
      <c r="A4" s="114" t="s">
        <v>791</v>
      </c>
      <c r="B4" s="137" t="s">
        <v>789</v>
      </c>
      <c r="C4" s="137" t="s">
        <v>790</v>
      </c>
      <c r="G4" t="s">
        <v>797</v>
      </c>
    </row>
    <row r="5" spans="1:13">
      <c r="A5" t="s">
        <v>787</v>
      </c>
      <c r="B5" s="138">
        <v>545</v>
      </c>
      <c r="C5" s="138">
        <v>585</v>
      </c>
      <c r="E5" s="138">
        <f>(B5+C5)/2</f>
        <v>565</v>
      </c>
      <c r="G5" s="108">
        <f>E5/D18</f>
        <v>0.29824746621621623</v>
      </c>
      <c r="H5" s="108">
        <f>E6/D18</f>
        <v>0.35103462837837834</v>
      </c>
    </row>
    <row r="6" spans="1:13">
      <c r="A6" t="s">
        <v>788</v>
      </c>
      <c r="B6" s="138">
        <v>645</v>
      </c>
      <c r="C6" s="138">
        <v>685</v>
      </c>
      <c r="E6" s="138">
        <f>(B6+C6)/2</f>
        <v>665</v>
      </c>
      <c r="K6" s="154">
        <f>-D29</f>
        <v>110</v>
      </c>
      <c r="L6" s="154">
        <f>-E29</f>
        <v>82</v>
      </c>
      <c r="M6" s="154">
        <f>-F29</f>
        <v>23</v>
      </c>
    </row>
    <row r="7" spans="1:13">
      <c r="A7" t="s">
        <v>638</v>
      </c>
      <c r="B7" s="138">
        <f>B6-B5</f>
        <v>100</v>
      </c>
      <c r="C7" s="138">
        <f>C6-C5</f>
        <v>100</v>
      </c>
      <c r="E7" s="138">
        <f>E6-E5</f>
        <v>100</v>
      </c>
      <c r="G7" t="s">
        <v>798</v>
      </c>
      <c r="K7" s="165">
        <f>K6/214</f>
        <v>0.51401869158878499</v>
      </c>
      <c r="L7" s="165">
        <f>L6/214</f>
        <v>0.38317757009345793</v>
      </c>
      <c r="M7" s="165">
        <f>M6/214</f>
        <v>0.10747663551401869</v>
      </c>
    </row>
    <row r="8" spans="1:13">
      <c r="A8" t="s">
        <v>792</v>
      </c>
      <c r="B8" s="329">
        <f>B6/B5-1</f>
        <v>0.1834862385321101</v>
      </c>
      <c r="C8" s="329">
        <f>C6/C5-1</f>
        <v>0.170940170940171</v>
      </c>
      <c r="E8" s="329">
        <f>E6/E5-1</f>
        <v>0.17699115044247793</v>
      </c>
      <c r="G8" s="108">
        <f>E5/D23</f>
        <v>0.2880743833551131</v>
      </c>
      <c r="H8" s="108">
        <f>E6/D23</f>
        <v>0.33906099987814198</v>
      </c>
    </row>
    <row r="10" spans="1:13">
      <c r="A10" t="s">
        <v>793</v>
      </c>
    </row>
    <row r="14" spans="1:13">
      <c r="B14" s="114"/>
      <c r="C14" s="114"/>
      <c r="D14" s="114"/>
      <c r="E14" s="114"/>
      <c r="F14" s="114"/>
      <c r="G14" s="114"/>
      <c r="H14" s="114"/>
      <c r="I14" s="114"/>
      <c r="J14" s="114"/>
      <c r="K14" s="114"/>
      <c r="L14" s="114"/>
    </row>
    <row r="15" spans="1:13">
      <c r="A15" s="114" t="s">
        <v>637</v>
      </c>
      <c r="B15" s="114">
        <v>2020</v>
      </c>
      <c r="C15" s="114">
        <f>B15+1</f>
        <v>2021</v>
      </c>
      <c r="D15" s="114">
        <f t="shared" ref="D15:L15" si="0">C15+1</f>
        <v>2022</v>
      </c>
      <c r="E15" s="114">
        <f t="shared" si="0"/>
        <v>2023</v>
      </c>
      <c r="F15" s="114">
        <f t="shared" si="0"/>
        <v>2024</v>
      </c>
      <c r="G15" s="114">
        <f t="shared" si="0"/>
        <v>2025</v>
      </c>
      <c r="H15" s="114">
        <f t="shared" si="0"/>
        <v>2026</v>
      </c>
      <c r="I15" s="114">
        <f t="shared" si="0"/>
        <v>2027</v>
      </c>
      <c r="J15" s="114">
        <f t="shared" si="0"/>
        <v>2028</v>
      </c>
      <c r="K15" s="114">
        <f t="shared" si="0"/>
        <v>2029</v>
      </c>
      <c r="L15" s="114">
        <f t="shared" si="0"/>
        <v>2030</v>
      </c>
    </row>
    <row r="16" spans="1:13">
      <c r="A16" t="s">
        <v>316</v>
      </c>
      <c r="B16" s="326">
        <v>229</v>
      </c>
      <c r="C16" s="326">
        <v>402</v>
      </c>
      <c r="D16" s="326">
        <f>566.3+13.5</f>
        <v>579.79999999999995</v>
      </c>
      <c r="E16" s="326">
        <f>576.6+0</f>
        <v>576.6</v>
      </c>
      <c r="F16" s="326">
        <f>601.4+1</f>
        <v>602.4</v>
      </c>
      <c r="G16" s="326">
        <f>608.4+1</f>
        <v>609.4</v>
      </c>
      <c r="H16" s="326">
        <f>510.5+1</f>
        <v>511.5</v>
      </c>
      <c r="I16" s="326">
        <f>620.2+1</f>
        <v>621.20000000000005</v>
      </c>
      <c r="J16" s="326">
        <f>522.8+1</f>
        <v>523.79999999999995</v>
      </c>
      <c r="K16" s="326">
        <f>388.9+1</f>
        <v>389.9</v>
      </c>
      <c r="L16" s="326">
        <f>244.5+1</f>
        <v>245.5</v>
      </c>
    </row>
    <row r="17" spans="1:32">
      <c r="A17" t="s">
        <v>794</v>
      </c>
      <c r="B17" s="326">
        <v>375</v>
      </c>
      <c r="C17" s="326">
        <f>345+61</f>
        <v>406</v>
      </c>
      <c r="D17" s="326">
        <v>353.4</v>
      </c>
      <c r="E17" s="326">
        <v>440.7</v>
      </c>
      <c r="F17" s="326">
        <v>539.6</v>
      </c>
      <c r="G17" s="326">
        <v>647.70000000000005</v>
      </c>
      <c r="H17" s="326">
        <v>732</v>
      </c>
      <c r="I17" s="326">
        <v>847.7</v>
      </c>
      <c r="J17" s="326">
        <v>798.2</v>
      </c>
      <c r="K17" s="326">
        <v>850.8</v>
      </c>
      <c r="L17" s="326">
        <v>935.5</v>
      </c>
    </row>
    <row r="18" spans="1:32">
      <c r="A18" t="s">
        <v>796</v>
      </c>
      <c r="D18">
        <f>1894.4</f>
        <v>1894.4</v>
      </c>
    </row>
    <row r="20" spans="1:32">
      <c r="A20" s="114" t="s">
        <v>795</v>
      </c>
      <c r="B20" s="114">
        <v>2020</v>
      </c>
      <c r="C20" s="114">
        <f>B20+1</f>
        <v>2021</v>
      </c>
      <c r="D20" s="114">
        <f t="shared" ref="D20:L20" si="1">C20+1</f>
        <v>2022</v>
      </c>
      <c r="E20" s="114">
        <f t="shared" si="1"/>
        <v>2023</v>
      </c>
      <c r="F20" s="114">
        <f t="shared" si="1"/>
        <v>2024</v>
      </c>
      <c r="G20" s="114">
        <f t="shared" si="1"/>
        <v>2025</v>
      </c>
      <c r="H20" s="114">
        <f t="shared" si="1"/>
        <v>2026</v>
      </c>
      <c r="I20" s="114">
        <f t="shared" si="1"/>
        <v>2027</v>
      </c>
      <c r="J20" s="114">
        <f t="shared" si="1"/>
        <v>2028</v>
      </c>
      <c r="K20" s="114">
        <f t="shared" si="1"/>
        <v>2029</v>
      </c>
      <c r="L20" s="114">
        <f t="shared" si="1"/>
        <v>2030</v>
      </c>
    </row>
    <row r="21" spans="1:32">
      <c r="A21" t="s">
        <v>316</v>
      </c>
      <c r="B21" s="326">
        <f>Consolidation!F88</f>
        <v>229</v>
      </c>
      <c r="C21" s="326">
        <f>Consolidation!G88</f>
        <v>402</v>
      </c>
      <c r="D21" s="326">
        <f>Consolidation!H88</f>
        <v>634</v>
      </c>
      <c r="E21" s="326">
        <f>Consolidation!I88</f>
        <v>586</v>
      </c>
      <c r="F21" s="326">
        <f>Consolidation!J88</f>
        <v>257</v>
      </c>
      <c r="G21" s="326">
        <f>Consolidation!K88</f>
        <v>258.79166107797295</v>
      </c>
      <c r="H21" s="326">
        <f>Consolidation!L88</f>
        <v>269.40147831582021</v>
      </c>
      <c r="I21" s="326">
        <f>Consolidation!M88</f>
        <v>278.20707248888192</v>
      </c>
      <c r="J21" s="326">
        <f>Consolidation!N88</f>
        <v>295.05278547486472</v>
      </c>
      <c r="K21" s="326">
        <f>Consolidation!O88</f>
        <v>302.12273200606688</v>
      </c>
      <c r="L21" s="326">
        <f>Consolidation!P88</f>
        <v>319.91401698300626</v>
      </c>
    </row>
    <row r="22" spans="1:32">
      <c r="A22" t="s">
        <v>603</v>
      </c>
      <c r="B22" s="326">
        <f>Master!G315</f>
        <v>106.90699999999998</v>
      </c>
      <c r="C22" s="326">
        <f>Master!H315</f>
        <v>60.270999999999923</v>
      </c>
      <c r="D22" s="326">
        <f>Master!I315</f>
        <v>-148.4500000000001</v>
      </c>
      <c r="E22" s="326">
        <f>Master!J315</f>
        <v>-246.73699999999982</v>
      </c>
      <c r="F22" s="326">
        <f>Master!K315</f>
        <v>-40.616000000000106</v>
      </c>
      <c r="G22" s="326">
        <f>Master!L315</f>
        <v>11.834328135900726</v>
      </c>
      <c r="H22" s="326">
        <f>Master!M315</f>
        <v>33.410728409760068</v>
      </c>
      <c r="I22" s="326">
        <f>Master!N315</f>
        <v>91.939865491054931</v>
      </c>
      <c r="J22" s="326">
        <f>Master!O315</f>
        <v>118.42973988457213</v>
      </c>
      <c r="K22" s="326">
        <f>Master!P315</f>
        <v>156.36720053611043</v>
      </c>
      <c r="L22" s="326">
        <f>Master!Q315</f>
        <v>186.17521597972009</v>
      </c>
    </row>
    <row r="23" spans="1:32">
      <c r="A23" t="s">
        <v>796</v>
      </c>
      <c r="D23">
        <f>Consolidation!H10</f>
        <v>1961.2990000000002</v>
      </c>
    </row>
    <row r="28" spans="1:32">
      <c r="D28" s="114">
        <v>2022</v>
      </c>
      <c r="E28" s="114">
        <f>D28+1</f>
        <v>2023</v>
      </c>
      <c r="F28" s="114">
        <f t="shared" ref="F28:N28" si="2">E28+1</f>
        <v>2024</v>
      </c>
      <c r="G28" s="114">
        <f t="shared" si="2"/>
        <v>2025</v>
      </c>
      <c r="H28" s="114">
        <f t="shared" si="2"/>
        <v>2026</v>
      </c>
      <c r="I28" s="114">
        <f t="shared" si="2"/>
        <v>2027</v>
      </c>
      <c r="J28" s="114">
        <f t="shared" si="2"/>
        <v>2028</v>
      </c>
      <c r="K28" s="114">
        <f t="shared" si="2"/>
        <v>2029</v>
      </c>
      <c r="L28" s="114">
        <f t="shared" si="2"/>
        <v>2030</v>
      </c>
      <c r="M28" s="114">
        <f t="shared" si="2"/>
        <v>2031</v>
      </c>
      <c r="N28" s="114">
        <f t="shared" si="2"/>
        <v>2032</v>
      </c>
      <c r="O28" s="114">
        <f t="shared" ref="O28:T28" si="3">N28+1</f>
        <v>2033</v>
      </c>
      <c r="P28" s="114">
        <f t="shared" si="3"/>
        <v>2034</v>
      </c>
      <c r="Q28" s="114">
        <f t="shared" si="3"/>
        <v>2035</v>
      </c>
      <c r="R28" s="114">
        <f t="shared" si="3"/>
        <v>2036</v>
      </c>
      <c r="S28" s="114">
        <f t="shared" si="3"/>
        <v>2037</v>
      </c>
      <c r="T28" s="114">
        <f t="shared" si="3"/>
        <v>2038</v>
      </c>
      <c r="U28" s="114">
        <f>T28+1</f>
        <v>2039</v>
      </c>
      <c r="V28" s="114">
        <f>U28+1</f>
        <v>2040</v>
      </c>
      <c r="W28" s="114">
        <f t="shared" ref="W28:AF28" si="4">V28+1</f>
        <v>2041</v>
      </c>
      <c r="X28" s="114">
        <f t="shared" si="4"/>
        <v>2042</v>
      </c>
      <c r="Y28" s="114">
        <f t="shared" si="4"/>
        <v>2043</v>
      </c>
      <c r="Z28" s="114">
        <f t="shared" si="4"/>
        <v>2044</v>
      </c>
      <c r="AA28" s="114">
        <f t="shared" si="4"/>
        <v>2045</v>
      </c>
      <c r="AB28" s="114">
        <f t="shared" si="4"/>
        <v>2046</v>
      </c>
      <c r="AC28" s="114">
        <f t="shared" si="4"/>
        <v>2047</v>
      </c>
      <c r="AD28" s="114">
        <f t="shared" si="4"/>
        <v>2048</v>
      </c>
      <c r="AE28" s="114">
        <f t="shared" si="4"/>
        <v>2049</v>
      </c>
      <c r="AF28" s="114">
        <f t="shared" si="4"/>
        <v>2050</v>
      </c>
    </row>
    <row r="29" spans="1:32">
      <c r="D29">
        <v>-110</v>
      </c>
      <c r="E29" s="326">
        <v>-82</v>
      </c>
      <c r="F29" s="326">
        <v>-23</v>
      </c>
      <c r="G29" s="326"/>
    </row>
    <row r="30" spans="1:32">
      <c r="D30">
        <v>0</v>
      </c>
      <c r="E30">
        <v>22</v>
      </c>
      <c r="F30">
        <v>51</v>
      </c>
      <c r="G30">
        <v>77</v>
      </c>
      <c r="H30">
        <v>77</v>
      </c>
      <c r="I30">
        <v>77</v>
      </c>
      <c r="J30">
        <v>77</v>
      </c>
      <c r="K30">
        <v>77</v>
      </c>
      <c r="L30">
        <v>77</v>
      </c>
      <c r="M30">
        <v>77</v>
      </c>
      <c r="N30">
        <v>77</v>
      </c>
      <c r="O30">
        <v>77</v>
      </c>
      <c r="P30">
        <v>77</v>
      </c>
      <c r="Q30">
        <v>77</v>
      </c>
      <c r="R30">
        <v>77</v>
      </c>
      <c r="S30">
        <v>77</v>
      </c>
      <c r="T30">
        <v>77</v>
      </c>
      <c r="U30">
        <v>77</v>
      </c>
      <c r="V30">
        <v>77</v>
      </c>
      <c r="W30">
        <v>77</v>
      </c>
      <c r="X30">
        <v>77</v>
      </c>
      <c r="Y30">
        <v>77</v>
      </c>
      <c r="Z30">
        <v>77</v>
      </c>
      <c r="AA30">
        <v>77</v>
      </c>
      <c r="AB30">
        <v>77</v>
      </c>
      <c r="AC30">
        <v>77</v>
      </c>
      <c r="AD30">
        <v>77</v>
      </c>
      <c r="AE30">
        <v>77</v>
      </c>
      <c r="AF30">
        <v>77</v>
      </c>
    </row>
    <row r="31" spans="1:32">
      <c r="D31" s="328">
        <f>D29+D30</f>
        <v>-110</v>
      </c>
      <c r="E31" s="328">
        <f t="shared" ref="E31:N31" si="5">E29+E30</f>
        <v>-60</v>
      </c>
      <c r="F31" s="328">
        <f t="shared" si="5"/>
        <v>28</v>
      </c>
      <c r="G31" s="328">
        <f t="shared" si="5"/>
        <v>77</v>
      </c>
      <c r="H31" s="328">
        <f t="shared" si="5"/>
        <v>77</v>
      </c>
      <c r="I31" s="328">
        <f t="shared" si="5"/>
        <v>77</v>
      </c>
      <c r="J31" s="328">
        <f t="shared" si="5"/>
        <v>77</v>
      </c>
      <c r="K31" s="328">
        <f t="shared" si="5"/>
        <v>77</v>
      </c>
      <c r="L31" s="328">
        <f t="shared" si="5"/>
        <v>77</v>
      </c>
      <c r="M31" s="328">
        <f t="shared" si="5"/>
        <v>77</v>
      </c>
      <c r="N31" s="328">
        <f t="shared" si="5"/>
        <v>77</v>
      </c>
      <c r="O31" s="328">
        <f>O29+O30</f>
        <v>77</v>
      </c>
      <c r="P31" s="328">
        <f>P29+P30</f>
        <v>77</v>
      </c>
      <c r="Q31" s="328">
        <f>Q29+Q30</f>
        <v>77</v>
      </c>
      <c r="R31" s="328"/>
      <c r="S31" s="328"/>
      <c r="T31" s="328"/>
      <c r="U31" s="328"/>
      <c r="V31" s="328"/>
      <c r="W31" s="328"/>
      <c r="X31" s="328"/>
      <c r="Y31" s="328"/>
      <c r="Z31" s="328"/>
      <c r="AA31" s="328"/>
      <c r="AB31" s="328"/>
      <c r="AC31" s="328"/>
      <c r="AD31" s="328"/>
      <c r="AE31" s="328"/>
      <c r="AF31" s="328"/>
    </row>
    <row r="32" spans="1:32">
      <c r="H32" s="326">
        <f>H31/C34</f>
        <v>653.36683323278271</v>
      </c>
    </row>
    <row r="33" spans="3:17">
      <c r="H33" s="327">
        <f>H32/(1+C34)^3</f>
        <v>467.74075156421247</v>
      </c>
    </row>
    <row r="34" spans="3:17">
      <c r="C34" s="47">
        <f>Valuation!C37</f>
        <v>0.1178511</v>
      </c>
    </row>
    <row r="35" spans="3:17">
      <c r="D35">
        <f>D31</f>
        <v>-110</v>
      </c>
      <c r="E35">
        <f>E31</f>
        <v>-60</v>
      </c>
      <c r="F35">
        <f>F31</f>
        <v>28</v>
      </c>
      <c r="G35">
        <f>G31</f>
        <v>77</v>
      </c>
      <c r="H35" s="326">
        <f>H33</f>
        <v>467.74075156421247</v>
      </c>
    </row>
    <row r="37" spans="3:17">
      <c r="D37" s="358">
        <f>IRR(D31:AL31)</f>
        <v>0.30630271899015282</v>
      </c>
    </row>
    <row r="41" spans="3:17">
      <c r="D41">
        <f>D28</f>
        <v>2022</v>
      </c>
      <c r="E41">
        <f t="shared" ref="E41:L41" si="6">E28</f>
        <v>2023</v>
      </c>
      <c r="F41">
        <f t="shared" si="6"/>
        <v>2024</v>
      </c>
      <c r="G41">
        <f t="shared" si="6"/>
        <v>2025</v>
      </c>
      <c r="H41">
        <f t="shared" si="6"/>
        <v>2026</v>
      </c>
      <c r="I41">
        <f t="shared" si="6"/>
        <v>2027</v>
      </c>
      <c r="J41">
        <f t="shared" si="6"/>
        <v>2028</v>
      </c>
      <c r="K41">
        <f t="shared" si="6"/>
        <v>2029</v>
      </c>
      <c r="L41">
        <f t="shared" si="6"/>
        <v>2030</v>
      </c>
    </row>
    <row r="42" spans="3:17">
      <c r="D42" s="330">
        <f>-D29/D16</f>
        <v>0.18972059330803726</v>
      </c>
      <c r="E42" s="330">
        <f t="shared" ref="E42:L42" si="7">-E29/E16</f>
        <v>0.14221297259798821</v>
      </c>
      <c r="F42" s="330">
        <f t="shared" si="7"/>
        <v>3.8180610889774237E-2</v>
      </c>
      <c r="G42" s="330">
        <f t="shared" si="7"/>
        <v>0</v>
      </c>
      <c r="H42" s="330">
        <f t="shared" si="7"/>
        <v>0</v>
      </c>
      <c r="I42" s="330">
        <f t="shared" si="7"/>
        <v>0</v>
      </c>
      <c r="J42" s="330">
        <f t="shared" si="7"/>
        <v>0</v>
      </c>
      <c r="K42" s="330">
        <f t="shared" si="7"/>
        <v>0</v>
      </c>
      <c r="L42" s="330">
        <f t="shared" si="7"/>
        <v>0</v>
      </c>
      <c r="M42" s="330"/>
      <c r="N42" s="330"/>
      <c r="O42" s="330"/>
      <c r="P42" s="330"/>
      <c r="Q42" s="330"/>
    </row>
    <row r="43" spans="3:17">
      <c r="D43" s="330">
        <f>D30/D17</f>
        <v>0</v>
      </c>
      <c r="E43" s="330">
        <f t="shared" ref="E43:L43" si="8">E30/E17</f>
        <v>4.9920580894032222E-2</v>
      </c>
      <c r="F43" s="330">
        <f t="shared" si="8"/>
        <v>9.451445515196441E-2</v>
      </c>
      <c r="G43" s="330">
        <f t="shared" si="8"/>
        <v>0.11888219854871082</v>
      </c>
      <c r="H43" s="330">
        <f t="shared" si="8"/>
        <v>0.1051912568306011</v>
      </c>
      <c r="I43" s="330">
        <f t="shared" si="8"/>
        <v>9.083402146985961E-2</v>
      </c>
      <c r="J43" s="330">
        <f t="shared" si="8"/>
        <v>9.6467050864445E-2</v>
      </c>
      <c r="K43" s="330">
        <f t="shared" si="8"/>
        <v>9.0503055947343675E-2</v>
      </c>
      <c r="L43" s="330">
        <f t="shared" si="8"/>
        <v>8.2308925708177438E-2</v>
      </c>
      <c r="M43" s="330"/>
      <c r="N43" s="330"/>
      <c r="O43" s="330"/>
      <c r="P43" s="330"/>
      <c r="Q43" s="330"/>
    </row>
    <row r="46" spans="3:17">
      <c r="D46" s="330">
        <f>-D29/D21</f>
        <v>0.17350157728706625</v>
      </c>
      <c r="E46" s="330">
        <f t="shared" ref="E46:L46" si="9">-E29/E21</f>
        <v>0.13993174061433447</v>
      </c>
      <c r="F46" s="330">
        <f t="shared" si="9"/>
        <v>8.9494163424124515E-2</v>
      </c>
      <c r="G46" s="330">
        <f t="shared" si="9"/>
        <v>0</v>
      </c>
      <c r="H46" s="330">
        <f t="shared" si="9"/>
        <v>0</v>
      </c>
      <c r="I46" s="330">
        <f t="shared" si="9"/>
        <v>0</v>
      </c>
      <c r="J46" s="330">
        <f t="shared" si="9"/>
        <v>0</v>
      </c>
      <c r="K46" s="330">
        <f t="shared" si="9"/>
        <v>0</v>
      </c>
      <c r="L46" s="330">
        <f t="shared" si="9"/>
        <v>0</v>
      </c>
    </row>
    <row r="47" spans="3:17">
      <c r="D47" s="330">
        <f>D30/D22</f>
        <v>0</v>
      </c>
      <c r="E47" s="330">
        <f t="shared" ref="E47:O47" si="10">E30/E22</f>
        <v>-8.9163765466873698E-2</v>
      </c>
      <c r="F47" s="330">
        <f t="shared" si="10"/>
        <v>-1.2556627929879818</v>
      </c>
      <c r="G47" s="330">
        <f t="shared" si="10"/>
        <v>6.506495266631326</v>
      </c>
      <c r="H47" s="330">
        <f t="shared" si="10"/>
        <v>2.3046489455616439</v>
      </c>
      <c r="I47" s="330">
        <f t="shared" si="10"/>
        <v>0.83750394443954812</v>
      </c>
      <c r="J47" s="330">
        <f t="shared" si="10"/>
        <v>0.65017452605273185</v>
      </c>
      <c r="K47" s="330">
        <f t="shared" si="10"/>
        <v>0.49243063593901276</v>
      </c>
      <c r="L47" s="330">
        <f t="shared" si="10"/>
        <v>0.41358888504465358</v>
      </c>
      <c r="M47" s="330" t="e">
        <f t="shared" si="10"/>
        <v>#DIV/0!</v>
      </c>
      <c r="N47" s="330" t="e">
        <f t="shared" si="10"/>
        <v>#DIV/0!</v>
      </c>
      <c r="O47" s="330" t="e">
        <f t="shared" si="10"/>
        <v>#DIV/0!</v>
      </c>
    </row>
    <row r="51" spans="1:21">
      <c r="E51" s="154"/>
      <c r="F51" s="154"/>
      <c r="G51" s="154"/>
      <c r="H51" s="154"/>
      <c r="I51" s="159"/>
      <c r="J51" s="159"/>
      <c r="K51" s="154"/>
      <c r="L51" s="154"/>
      <c r="M51" s="154"/>
      <c r="P51" s="154"/>
    </row>
    <row r="52" spans="1:21">
      <c r="E52" s="154"/>
      <c r="F52" s="154"/>
      <c r="G52" s="154"/>
      <c r="H52" s="154"/>
      <c r="I52" s="154"/>
      <c r="J52" s="154"/>
      <c r="K52" s="154"/>
      <c r="L52" s="154"/>
      <c r="M52" s="154"/>
      <c r="P52" s="154"/>
    </row>
    <row r="53" spans="1:21">
      <c r="A53" s="114"/>
      <c r="B53" s="114">
        <f t="shared" ref="B53:O53" si="11">D28</f>
        <v>2022</v>
      </c>
      <c r="C53" s="114">
        <f t="shared" si="11"/>
        <v>2023</v>
      </c>
      <c r="D53" s="114">
        <f t="shared" si="11"/>
        <v>2024</v>
      </c>
      <c r="E53" s="114">
        <f t="shared" si="11"/>
        <v>2025</v>
      </c>
      <c r="F53" s="114">
        <f t="shared" si="11"/>
        <v>2026</v>
      </c>
      <c r="G53" s="114">
        <f t="shared" si="11"/>
        <v>2027</v>
      </c>
      <c r="H53" s="114">
        <f t="shared" si="11"/>
        <v>2028</v>
      </c>
      <c r="I53" s="114">
        <f t="shared" si="11"/>
        <v>2029</v>
      </c>
      <c r="J53" s="114">
        <f t="shared" si="11"/>
        <v>2030</v>
      </c>
      <c r="K53" s="114">
        <f t="shared" si="11"/>
        <v>2031</v>
      </c>
      <c r="L53" s="114">
        <f t="shared" si="11"/>
        <v>2032</v>
      </c>
      <c r="M53" s="114">
        <f t="shared" si="11"/>
        <v>2033</v>
      </c>
      <c r="N53" s="114">
        <f t="shared" si="11"/>
        <v>2034</v>
      </c>
      <c r="O53" s="114">
        <f t="shared" si="11"/>
        <v>2035</v>
      </c>
      <c r="P53" s="114"/>
      <c r="Q53" s="114"/>
      <c r="R53" s="114"/>
      <c r="S53" s="114"/>
      <c r="T53" s="114"/>
      <c r="U53" s="114"/>
    </row>
    <row r="54" spans="1:21">
      <c r="A54" t="s">
        <v>799</v>
      </c>
      <c r="B54">
        <f>D29</f>
        <v>-110</v>
      </c>
      <c r="C54">
        <f>E29</f>
        <v>-82</v>
      </c>
      <c r="D54">
        <f>F29</f>
        <v>-23</v>
      </c>
      <c r="P54" s="154"/>
    </row>
    <row r="55" spans="1:21">
      <c r="A55" t="s">
        <v>800</v>
      </c>
      <c r="C55">
        <f t="shared" ref="C55:O55" si="12">E30</f>
        <v>22</v>
      </c>
      <c r="D55">
        <f t="shared" si="12"/>
        <v>51</v>
      </c>
      <c r="E55">
        <f t="shared" si="12"/>
        <v>77</v>
      </c>
      <c r="F55">
        <f t="shared" si="12"/>
        <v>77</v>
      </c>
      <c r="G55">
        <f t="shared" si="12"/>
        <v>77</v>
      </c>
      <c r="H55">
        <f t="shared" si="12"/>
        <v>77</v>
      </c>
      <c r="I55">
        <f t="shared" si="12"/>
        <v>77</v>
      </c>
      <c r="J55">
        <f t="shared" si="12"/>
        <v>77</v>
      </c>
      <c r="K55">
        <f t="shared" si="12"/>
        <v>77</v>
      </c>
      <c r="L55">
        <f t="shared" si="12"/>
        <v>77</v>
      </c>
      <c r="M55">
        <f t="shared" si="12"/>
        <v>77</v>
      </c>
      <c r="N55">
        <f t="shared" si="12"/>
        <v>77</v>
      </c>
      <c r="O55">
        <f t="shared" si="12"/>
        <v>77</v>
      </c>
      <c r="P55" s="154"/>
    </row>
    <row r="56" spans="1:21">
      <c r="A56" s="328" t="s">
        <v>801</v>
      </c>
      <c r="B56" s="328">
        <f>B54+B55</f>
        <v>-110</v>
      </c>
      <c r="C56" s="328">
        <f t="shared" ref="C56:I56" si="13">C54+C55</f>
        <v>-60</v>
      </c>
      <c r="D56" s="328">
        <f t="shared" si="13"/>
        <v>28</v>
      </c>
      <c r="E56" s="328">
        <f t="shared" si="13"/>
        <v>77</v>
      </c>
      <c r="F56" s="328">
        <f t="shared" si="13"/>
        <v>77</v>
      </c>
      <c r="G56" s="328">
        <f t="shared" si="13"/>
        <v>77</v>
      </c>
      <c r="H56" s="328">
        <f t="shared" si="13"/>
        <v>77</v>
      </c>
      <c r="I56" s="328">
        <f t="shared" si="13"/>
        <v>77</v>
      </c>
      <c r="J56" s="328">
        <f t="shared" ref="J56:O56" si="14">J54+J55</f>
        <v>77</v>
      </c>
      <c r="K56" s="328">
        <f t="shared" si="14"/>
        <v>77</v>
      </c>
      <c r="L56" s="328">
        <f t="shared" si="14"/>
        <v>77</v>
      </c>
      <c r="M56" s="328">
        <f t="shared" si="14"/>
        <v>77</v>
      </c>
      <c r="N56" s="328">
        <f t="shared" si="14"/>
        <v>77</v>
      </c>
      <c r="O56" s="328">
        <f t="shared" si="14"/>
        <v>77</v>
      </c>
      <c r="P56" s="154"/>
    </row>
    <row r="57" spans="1:21">
      <c r="E57" s="154"/>
      <c r="F57" s="154"/>
      <c r="G57" s="154"/>
      <c r="H57" s="154"/>
      <c r="I57" s="154"/>
      <c r="J57" s="154"/>
      <c r="K57" s="154"/>
      <c r="L57" s="154"/>
      <c r="M57" s="154"/>
      <c r="N57" s="154"/>
      <c r="O57" s="154"/>
      <c r="P57" s="154"/>
    </row>
    <row r="58" spans="1:21">
      <c r="E58" s="154"/>
      <c r="F58" s="154"/>
      <c r="G58" s="154"/>
      <c r="H58" s="154"/>
      <c r="I58" s="154"/>
      <c r="J58" s="154"/>
      <c r="K58" s="154"/>
      <c r="L58" s="154"/>
      <c r="M58" s="154"/>
      <c r="N58" s="154"/>
      <c r="O58" s="154"/>
      <c r="P58" s="154"/>
    </row>
    <row r="59" spans="1:21">
      <c r="C59" s="326">
        <f>75%*C55</f>
        <v>16.5</v>
      </c>
      <c r="D59" s="326">
        <f t="shared" ref="D59:O59" si="15">75%*D55</f>
        <v>38.25</v>
      </c>
      <c r="E59" s="326">
        <f t="shared" si="15"/>
        <v>57.75</v>
      </c>
      <c r="F59" s="326">
        <f t="shared" si="15"/>
        <v>57.75</v>
      </c>
      <c r="G59" s="326">
        <f t="shared" si="15"/>
        <v>57.75</v>
      </c>
      <c r="H59" s="326">
        <f t="shared" si="15"/>
        <v>57.75</v>
      </c>
      <c r="I59" s="326">
        <f t="shared" si="15"/>
        <v>57.75</v>
      </c>
      <c r="J59" s="326">
        <f t="shared" si="15"/>
        <v>57.75</v>
      </c>
      <c r="K59" s="326">
        <f t="shared" si="15"/>
        <v>57.75</v>
      </c>
      <c r="L59" s="326">
        <f t="shared" si="15"/>
        <v>57.75</v>
      </c>
      <c r="M59" s="326">
        <f t="shared" si="15"/>
        <v>57.75</v>
      </c>
      <c r="N59" s="326">
        <f t="shared" si="15"/>
        <v>57.75</v>
      </c>
      <c r="O59" s="326">
        <f t="shared" si="15"/>
        <v>57.75</v>
      </c>
      <c r="P59" s="154"/>
    </row>
    <row r="60" spans="1:21">
      <c r="C60" s="326">
        <f>25%*C55</f>
        <v>5.5</v>
      </c>
      <c r="D60" s="326">
        <f t="shared" ref="D60:O60" si="16">25%*D55</f>
        <v>12.75</v>
      </c>
      <c r="E60" s="326">
        <f t="shared" si="16"/>
        <v>19.25</v>
      </c>
      <c r="F60" s="326">
        <f t="shared" si="16"/>
        <v>19.25</v>
      </c>
      <c r="G60" s="326">
        <f t="shared" si="16"/>
        <v>19.25</v>
      </c>
      <c r="H60" s="326">
        <f t="shared" si="16"/>
        <v>19.25</v>
      </c>
      <c r="I60" s="326">
        <f t="shared" si="16"/>
        <v>19.25</v>
      </c>
      <c r="J60" s="326">
        <f t="shared" si="16"/>
        <v>19.25</v>
      </c>
      <c r="K60" s="326">
        <f t="shared" si="16"/>
        <v>19.25</v>
      </c>
      <c r="L60" s="326">
        <f t="shared" si="16"/>
        <v>19.25</v>
      </c>
      <c r="M60" s="326">
        <f t="shared" si="16"/>
        <v>19.25</v>
      </c>
      <c r="N60" s="326">
        <f t="shared" si="16"/>
        <v>19.25</v>
      </c>
      <c r="O60" s="326">
        <f t="shared" si="16"/>
        <v>19.25</v>
      </c>
    </row>
    <row r="62" spans="1:21">
      <c r="B62">
        <f>B54+B60</f>
        <v>-110</v>
      </c>
      <c r="C62">
        <f t="shared" ref="C62:O62" si="17">C54+C60</f>
        <v>-76.5</v>
      </c>
      <c r="D62">
        <f t="shared" si="17"/>
        <v>-10.25</v>
      </c>
      <c r="E62">
        <f t="shared" si="17"/>
        <v>19.25</v>
      </c>
      <c r="F62">
        <f t="shared" si="17"/>
        <v>19.25</v>
      </c>
      <c r="G62">
        <f t="shared" si="17"/>
        <v>19.25</v>
      </c>
      <c r="H62">
        <f t="shared" si="17"/>
        <v>19.25</v>
      </c>
      <c r="I62">
        <f t="shared" si="17"/>
        <v>19.25</v>
      </c>
      <c r="J62">
        <f t="shared" si="17"/>
        <v>19.25</v>
      </c>
      <c r="K62">
        <f t="shared" si="17"/>
        <v>19.25</v>
      </c>
      <c r="L62">
        <f t="shared" si="17"/>
        <v>19.25</v>
      </c>
      <c r="M62">
        <f t="shared" si="17"/>
        <v>19.25</v>
      </c>
      <c r="N62">
        <f t="shared" si="17"/>
        <v>19.25</v>
      </c>
      <c r="O62">
        <f t="shared" si="17"/>
        <v>19.25</v>
      </c>
    </row>
    <row r="70" spans="2:5">
      <c r="C70" t="s">
        <v>802</v>
      </c>
    </row>
    <row r="71" spans="2:5">
      <c r="B71">
        <v>225</v>
      </c>
      <c r="C71">
        <v>333</v>
      </c>
      <c r="D71">
        <f>B71/C71</f>
        <v>0.67567567567567566</v>
      </c>
    </row>
    <row r="72" spans="2:5">
      <c r="B72">
        <v>170</v>
      </c>
      <c r="C72">
        <v>178</v>
      </c>
      <c r="D72">
        <f>B72/C72</f>
        <v>0.9550561797752809</v>
      </c>
      <c r="E72" s="108">
        <f>D72/D71-1</f>
        <v>0.41348314606741576</v>
      </c>
    </row>
    <row r="86" spans="1:12">
      <c r="A86" s="160"/>
      <c r="B86" s="161">
        <f>Consolidation!G26</f>
        <v>2021</v>
      </c>
      <c r="C86" s="161">
        <f>Consolidation!H26</f>
        <v>2022</v>
      </c>
      <c r="D86" s="161">
        <f>Consolidation!I26</f>
        <v>2023</v>
      </c>
      <c r="E86" s="161">
        <f>Consolidation!J26</f>
        <v>2024</v>
      </c>
      <c r="F86" s="161" t="str">
        <f>Consolidation!K26</f>
        <v>2025E</v>
      </c>
      <c r="G86" s="161" t="str">
        <f>Consolidation!L26</f>
        <v>2026E</v>
      </c>
      <c r="H86" s="161" t="str">
        <f>Consolidation!M26</f>
        <v>2027E</v>
      </c>
      <c r="I86" s="161" t="str">
        <f>Consolidation!N26</f>
        <v>2028E</v>
      </c>
      <c r="J86" s="161" t="str">
        <f>Consolidation!O26</f>
        <v>2029E</v>
      </c>
      <c r="K86" s="161" t="str">
        <f>Consolidation!P26</f>
        <v>2030E</v>
      </c>
      <c r="L86" s="154"/>
    </row>
    <row r="87" spans="1:12">
      <c r="A87" s="154" t="s">
        <v>809</v>
      </c>
      <c r="B87" s="156">
        <f>Consolidation!G32</f>
        <v>926.39599999999996</v>
      </c>
      <c r="C87" s="156">
        <f>Consolidation!H32</f>
        <v>1031.386</v>
      </c>
      <c r="D87" s="156">
        <f>Consolidation!I32</f>
        <v>1132.5350000000001</v>
      </c>
      <c r="E87" s="156">
        <f>Consolidation!J32</f>
        <v>928.35399999999993</v>
      </c>
      <c r="F87" s="156">
        <f>Consolidation!K32</f>
        <v>998.65849699308114</v>
      </c>
      <c r="G87" s="156">
        <f>Consolidation!L32</f>
        <v>1051.2963469177898</v>
      </c>
      <c r="H87" s="156">
        <f>Consolidation!M32</f>
        <v>1136.8872381829219</v>
      </c>
      <c r="I87" s="156">
        <f>Consolidation!N32</f>
        <v>1215.7125917450928</v>
      </c>
      <c r="J87" s="156">
        <f>Consolidation!O32</f>
        <v>1299.9171313615789</v>
      </c>
      <c r="K87" s="156">
        <f>Consolidation!P32</f>
        <v>1387.4387083095012</v>
      </c>
      <c r="L87" s="154"/>
    </row>
    <row r="88" spans="1:12">
      <c r="A88" s="154" t="s">
        <v>805</v>
      </c>
      <c r="B88" s="156">
        <f>B102</f>
        <v>2068.7030000000004</v>
      </c>
      <c r="C88" s="156">
        <f t="shared" ref="C88:K88" si="18">C102</f>
        <v>3435.8819999999996</v>
      </c>
      <c r="D88" s="156">
        <f t="shared" si="18"/>
        <v>3819.0180000000005</v>
      </c>
      <c r="E88" s="156">
        <f t="shared" si="18"/>
        <v>3322.5370000000003</v>
      </c>
      <c r="F88" s="156">
        <f t="shared" si="18"/>
        <v>3070.0781725287679</v>
      </c>
      <c r="G88" s="156">
        <f t="shared" si="18"/>
        <v>2965.3508340143267</v>
      </c>
      <c r="H88" s="156">
        <f t="shared" si="18"/>
        <v>2866.4014684416793</v>
      </c>
      <c r="I88" s="156">
        <f t="shared" si="18"/>
        <v>2793.3927381522021</v>
      </c>
      <c r="J88" s="156">
        <f t="shared" si="18"/>
        <v>2705.3939613646803</v>
      </c>
      <c r="K88" s="156">
        <f t="shared" si="18"/>
        <v>2612.8080709449619</v>
      </c>
      <c r="L88" s="154"/>
    </row>
    <row r="89" spans="1:12">
      <c r="A89" s="154" t="s">
        <v>803</v>
      </c>
      <c r="B89" s="333">
        <f>B88/B87</f>
        <v>2.2330655572778819</v>
      </c>
      <c r="C89" s="333">
        <f t="shared" ref="C89:K89" si="19">C88/C87</f>
        <v>3.3313250325290431</v>
      </c>
      <c r="D89" s="333">
        <f t="shared" si="19"/>
        <v>3.3720971095816026</v>
      </c>
      <c r="E89" s="333">
        <f t="shared" si="19"/>
        <v>3.578954795261291</v>
      </c>
      <c r="F89" s="333">
        <f t="shared" si="19"/>
        <v>3.0742022240562159</v>
      </c>
      <c r="G89" s="333">
        <f t="shared" si="19"/>
        <v>2.8206612176558945</v>
      </c>
      <c r="H89" s="333">
        <f t="shared" si="19"/>
        <v>2.5212715669348409</v>
      </c>
      <c r="I89" s="333">
        <f t="shared" si="19"/>
        <v>2.2977410591284824</v>
      </c>
      <c r="J89" s="333">
        <f t="shared" si="19"/>
        <v>2.0812049446036269</v>
      </c>
      <c r="K89" s="333">
        <f t="shared" si="19"/>
        <v>1.8831881043080376</v>
      </c>
      <c r="L89" s="154"/>
    </row>
    <row r="90" spans="1:12">
      <c r="A90" s="154"/>
      <c r="B90" s="154"/>
      <c r="C90" s="154"/>
      <c r="D90" s="154"/>
      <c r="E90" s="154"/>
      <c r="F90" s="154"/>
      <c r="G90" s="154"/>
      <c r="H90" s="154"/>
      <c r="I90" s="154"/>
      <c r="J90" s="154"/>
      <c r="K90" s="154"/>
      <c r="L90" s="154"/>
    </row>
    <row r="91" spans="1:12">
      <c r="A91" s="154" t="s">
        <v>813</v>
      </c>
      <c r="B91" s="156">
        <f>3*B87</f>
        <v>2779.1880000000001</v>
      </c>
      <c r="C91" s="156">
        <f t="shared" ref="C91:K91" si="20">3*C87</f>
        <v>3094.1579999999999</v>
      </c>
      <c r="D91" s="156">
        <f t="shared" si="20"/>
        <v>3397.6050000000005</v>
      </c>
      <c r="E91" s="156">
        <f t="shared" si="20"/>
        <v>2785.0619999999999</v>
      </c>
      <c r="F91" s="156">
        <f t="shared" si="20"/>
        <v>2995.9754909792437</v>
      </c>
      <c r="G91" s="156">
        <f t="shared" si="20"/>
        <v>3153.8890407533695</v>
      </c>
      <c r="H91" s="156">
        <f t="shared" si="20"/>
        <v>3410.6617145487658</v>
      </c>
      <c r="I91" s="156">
        <f t="shared" si="20"/>
        <v>3647.1377752352782</v>
      </c>
      <c r="J91" s="156">
        <f t="shared" si="20"/>
        <v>3899.7513940847366</v>
      </c>
      <c r="K91" s="156">
        <f t="shared" si="20"/>
        <v>4162.316124928504</v>
      </c>
      <c r="L91" s="154"/>
    </row>
    <row r="92" spans="1:12">
      <c r="A92" s="154" t="s">
        <v>815</v>
      </c>
      <c r="B92" s="156">
        <f>3.5*B87</f>
        <v>3242.386</v>
      </c>
      <c r="C92" s="156">
        <f t="shared" ref="C92:K92" si="21">3.5*C87</f>
        <v>3609.8509999999997</v>
      </c>
      <c r="D92" s="156">
        <f t="shared" si="21"/>
        <v>3963.8725000000004</v>
      </c>
      <c r="E92" s="156">
        <f t="shared" si="21"/>
        <v>3249.2389999999996</v>
      </c>
      <c r="F92" s="156">
        <f t="shared" si="21"/>
        <v>3495.3047394757841</v>
      </c>
      <c r="G92" s="156">
        <f t="shared" si="21"/>
        <v>3679.5372142122642</v>
      </c>
      <c r="H92" s="156">
        <f t="shared" si="21"/>
        <v>3979.1053336402265</v>
      </c>
      <c r="I92" s="156">
        <f t="shared" si="21"/>
        <v>4254.9940711078252</v>
      </c>
      <c r="J92" s="156">
        <f t="shared" si="21"/>
        <v>4549.709959765526</v>
      </c>
      <c r="K92" s="156">
        <f t="shared" si="21"/>
        <v>4856.0354790832544</v>
      </c>
      <c r="L92" s="154"/>
    </row>
    <row r="93" spans="1:12">
      <c r="A93" s="154" t="s">
        <v>814</v>
      </c>
      <c r="B93" s="156">
        <f>4*B87</f>
        <v>3705.5839999999998</v>
      </c>
      <c r="C93" s="156">
        <f t="shared" ref="C93:K93" si="22">4*C87</f>
        <v>4125.5439999999999</v>
      </c>
      <c r="D93" s="156">
        <f t="shared" si="22"/>
        <v>4530.1400000000003</v>
      </c>
      <c r="E93" s="156">
        <f t="shared" si="22"/>
        <v>3713.4159999999997</v>
      </c>
      <c r="F93" s="156">
        <f t="shared" si="22"/>
        <v>3994.6339879723246</v>
      </c>
      <c r="G93" s="156">
        <f t="shared" si="22"/>
        <v>4205.1853876711593</v>
      </c>
      <c r="H93" s="156">
        <f t="shared" si="22"/>
        <v>4547.5489527316877</v>
      </c>
      <c r="I93" s="156">
        <f t="shared" si="22"/>
        <v>4862.8503669803713</v>
      </c>
      <c r="J93" s="156">
        <f t="shared" si="22"/>
        <v>5199.6685254463155</v>
      </c>
      <c r="K93" s="156">
        <f t="shared" si="22"/>
        <v>5549.7548332380047</v>
      </c>
      <c r="L93" s="154"/>
    </row>
    <row r="94" spans="1:12">
      <c r="A94" s="154"/>
      <c r="B94" s="154"/>
      <c r="C94" s="154"/>
      <c r="D94" s="154"/>
      <c r="E94" s="154"/>
      <c r="F94" s="154"/>
      <c r="G94" s="154"/>
      <c r="H94" s="154"/>
      <c r="I94" s="154"/>
      <c r="J94" s="154"/>
      <c r="K94" s="154"/>
      <c r="L94" s="154"/>
    </row>
    <row r="95" spans="1:12">
      <c r="A95" s="154"/>
      <c r="B95" s="167"/>
      <c r="C95" s="167">
        <f t="shared" ref="C95:K95" si="23">C91-C88</f>
        <v>-341.72399999999971</v>
      </c>
      <c r="D95" s="167">
        <f t="shared" si="23"/>
        <v>-421.41300000000001</v>
      </c>
      <c r="E95" s="167">
        <f t="shared" si="23"/>
        <v>-537.47500000000036</v>
      </c>
      <c r="F95" s="167">
        <f t="shared" si="23"/>
        <v>-74.102681549524277</v>
      </c>
      <c r="G95" s="167">
        <f t="shared" si="23"/>
        <v>188.53820673904283</v>
      </c>
      <c r="H95" s="167">
        <f t="shared" si="23"/>
        <v>544.26024610708646</v>
      </c>
      <c r="I95" s="167">
        <f t="shared" si="23"/>
        <v>853.74503708307611</v>
      </c>
      <c r="J95" s="167">
        <f t="shared" si="23"/>
        <v>1194.3574327200563</v>
      </c>
      <c r="K95" s="167">
        <f t="shared" si="23"/>
        <v>1549.5080539835421</v>
      </c>
      <c r="L95" s="154"/>
    </row>
    <row r="96" spans="1:12">
      <c r="A96" s="154"/>
      <c r="B96" s="167"/>
      <c r="C96" s="168">
        <f>C92-C88</f>
        <v>173.96900000000005</v>
      </c>
      <c r="D96" s="168">
        <f t="shared" ref="D96:K96" si="24">D92-D88</f>
        <v>144.85449999999992</v>
      </c>
      <c r="E96" s="168">
        <f t="shared" si="24"/>
        <v>-73.298000000000684</v>
      </c>
      <c r="F96" s="168">
        <f t="shared" si="24"/>
        <v>425.22656694701618</v>
      </c>
      <c r="G96" s="168">
        <f t="shared" si="24"/>
        <v>714.18638019793752</v>
      </c>
      <c r="H96" s="168">
        <f t="shared" si="24"/>
        <v>1112.7038651985472</v>
      </c>
      <c r="I96" s="168">
        <f t="shared" si="24"/>
        <v>1461.6013329556231</v>
      </c>
      <c r="J96" s="168">
        <f t="shared" si="24"/>
        <v>1844.3159984008457</v>
      </c>
      <c r="K96" s="168">
        <f t="shared" si="24"/>
        <v>2243.2274081382925</v>
      </c>
      <c r="L96" s="154"/>
    </row>
    <row r="97" spans="1:15">
      <c r="A97" s="154"/>
      <c r="B97" s="167"/>
      <c r="C97" s="167">
        <f t="shared" ref="C97:K97" si="25">C93-C88</f>
        <v>689.66200000000026</v>
      </c>
      <c r="D97" s="167">
        <f t="shared" si="25"/>
        <v>711.12199999999984</v>
      </c>
      <c r="E97" s="167">
        <f t="shared" si="25"/>
        <v>390.87899999999945</v>
      </c>
      <c r="F97" s="167">
        <f t="shared" si="25"/>
        <v>924.55581544355664</v>
      </c>
      <c r="G97" s="167">
        <f t="shared" si="25"/>
        <v>1239.8345536568327</v>
      </c>
      <c r="H97" s="167">
        <f t="shared" si="25"/>
        <v>1681.1474842900084</v>
      </c>
      <c r="I97" s="167">
        <f t="shared" si="25"/>
        <v>2069.4576288281692</v>
      </c>
      <c r="J97" s="167">
        <f t="shared" si="25"/>
        <v>2494.2745640816352</v>
      </c>
      <c r="K97" s="167">
        <f t="shared" si="25"/>
        <v>2936.9467622930429</v>
      </c>
      <c r="L97" s="154"/>
    </row>
    <row r="98" spans="1:15">
      <c r="A98" s="154"/>
      <c r="B98" s="154"/>
      <c r="C98" s="154"/>
      <c r="D98" s="154"/>
      <c r="E98" s="154"/>
      <c r="F98" s="154"/>
      <c r="G98" s="154"/>
      <c r="H98" s="154"/>
      <c r="I98" s="154"/>
      <c r="J98" s="154"/>
      <c r="K98" s="154"/>
      <c r="L98" s="154"/>
    </row>
    <row r="99" spans="1:15">
      <c r="A99" s="154"/>
      <c r="B99" s="154"/>
      <c r="C99" s="154"/>
      <c r="D99" s="154"/>
      <c r="E99" s="154"/>
      <c r="F99" s="154"/>
      <c r="G99" s="154"/>
      <c r="H99" s="154"/>
      <c r="I99" s="154"/>
      <c r="J99" s="154"/>
      <c r="K99" s="154"/>
      <c r="L99" s="154"/>
    </row>
    <row r="100" spans="1:15">
      <c r="A100" s="154"/>
      <c r="B100" s="155"/>
      <c r="C100" s="155"/>
      <c r="D100" s="155"/>
      <c r="E100" s="155"/>
      <c r="F100" s="155"/>
      <c r="G100" s="155"/>
      <c r="H100" s="155"/>
      <c r="I100" s="155"/>
      <c r="J100" s="155"/>
      <c r="K100" s="155"/>
      <c r="L100" s="154"/>
    </row>
    <row r="101" spans="1:15">
      <c r="A101" s="142"/>
      <c r="B101" s="334">
        <f>B86</f>
        <v>2021</v>
      </c>
      <c r="C101" s="334">
        <f t="shared" ref="C101:K101" si="26">C86</f>
        <v>2022</v>
      </c>
      <c r="D101" s="334">
        <f t="shared" si="26"/>
        <v>2023</v>
      </c>
      <c r="E101" s="334">
        <f t="shared" si="26"/>
        <v>2024</v>
      </c>
      <c r="F101" s="334" t="str">
        <f t="shared" si="26"/>
        <v>2025E</v>
      </c>
      <c r="G101" s="335" t="str">
        <f t="shared" si="26"/>
        <v>2026E</v>
      </c>
      <c r="H101" s="335" t="str">
        <f t="shared" si="26"/>
        <v>2027E</v>
      </c>
      <c r="I101" s="335" t="str">
        <f t="shared" si="26"/>
        <v>2028E</v>
      </c>
      <c r="J101" s="335" t="str">
        <f t="shared" si="26"/>
        <v>2029E</v>
      </c>
      <c r="K101" s="335" t="str">
        <f t="shared" si="26"/>
        <v>2030E</v>
      </c>
      <c r="L101" s="154"/>
    </row>
    <row r="102" spans="1:15">
      <c r="A102" s="146" t="s">
        <v>805</v>
      </c>
      <c r="B102" s="336">
        <f>Master!H121</f>
        <v>2068.7030000000004</v>
      </c>
      <c r="C102" s="336">
        <f>Master!I121</f>
        <v>3435.8819999999996</v>
      </c>
      <c r="D102" s="336">
        <f>Master!J121</f>
        <v>3819.0180000000005</v>
      </c>
      <c r="E102" s="336">
        <f>Master!K121</f>
        <v>3322.5370000000003</v>
      </c>
      <c r="F102" s="336">
        <f>Master!L121</f>
        <v>3070.0781725287679</v>
      </c>
      <c r="G102" s="156">
        <f>Master!M121</f>
        <v>2965.3508340143267</v>
      </c>
      <c r="H102" s="156">
        <f>Master!N121</f>
        <v>2866.4014684416793</v>
      </c>
      <c r="I102" s="156">
        <f>Master!O121</f>
        <v>2793.3927381522021</v>
      </c>
      <c r="J102" s="156">
        <f>Master!P121</f>
        <v>2705.3939613646803</v>
      </c>
      <c r="K102" s="156">
        <f>Master!Q121</f>
        <v>2612.8080709449619</v>
      </c>
      <c r="L102" s="167"/>
      <c r="M102" s="331"/>
      <c r="N102" s="331"/>
      <c r="O102" s="331"/>
    </row>
    <row r="103" spans="1:15">
      <c r="A103" s="337" t="s">
        <v>806</v>
      </c>
      <c r="B103" s="338"/>
      <c r="C103" s="338">
        <f>-B54</f>
        <v>110</v>
      </c>
      <c r="D103" s="338">
        <f t="shared" ref="D103:K103" si="27">-C54</f>
        <v>82</v>
      </c>
      <c r="E103" s="338">
        <f t="shared" si="27"/>
        <v>23</v>
      </c>
      <c r="F103" s="338">
        <f t="shared" si="27"/>
        <v>0</v>
      </c>
      <c r="G103" s="156">
        <f t="shared" si="27"/>
        <v>0</v>
      </c>
      <c r="H103" s="156">
        <f t="shared" si="27"/>
        <v>0</v>
      </c>
      <c r="I103" s="156">
        <f t="shared" si="27"/>
        <v>0</v>
      </c>
      <c r="J103" s="156">
        <f t="shared" si="27"/>
        <v>0</v>
      </c>
      <c r="K103" s="156">
        <f t="shared" si="27"/>
        <v>0</v>
      </c>
      <c r="L103" s="167"/>
      <c r="M103" s="331"/>
      <c r="N103" s="331"/>
      <c r="O103" s="331"/>
    </row>
    <row r="104" spans="1:15">
      <c r="A104" s="146" t="s">
        <v>807</v>
      </c>
      <c r="B104" s="336"/>
      <c r="C104" s="336">
        <f>-B55</f>
        <v>0</v>
      </c>
      <c r="D104" s="336">
        <f t="shared" ref="D104:K104" si="28">-C55</f>
        <v>-22</v>
      </c>
      <c r="E104" s="336">
        <f t="shared" si="28"/>
        <v>-51</v>
      </c>
      <c r="F104" s="336">
        <f t="shared" si="28"/>
        <v>-77</v>
      </c>
      <c r="G104" s="156">
        <f t="shared" si="28"/>
        <v>-77</v>
      </c>
      <c r="H104" s="156">
        <f t="shared" si="28"/>
        <v>-77</v>
      </c>
      <c r="I104" s="156">
        <f t="shared" si="28"/>
        <v>-77</v>
      </c>
      <c r="J104" s="156">
        <f t="shared" si="28"/>
        <v>-77</v>
      </c>
      <c r="K104" s="156">
        <f t="shared" si="28"/>
        <v>-77</v>
      </c>
      <c r="L104" s="167"/>
      <c r="M104" s="331"/>
      <c r="N104" s="331"/>
      <c r="O104" s="331"/>
    </row>
    <row r="105" spans="1:15">
      <c r="A105" s="339" t="s">
        <v>804</v>
      </c>
      <c r="B105" s="340">
        <f>SUM(B102:B104)</f>
        <v>2068.7030000000004</v>
      </c>
      <c r="C105" s="340">
        <f t="shared" ref="C105:K105" si="29">SUM(C102:C104)</f>
        <v>3545.8819999999996</v>
      </c>
      <c r="D105" s="340">
        <f t="shared" si="29"/>
        <v>3879.0180000000005</v>
      </c>
      <c r="E105" s="340">
        <f t="shared" si="29"/>
        <v>3294.5370000000003</v>
      </c>
      <c r="F105" s="340">
        <f t="shared" si="29"/>
        <v>2993.0781725287679</v>
      </c>
      <c r="G105" s="341">
        <f t="shared" si="29"/>
        <v>2888.3508340143267</v>
      </c>
      <c r="H105" s="341">
        <f t="shared" si="29"/>
        <v>2789.4014684416793</v>
      </c>
      <c r="I105" s="341">
        <f t="shared" si="29"/>
        <v>2716.3927381522021</v>
      </c>
      <c r="J105" s="341">
        <f t="shared" si="29"/>
        <v>2628.3939613646803</v>
      </c>
      <c r="K105" s="341">
        <f t="shared" si="29"/>
        <v>2535.8080709449619</v>
      </c>
      <c r="L105" s="167"/>
      <c r="M105" s="331"/>
      <c r="N105" s="331"/>
      <c r="O105" s="331"/>
    </row>
    <row r="106" spans="1:15">
      <c r="A106" s="146"/>
      <c r="B106" s="336"/>
      <c r="C106" s="336"/>
      <c r="D106" s="336"/>
      <c r="E106" s="336"/>
      <c r="F106" s="336"/>
      <c r="G106" s="156"/>
      <c r="H106" s="156"/>
      <c r="I106" s="156"/>
      <c r="J106" s="156"/>
      <c r="K106" s="156"/>
      <c r="L106" s="167"/>
      <c r="M106" s="331"/>
      <c r="N106" s="331"/>
      <c r="O106" s="331"/>
    </row>
    <row r="107" spans="1:15">
      <c r="A107" s="146" t="s">
        <v>809</v>
      </c>
      <c r="B107" s="336">
        <f>B87</f>
        <v>926.39599999999996</v>
      </c>
      <c r="C107" s="336">
        <f t="shared" ref="C107:K107" si="30">C87</f>
        <v>1031.386</v>
      </c>
      <c r="D107" s="336">
        <f t="shared" si="30"/>
        <v>1132.5350000000001</v>
      </c>
      <c r="E107" s="336">
        <f t="shared" si="30"/>
        <v>928.35399999999993</v>
      </c>
      <c r="F107" s="336">
        <f t="shared" si="30"/>
        <v>998.65849699308114</v>
      </c>
      <c r="G107" s="156">
        <f t="shared" si="30"/>
        <v>1051.2963469177898</v>
      </c>
      <c r="H107" s="156">
        <f t="shared" si="30"/>
        <v>1136.8872381829219</v>
      </c>
      <c r="I107" s="156">
        <f t="shared" si="30"/>
        <v>1215.7125917450928</v>
      </c>
      <c r="J107" s="156">
        <f t="shared" si="30"/>
        <v>1299.9171313615789</v>
      </c>
      <c r="K107" s="156">
        <f t="shared" si="30"/>
        <v>1387.4387083095012</v>
      </c>
      <c r="L107" s="167"/>
      <c r="M107" s="331"/>
      <c r="N107" s="331"/>
      <c r="O107" s="331"/>
    </row>
    <row r="108" spans="1:15">
      <c r="A108" s="337" t="s">
        <v>810</v>
      </c>
      <c r="B108" s="338">
        <f>B87</f>
        <v>926.39599999999996</v>
      </c>
      <c r="C108" s="338">
        <f t="shared" ref="C108:K108" si="31">C87+B55</f>
        <v>1031.386</v>
      </c>
      <c r="D108" s="338">
        <f t="shared" si="31"/>
        <v>1154.5350000000001</v>
      </c>
      <c r="E108" s="338">
        <f t="shared" si="31"/>
        <v>979.35399999999993</v>
      </c>
      <c r="F108" s="338">
        <f t="shared" si="31"/>
        <v>1075.6584969930811</v>
      </c>
      <c r="G108" s="156">
        <f t="shared" si="31"/>
        <v>1128.2963469177898</v>
      </c>
      <c r="H108" s="156">
        <f t="shared" si="31"/>
        <v>1213.8872381829219</v>
      </c>
      <c r="I108" s="156">
        <f t="shared" si="31"/>
        <v>1292.7125917450928</v>
      </c>
      <c r="J108" s="156">
        <f t="shared" si="31"/>
        <v>1376.9171313615789</v>
      </c>
      <c r="K108" s="156">
        <f t="shared" si="31"/>
        <v>1464.4387083095012</v>
      </c>
      <c r="L108" s="167"/>
      <c r="M108" s="331"/>
      <c r="N108" s="331"/>
      <c r="O108" s="331"/>
    </row>
    <row r="109" spans="1:15" s="332" customFormat="1">
      <c r="A109" s="146"/>
      <c r="B109" s="336"/>
      <c r="C109" s="336"/>
      <c r="D109" s="336"/>
      <c r="E109" s="336"/>
      <c r="F109" s="336"/>
      <c r="G109" s="336"/>
      <c r="H109" s="336"/>
      <c r="I109" s="336"/>
      <c r="J109" s="336"/>
      <c r="K109" s="336"/>
      <c r="L109" s="348"/>
      <c r="M109" s="349"/>
      <c r="N109" s="349"/>
      <c r="O109" s="349"/>
    </row>
    <row r="110" spans="1:15">
      <c r="A110" s="337" t="s">
        <v>805</v>
      </c>
      <c r="B110" s="345">
        <f t="shared" ref="B110:K110" si="32">B89</f>
        <v>2.2330655572778819</v>
      </c>
      <c r="C110" s="345">
        <f t="shared" si="32"/>
        <v>3.3313250325290431</v>
      </c>
      <c r="D110" s="345">
        <f t="shared" si="32"/>
        <v>3.3720971095816026</v>
      </c>
      <c r="E110" s="345">
        <f t="shared" si="32"/>
        <v>3.578954795261291</v>
      </c>
      <c r="F110" s="345">
        <f t="shared" si="32"/>
        <v>3.0742022240562159</v>
      </c>
      <c r="G110" s="346">
        <f t="shared" si="32"/>
        <v>2.8206612176558945</v>
      </c>
      <c r="H110" s="346">
        <f t="shared" si="32"/>
        <v>2.5212715669348409</v>
      </c>
      <c r="I110" s="346">
        <f t="shared" si="32"/>
        <v>2.2977410591284824</v>
      </c>
      <c r="J110" s="346">
        <f t="shared" si="32"/>
        <v>2.0812049446036269</v>
      </c>
      <c r="K110" s="346">
        <f t="shared" si="32"/>
        <v>1.8831881043080376</v>
      </c>
      <c r="L110" s="167"/>
      <c r="M110" s="331"/>
      <c r="N110" s="331"/>
      <c r="O110" s="331"/>
    </row>
    <row r="111" spans="1:15">
      <c r="A111" s="342" t="s">
        <v>817</v>
      </c>
      <c r="B111" s="343">
        <f t="shared" ref="B111:K111" si="33">B105/B108</f>
        <v>2.2330655572778819</v>
      </c>
      <c r="C111" s="343">
        <f t="shared" si="33"/>
        <v>3.4379776339799064</v>
      </c>
      <c r="D111" s="343">
        <f t="shared" si="33"/>
        <v>3.3598097935532487</v>
      </c>
      <c r="E111" s="343">
        <f t="shared" si="33"/>
        <v>3.3639899362232661</v>
      </c>
      <c r="F111" s="343">
        <f t="shared" si="33"/>
        <v>2.7825542966431103</v>
      </c>
      <c r="G111" s="344">
        <f t="shared" si="33"/>
        <v>2.5599221710719395</v>
      </c>
      <c r="H111" s="344">
        <f t="shared" si="33"/>
        <v>2.2979082246693343</v>
      </c>
      <c r="I111" s="344">
        <f t="shared" si="33"/>
        <v>2.1013121984719105</v>
      </c>
      <c r="J111" s="344">
        <f t="shared" si="33"/>
        <v>1.9088977117784609</v>
      </c>
      <c r="K111" s="344">
        <f t="shared" si="33"/>
        <v>1.7315904425062716</v>
      </c>
      <c r="L111" s="167"/>
      <c r="M111" s="331"/>
      <c r="N111" s="331"/>
      <c r="O111" s="331"/>
    </row>
    <row r="112" spans="1:15">
      <c r="A112" s="342"/>
      <c r="B112" s="343"/>
      <c r="C112" s="343"/>
      <c r="D112" s="343"/>
      <c r="E112" s="343"/>
      <c r="F112" s="343"/>
      <c r="G112" s="343"/>
      <c r="H112" s="343"/>
      <c r="I112" s="343"/>
      <c r="J112" s="343"/>
      <c r="K112" s="343"/>
      <c r="L112" s="167"/>
      <c r="M112" s="331"/>
      <c r="N112" s="331"/>
      <c r="O112" s="331"/>
    </row>
    <row r="113" spans="1:15">
      <c r="A113" s="350" t="s">
        <v>638</v>
      </c>
      <c r="B113" s="351">
        <f t="shared" ref="B113:K113" si="34">B111-B110</f>
        <v>0</v>
      </c>
      <c r="C113" s="351">
        <f t="shared" si="34"/>
        <v>0.1066526014508633</v>
      </c>
      <c r="D113" s="351">
        <f t="shared" si="34"/>
        <v>-1.2287316028353867E-2</v>
      </c>
      <c r="E113" s="351">
        <f t="shared" si="34"/>
        <v>-0.21496485903802487</v>
      </c>
      <c r="F113" s="352">
        <f t="shared" si="34"/>
        <v>-0.29164792741310563</v>
      </c>
      <c r="G113" s="346">
        <f t="shared" si="34"/>
        <v>-0.26073904658395497</v>
      </c>
      <c r="H113" s="346">
        <f t="shared" si="34"/>
        <v>-0.22336334226550658</v>
      </c>
      <c r="I113" s="346">
        <f t="shared" si="34"/>
        <v>-0.19642886065657184</v>
      </c>
      <c r="J113" s="346">
        <f t="shared" si="34"/>
        <v>-0.17230723282516602</v>
      </c>
      <c r="K113" s="346">
        <f t="shared" si="34"/>
        <v>-0.15159766180176604</v>
      </c>
      <c r="L113" s="167"/>
      <c r="M113" s="331"/>
      <c r="N113" s="331"/>
      <c r="O113" s="331"/>
    </row>
    <row r="114" spans="1:15">
      <c r="A114" s="146"/>
      <c r="B114" s="336"/>
      <c r="C114" s="336"/>
      <c r="D114" s="336"/>
      <c r="E114" s="336"/>
      <c r="F114" s="336"/>
      <c r="G114" s="336"/>
      <c r="H114" s="336"/>
      <c r="I114" s="336"/>
      <c r="J114" s="336"/>
      <c r="K114" s="336"/>
      <c r="L114" s="167"/>
      <c r="M114" s="331"/>
      <c r="N114" s="331"/>
      <c r="O114" s="331"/>
    </row>
    <row r="115" spans="1:15">
      <c r="A115" s="146"/>
      <c r="B115" s="336"/>
      <c r="C115" s="336"/>
      <c r="D115" s="336"/>
      <c r="E115" s="336"/>
      <c r="F115" s="336"/>
      <c r="G115" s="336"/>
      <c r="H115" s="336"/>
      <c r="I115" s="336"/>
      <c r="J115" s="336"/>
      <c r="K115" s="336"/>
      <c r="L115" s="167"/>
      <c r="M115" s="331"/>
      <c r="N115" s="331"/>
      <c r="O115" s="331"/>
    </row>
    <row r="116" spans="1:15">
      <c r="A116" s="146" t="s">
        <v>813</v>
      </c>
      <c r="B116" s="353">
        <f>3-B111</f>
        <v>0.76693444272211808</v>
      </c>
      <c r="C116" s="353">
        <f t="shared" ref="C116:K116" si="35">3-C111</f>
        <v>-0.43797763397990641</v>
      </c>
      <c r="D116" s="353">
        <f t="shared" si="35"/>
        <v>-0.35980979355324871</v>
      </c>
      <c r="E116" s="353">
        <f t="shared" si="35"/>
        <v>-0.36398993622326614</v>
      </c>
      <c r="F116" s="353">
        <f t="shared" si="35"/>
        <v>0.21744570335688973</v>
      </c>
      <c r="G116" s="353">
        <f t="shared" si="35"/>
        <v>0.44007782892806047</v>
      </c>
      <c r="H116" s="353">
        <f t="shared" si="35"/>
        <v>0.70209177533066569</v>
      </c>
      <c r="I116" s="353">
        <f t="shared" si="35"/>
        <v>0.89868780152808947</v>
      </c>
      <c r="J116" s="353">
        <f t="shared" si="35"/>
        <v>1.0911022882215391</v>
      </c>
      <c r="K116" s="353">
        <f t="shared" si="35"/>
        <v>1.2684095574937284</v>
      </c>
      <c r="L116" s="167"/>
      <c r="M116" s="331"/>
      <c r="N116" s="331"/>
      <c r="O116" s="331"/>
    </row>
    <row r="117" spans="1:15">
      <c r="A117" s="337" t="s">
        <v>815</v>
      </c>
      <c r="B117" s="345">
        <f>3.5-B111</f>
        <v>1.2669344427221181</v>
      </c>
      <c r="C117" s="345">
        <f t="shared" ref="C117:K117" si="36">3.5-C111</f>
        <v>6.2022366020093589E-2</v>
      </c>
      <c r="D117" s="345">
        <f t="shared" si="36"/>
        <v>0.14019020644675129</v>
      </c>
      <c r="E117" s="345">
        <f t="shared" si="36"/>
        <v>0.13601006377673386</v>
      </c>
      <c r="F117" s="345">
        <f t="shared" si="36"/>
        <v>0.71744570335688973</v>
      </c>
      <c r="G117" s="353">
        <f t="shared" si="36"/>
        <v>0.94007782892806047</v>
      </c>
      <c r="H117" s="353">
        <f t="shared" si="36"/>
        <v>1.2020917753306657</v>
      </c>
      <c r="I117" s="353">
        <f t="shared" si="36"/>
        <v>1.3986878015280895</v>
      </c>
      <c r="J117" s="353">
        <f t="shared" si="36"/>
        <v>1.5911022882215391</v>
      </c>
      <c r="K117" s="353">
        <f t="shared" si="36"/>
        <v>1.7684095574937284</v>
      </c>
      <c r="L117" s="167"/>
      <c r="M117" s="331"/>
      <c r="N117" s="331"/>
      <c r="O117" s="331"/>
    </row>
    <row r="118" spans="1:15">
      <c r="A118" s="146" t="s">
        <v>814</v>
      </c>
      <c r="B118" s="353">
        <f>4-B111</f>
        <v>1.7669344427221181</v>
      </c>
      <c r="C118" s="353">
        <f t="shared" ref="C118:K118" si="37">4-C111</f>
        <v>0.56202236602009359</v>
      </c>
      <c r="D118" s="353">
        <f t="shared" si="37"/>
        <v>0.64019020644675129</v>
      </c>
      <c r="E118" s="353">
        <f t="shared" si="37"/>
        <v>0.63601006377673386</v>
      </c>
      <c r="F118" s="353">
        <f t="shared" si="37"/>
        <v>1.2174457033568897</v>
      </c>
      <c r="G118" s="353">
        <f t="shared" si="37"/>
        <v>1.4400778289280605</v>
      </c>
      <c r="H118" s="353">
        <f t="shared" si="37"/>
        <v>1.7020917753306657</v>
      </c>
      <c r="I118" s="353">
        <f t="shared" si="37"/>
        <v>1.8986878015280895</v>
      </c>
      <c r="J118" s="353">
        <f t="shared" si="37"/>
        <v>2.0911022882215393</v>
      </c>
      <c r="K118" s="353">
        <f t="shared" si="37"/>
        <v>2.2684095574937286</v>
      </c>
      <c r="L118" s="167"/>
      <c r="M118" s="331"/>
      <c r="N118" s="331"/>
      <c r="O118" s="331"/>
    </row>
    <row r="119" spans="1:15">
      <c r="A119" s="146"/>
      <c r="B119" s="336"/>
      <c r="C119" s="336"/>
      <c r="D119" s="336"/>
      <c r="E119" s="336"/>
      <c r="F119" s="336"/>
      <c r="G119" s="336"/>
      <c r="H119" s="336"/>
      <c r="I119" s="336"/>
      <c r="J119" s="336"/>
      <c r="K119" s="336"/>
      <c r="L119" s="167"/>
      <c r="M119" s="331"/>
      <c r="N119" s="331"/>
      <c r="O119" s="331"/>
    </row>
    <row r="120" spans="1:15">
      <c r="A120" s="354" t="s">
        <v>818</v>
      </c>
      <c r="B120" s="355"/>
      <c r="C120" s="355">
        <f t="shared" ref="C120:K120" si="38">C117*C108</f>
        <v>63.969000000000243</v>
      </c>
      <c r="D120" s="355">
        <f t="shared" si="38"/>
        <v>161.8545</v>
      </c>
      <c r="E120" s="355">
        <f t="shared" si="38"/>
        <v>133.2019999999994</v>
      </c>
      <c r="F120" s="356">
        <f t="shared" si="38"/>
        <v>771.72656694701595</v>
      </c>
      <c r="G120" s="336">
        <f t="shared" si="38"/>
        <v>1060.6863801979375</v>
      </c>
      <c r="H120" s="336">
        <f t="shared" si="38"/>
        <v>1459.2038651985472</v>
      </c>
      <c r="I120" s="336">
        <f t="shared" si="38"/>
        <v>1808.1013329556226</v>
      </c>
      <c r="J120" s="336">
        <f t="shared" si="38"/>
        <v>2190.8159984008457</v>
      </c>
      <c r="K120" s="336">
        <f t="shared" si="38"/>
        <v>2589.727408138292</v>
      </c>
      <c r="L120" s="167"/>
      <c r="M120" s="331"/>
      <c r="N120" s="331"/>
      <c r="O120" s="331"/>
    </row>
    <row r="121" spans="1:15">
      <c r="A121" s="154"/>
      <c r="B121" s="156"/>
      <c r="C121" s="156"/>
      <c r="D121" s="156"/>
      <c r="E121" s="156"/>
      <c r="F121" s="156"/>
      <c r="G121" s="156"/>
      <c r="H121" s="156"/>
      <c r="I121" s="156"/>
      <c r="J121" s="156"/>
      <c r="K121" s="156"/>
      <c r="L121" s="167"/>
      <c r="M121" s="331"/>
      <c r="N121" s="331"/>
      <c r="O121" s="331"/>
    </row>
    <row r="122" spans="1:15">
      <c r="A122" s="154" t="s">
        <v>377</v>
      </c>
      <c r="B122" s="156"/>
      <c r="C122" s="357">
        <v>5</v>
      </c>
      <c r="D122" s="156">
        <f>C122</f>
        <v>5</v>
      </c>
      <c r="E122" s="156">
        <f t="shared" ref="E122:K122" si="39">D122</f>
        <v>5</v>
      </c>
      <c r="F122" s="156">
        <f t="shared" si="39"/>
        <v>5</v>
      </c>
      <c r="G122" s="156">
        <f t="shared" si="39"/>
        <v>5</v>
      </c>
      <c r="H122" s="156">
        <f t="shared" si="39"/>
        <v>5</v>
      </c>
      <c r="I122" s="156">
        <f t="shared" si="39"/>
        <v>5</v>
      </c>
      <c r="J122" s="156">
        <f t="shared" si="39"/>
        <v>5</v>
      </c>
      <c r="K122" s="156">
        <f t="shared" si="39"/>
        <v>5</v>
      </c>
      <c r="L122" s="167"/>
      <c r="M122" s="331"/>
      <c r="N122" s="331"/>
      <c r="O122" s="331"/>
    </row>
    <row r="123" spans="1:15">
      <c r="A123" s="154"/>
      <c r="B123" s="156"/>
      <c r="C123" s="156"/>
      <c r="D123" s="156"/>
      <c r="E123" s="156"/>
      <c r="F123" s="156"/>
      <c r="G123" s="156"/>
      <c r="H123" s="156"/>
      <c r="I123" s="156"/>
      <c r="J123" s="156"/>
      <c r="K123" s="156"/>
      <c r="L123" s="167"/>
      <c r="M123" s="331"/>
      <c r="N123" s="331"/>
      <c r="O123" s="331"/>
    </row>
    <row r="124" spans="1:15">
      <c r="A124" s="154" t="s">
        <v>819</v>
      </c>
      <c r="B124" s="156"/>
      <c r="C124" s="156">
        <f>C120/C122</f>
        <v>12.793800000000049</v>
      </c>
      <c r="D124" s="156">
        <f t="shared" ref="D124:K124" si="40">D120/D122</f>
        <v>32.370899999999999</v>
      </c>
      <c r="E124" s="156">
        <f t="shared" si="40"/>
        <v>26.640399999999879</v>
      </c>
      <c r="F124" s="156">
        <f t="shared" si="40"/>
        <v>154.3453133894032</v>
      </c>
      <c r="G124" s="156">
        <f t="shared" si="40"/>
        <v>212.1372760395875</v>
      </c>
      <c r="H124" s="156">
        <f t="shared" si="40"/>
        <v>291.84077303970946</v>
      </c>
      <c r="I124" s="156">
        <f t="shared" si="40"/>
        <v>361.6202665911245</v>
      </c>
      <c r="J124" s="156">
        <f t="shared" si="40"/>
        <v>438.16319968016916</v>
      </c>
      <c r="K124" s="156">
        <f t="shared" si="40"/>
        <v>517.94548162765841</v>
      </c>
      <c r="L124" s="167"/>
      <c r="M124" s="331"/>
      <c r="N124" s="331"/>
      <c r="O124" s="331"/>
    </row>
    <row r="125" spans="1:15">
      <c r="A125" s="154"/>
      <c r="B125" s="156"/>
      <c r="C125" s="156"/>
      <c r="D125" s="156"/>
      <c r="E125" s="156"/>
      <c r="F125" s="156"/>
      <c r="G125" s="156"/>
      <c r="H125" s="156"/>
      <c r="I125" s="156"/>
      <c r="J125" s="156"/>
      <c r="K125" s="156"/>
      <c r="L125" s="167"/>
      <c r="M125" s="331"/>
      <c r="N125" s="331"/>
      <c r="O125" s="331"/>
    </row>
    <row r="126" spans="1:15">
      <c r="A126" s="154" t="s">
        <v>676</v>
      </c>
      <c r="B126" s="156"/>
      <c r="C126" s="156">
        <f>Valuation!C50</f>
        <v>326.61138709677419</v>
      </c>
      <c r="D126" s="156">
        <f>C126</f>
        <v>326.61138709677419</v>
      </c>
      <c r="E126" s="156">
        <f t="shared" ref="E126:K126" si="41">D126</f>
        <v>326.61138709677419</v>
      </c>
      <c r="F126" s="156">
        <f t="shared" si="41"/>
        <v>326.61138709677419</v>
      </c>
      <c r="G126" s="156">
        <f t="shared" si="41"/>
        <v>326.61138709677419</v>
      </c>
      <c r="H126" s="156">
        <f t="shared" si="41"/>
        <v>326.61138709677419</v>
      </c>
      <c r="I126" s="156">
        <f t="shared" si="41"/>
        <v>326.61138709677419</v>
      </c>
      <c r="J126" s="156">
        <f t="shared" si="41"/>
        <v>326.61138709677419</v>
      </c>
      <c r="K126" s="156">
        <f t="shared" si="41"/>
        <v>326.61138709677419</v>
      </c>
      <c r="L126" s="167"/>
      <c r="M126" s="331"/>
      <c r="N126" s="331"/>
      <c r="O126" s="331"/>
    </row>
    <row r="127" spans="1:15">
      <c r="A127" s="154"/>
      <c r="B127" s="156"/>
      <c r="C127" s="162">
        <f>C124/C126</f>
        <v>3.9171322573053079E-2</v>
      </c>
      <c r="D127" s="162">
        <f t="shared" ref="D127:K127" si="42">D124/D126</f>
        <v>9.9111363776207148E-2</v>
      </c>
      <c r="E127" s="162">
        <f t="shared" si="42"/>
        <v>8.1566047763381833E-2</v>
      </c>
      <c r="F127" s="162">
        <f t="shared" si="42"/>
        <v>0.47256562228698734</v>
      </c>
      <c r="G127" s="162">
        <f t="shared" si="42"/>
        <v>0.64950973670961365</v>
      </c>
      <c r="H127" s="162">
        <f t="shared" si="42"/>
        <v>0.89354132944923237</v>
      </c>
      <c r="I127" s="162">
        <f t="shared" si="42"/>
        <v>1.1071881779920223</v>
      </c>
      <c r="J127" s="162">
        <f t="shared" si="42"/>
        <v>1.3415429375410675</v>
      </c>
      <c r="K127" s="162">
        <f t="shared" si="42"/>
        <v>1.5858157495108778</v>
      </c>
      <c r="L127" s="167"/>
      <c r="M127" s="331"/>
      <c r="N127" s="331"/>
      <c r="O127" s="331"/>
    </row>
    <row r="128" spans="1:15">
      <c r="A128" s="154"/>
      <c r="B128" s="156"/>
      <c r="C128" s="156"/>
      <c r="D128" s="156"/>
      <c r="E128" s="156"/>
      <c r="F128" s="156"/>
      <c r="G128" s="156"/>
      <c r="H128" s="156"/>
      <c r="I128" s="156"/>
      <c r="J128" s="156"/>
      <c r="K128" s="156"/>
      <c r="L128" s="167"/>
      <c r="M128" s="331"/>
      <c r="N128" s="331"/>
      <c r="O128" s="331"/>
    </row>
    <row r="129" spans="1:15">
      <c r="A129" s="154"/>
      <c r="B129" s="156"/>
      <c r="C129" s="156"/>
      <c r="D129" s="156"/>
      <c r="E129" s="156"/>
      <c r="F129" s="156"/>
      <c r="G129" s="156"/>
      <c r="H129" s="156"/>
      <c r="I129" s="156"/>
      <c r="J129" s="156"/>
      <c r="K129" s="156"/>
      <c r="L129" s="167"/>
      <c r="M129" s="331"/>
      <c r="N129" s="331"/>
      <c r="O129" s="331"/>
    </row>
    <row r="130" spans="1:15" hidden="1">
      <c r="A130" s="160" t="s">
        <v>808</v>
      </c>
      <c r="B130" s="156"/>
      <c r="C130" s="156"/>
      <c r="D130" s="156"/>
      <c r="E130" s="156"/>
      <c r="F130" s="156"/>
      <c r="G130" s="156"/>
      <c r="H130" s="156"/>
      <c r="I130" s="156"/>
      <c r="J130" s="156"/>
      <c r="K130" s="156"/>
      <c r="L130" s="167"/>
      <c r="M130" s="331"/>
      <c r="N130" s="331"/>
      <c r="O130" s="331"/>
    </row>
    <row r="131" spans="1:15" hidden="1">
      <c r="A131" s="154" t="s">
        <v>811</v>
      </c>
      <c r="B131" s="167">
        <f t="shared" ref="B131:K131" si="43">3*B108</f>
        <v>2779.1880000000001</v>
      </c>
      <c r="C131" s="167">
        <f t="shared" si="43"/>
        <v>3094.1579999999999</v>
      </c>
      <c r="D131" s="167">
        <f t="shared" si="43"/>
        <v>3463.6050000000005</v>
      </c>
      <c r="E131" s="167">
        <f t="shared" si="43"/>
        <v>2938.0619999999999</v>
      </c>
      <c r="F131" s="167">
        <f t="shared" si="43"/>
        <v>3226.9754909792437</v>
      </c>
      <c r="G131" s="167">
        <f t="shared" si="43"/>
        <v>3384.8890407533695</v>
      </c>
      <c r="H131" s="167">
        <f t="shared" si="43"/>
        <v>3641.6617145487658</v>
      </c>
      <c r="I131" s="167">
        <f t="shared" si="43"/>
        <v>3878.1377752352782</v>
      </c>
      <c r="J131" s="167">
        <f t="shared" si="43"/>
        <v>4130.7513940847366</v>
      </c>
      <c r="K131" s="167">
        <f t="shared" si="43"/>
        <v>4393.316124928504</v>
      </c>
      <c r="L131" s="167"/>
      <c r="M131" s="331"/>
      <c r="N131" s="331"/>
      <c r="O131" s="331"/>
    </row>
    <row r="132" spans="1:15" hidden="1">
      <c r="A132" s="154"/>
      <c r="B132" s="167"/>
      <c r="C132" s="167"/>
      <c r="D132" s="167"/>
      <c r="E132" s="167"/>
      <c r="F132" s="167"/>
      <c r="G132" s="167"/>
      <c r="H132" s="167"/>
      <c r="I132" s="167"/>
      <c r="J132" s="167"/>
      <c r="K132" s="167"/>
      <c r="L132" s="167"/>
      <c r="M132" s="331"/>
      <c r="N132" s="331"/>
      <c r="O132" s="331"/>
    </row>
    <row r="133" spans="1:15" hidden="1">
      <c r="A133" s="154" t="s">
        <v>812</v>
      </c>
      <c r="B133" s="167">
        <f t="shared" ref="B133:K133" si="44">4*B108</f>
        <v>3705.5839999999998</v>
      </c>
      <c r="C133" s="167">
        <f t="shared" si="44"/>
        <v>4125.5439999999999</v>
      </c>
      <c r="D133" s="167">
        <f t="shared" si="44"/>
        <v>4618.1400000000003</v>
      </c>
      <c r="E133" s="167">
        <f t="shared" si="44"/>
        <v>3917.4159999999997</v>
      </c>
      <c r="F133" s="167">
        <f t="shared" si="44"/>
        <v>4302.6339879723246</v>
      </c>
      <c r="G133" s="167">
        <f t="shared" si="44"/>
        <v>4513.1853876711593</v>
      </c>
      <c r="H133" s="167">
        <f t="shared" si="44"/>
        <v>4855.5489527316877</v>
      </c>
      <c r="I133" s="167">
        <f t="shared" si="44"/>
        <v>5170.8503669803713</v>
      </c>
      <c r="J133" s="167">
        <f t="shared" si="44"/>
        <v>5507.6685254463155</v>
      </c>
      <c r="K133" s="167">
        <f t="shared" si="44"/>
        <v>5857.7548332380047</v>
      </c>
      <c r="L133" s="167"/>
      <c r="M133" s="331"/>
      <c r="N133" s="331"/>
      <c r="O133" s="331"/>
    </row>
    <row r="134" spans="1:15" hidden="1">
      <c r="A134" s="154"/>
      <c r="B134" s="167"/>
      <c r="C134" s="167"/>
      <c r="D134" s="167"/>
      <c r="E134" s="167"/>
      <c r="F134" s="167"/>
      <c r="G134" s="167"/>
      <c r="H134" s="167"/>
      <c r="I134" s="167"/>
      <c r="J134" s="167"/>
      <c r="K134" s="167"/>
      <c r="L134" s="167"/>
      <c r="M134" s="331"/>
      <c r="N134" s="331"/>
      <c r="O134" s="331"/>
    </row>
    <row r="135" spans="1:15" hidden="1">
      <c r="A135" s="154" t="s">
        <v>813</v>
      </c>
      <c r="B135" s="167">
        <f t="shared" ref="B135:K135" si="45">B131-B105</f>
        <v>710.48499999999967</v>
      </c>
      <c r="C135" s="167">
        <f t="shared" si="45"/>
        <v>-451.72399999999971</v>
      </c>
      <c r="D135" s="167">
        <f t="shared" si="45"/>
        <v>-415.41300000000001</v>
      </c>
      <c r="E135" s="167">
        <f t="shared" si="45"/>
        <v>-356.47500000000036</v>
      </c>
      <c r="F135" s="167">
        <f t="shared" si="45"/>
        <v>233.89731845047572</v>
      </c>
      <c r="G135" s="167">
        <f t="shared" si="45"/>
        <v>496.53820673904283</v>
      </c>
      <c r="H135" s="167">
        <f t="shared" si="45"/>
        <v>852.26024610708646</v>
      </c>
      <c r="I135" s="167">
        <f t="shared" si="45"/>
        <v>1161.7450370830761</v>
      </c>
      <c r="J135" s="167">
        <f t="shared" si="45"/>
        <v>1502.3574327200563</v>
      </c>
      <c r="K135" s="167">
        <f t="shared" si="45"/>
        <v>1857.5080539835421</v>
      </c>
      <c r="L135" s="167"/>
      <c r="M135" s="331"/>
      <c r="N135" s="331"/>
      <c r="O135" s="331"/>
    </row>
    <row r="136" spans="1:15" hidden="1">
      <c r="A136" s="154" t="s">
        <v>815</v>
      </c>
      <c r="B136" s="167">
        <f t="shared" ref="B136:K136" si="46">B133-B106</f>
        <v>3705.5839999999998</v>
      </c>
      <c r="C136" s="167">
        <f t="shared" si="46"/>
        <v>4125.5439999999999</v>
      </c>
      <c r="D136" s="167">
        <f t="shared" si="46"/>
        <v>4618.1400000000003</v>
      </c>
      <c r="E136" s="167">
        <f t="shared" si="46"/>
        <v>3917.4159999999997</v>
      </c>
      <c r="F136" s="167">
        <f t="shared" si="46"/>
        <v>4302.6339879723246</v>
      </c>
      <c r="G136" s="167">
        <f t="shared" si="46"/>
        <v>4513.1853876711593</v>
      </c>
      <c r="H136" s="167">
        <f t="shared" si="46"/>
        <v>4855.5489527316877</v>
      </c>
      <c r="I136" s="167">
        <f t="shared" si="46"/>
        <v>5170.8503669803713</v>
      </c>
      <c r="J136" s="167">
        <f t="shared" si="46"/>
        <v>5507.6685254463155</v>
      </c>
      <c r="K136" s="167">
        <f t="shared" si="46"/>
        <v>5857.7548332380047</v>
      </c>
      <c r="L136" s="167"/>
      <c r="M136" s="331"/>
      <c r="N136" s="331"/>
      <c r="O136" s="331"/>
    </row>
    <row r="137" spans="1:15" hidden="1">
      <c r="A137" s="154" t="s">
        <v>814</v>
      </c>
      <c r="B137" s="167">
        <f t="shared" ref="B137:K137" si="47">B133-B105</f>
        <v>1636.8809999999994</v>
      </c>
      <c r="C137" s="167">
        <f t="shared" si="47"/>
        <v>579.66200000000026</v>
      </c>
      <c r="D137" s="167">
        <f t="shared" si="47"/>
        <v>739.12199999999984</v>
      </c>
      <c r="E137" s="167">
        <f t="shared" si="47"/>
        <v>622.87899999999945</v>
      </c>
      <c r="F137" s="167">
        <f t="shared" si="47"/>
        <v>1309.5558154435566</v>
      </c>
      <c r="G137" s="167">
        <f t="shared" si="47"/>
        <v>1624.8345536568327</v>
      </c>
      <c r="H137" s="167">
        <f t="shared" si="47"/>
        <v>2066.1474842900084</v>
      </c>
      <c r="I137" s="167">
        <f t="shared" si="47"/>
        <v>2454.4576288281692</v>
      </c>
      <c r="J137" s="167">
        <f t="shared" si="47"/>
        <v>2879.2745640816352</v>
      </c>
      <c r="K137" s="167">
        <f t="shared" si="47"/>
        <v>3321.9467622930429</v>
      </c>
      <c r="L137" s="167"/>
      <c r="M137" s="331"/>
      <c r="N137" s="331"/>
      <c r="O137" s="331"/>
    </row>
    <row r="138" spans="1:15" hidden="1">
      <c r="A138" s="154"/>
      <c r="B138" s="167"/>
      <c r="C138" s="167"/>
      <c r="D138" s="167"/>
      <c r="E138" s="167"/>
      <c r="F138" s="167"/>
      <c r="G138" s="167"/>
      <c r="H138" s="167"/>
      <c r="I138" s="167"/>
      <c r="J138" s="167"/>
      <c r="K138" s="167"/>
      <c r="L138" s="167"/>
      <c r="M138" s="331"/>
      <c r="N138" s="331"/>
      <c r="O138" s="331"/>
    </row>
    <row r="139" spans="1:15" hidden="1">
      <c r="A139" s="154"/>
      <c r="B139" s="167"/>
      <c r="C139" s="167"/>
      <c r="D139" s="167"/>
      <c r="E139" s="167"/>
      <c r="F139" s="167"/>
      <c r="G139" s="167"/>
      <c r="H139" s="167"/>
      <c r="I139" s="167"/>
      <c r="J139" s="167"/>
      <c r="K139" s="167"/>
      <c r="L139" s="167"/>
      <c r="M139" s="331"/>
      <c r="N139" s="331"/>
      <c r="O139" s="331"/>
    </row>
    <row r="140" spans="1:15" hidden="1">
      <c r="A140" s="154"/>
      <c r="B140" s="167"/>
      <c r="C140" s="167"/>
      <c r="D140" s="167"/>
      <c r="E140" s="167"/>
      <c r="F140" s="167"/>
      <c r="G140" s="167"/>
      <c r="H140" s="167"/>
      <c r="I140" s="167"/>
      <c r="J140" s="167"/>
      <c r="K140" s="167"/>
      <c r="L140" s="167"/>
      <c r="M140" s="331"/>
      <c r="N140" s="331"/>
      <c r="O140" s="331"/>
    </row>
    <row r="141" spans="1:15" hidden="1">
      <c r="A141" s="154"/>
      <c r="B141" s="167"/>
      <c r="C141" s="167"/>
      <c r="D141" s="167"/>
      <c r="E141" s="167"/>
      <c r="F141" s="167"/>
      <c r="G141" s="167"/>
      <c r="H141" s="167"/>
      <c r="I141" s="167"/>
      <c r="J141" s="167"/>
      <c r="K141" s="167"/>
      <c r="L141" s="167"/>
      <c r="M141" s="331"/>
      <c r="N141" s="331"/>
      <c r="O141" s="331"/>
    </row>
    <row r="142" spans="1:15" hidden="1">
      <c r="A142" s="154"/>
      <c r="B142" s="167"/>
      <c r="C142" s="167"/>
      <c r="D142" s="167"/>
      <c r="E142" s="167"/>
      <c r="F142" s="167"/>
      <c r="G142" s="167"/>
      <c r="H142" s="167"/>
      <c r="I142" s="167"/>
      <c r="J142" s="167"/>
      <c r="K142" s="167"/>
      <c r="L142" s="167"/>
      <c r="M142" s="331"/>
      <c r="N142" s="331"/>
      <c r="O142" s="331"/>
    </row>
    <row r="143" spans="1:15" hidden="1">
      <c r="A143" s="154" t="s">
        <v>816</v>
      </c>
      <c r="B143" s="347">
        <f t="shared" ref="B143:K143" si="48">B89</f>
        <v>2.2330655572778819</v>
      </c>
      <c r="C143" s="347">
        <f t="shared" si="48"/>
        <v>3.3313250325290431</v>
      </c>
      <c r="D143" s="347">
        <f t="shared" si="48"/>
        <v>3.3720971095816026</v>
      </c>
      <c r="E143" s="347">
        <f t="shared" si="48"/>
        <v>3.578954795261291</v>
      </c>
      <c r="F143" s="347">
        <f t="shared" si="48"/>
        <v>3.0742022240562159</v>
      </c>
      <c r="G143" s="347">
        <f t="shared" si="48"/>
        <v>2.8206612176558945</v>
      </c>
      <c r="H143" s="347">
        <f t="shared" si="48"/>
        <v>2.5212715669348409</v>
      </c>
      <c r="I143" s="347">
        <f t="shared" si="48"/>
        <v>2.2977410591284824</v>
      </c>
      <c r="J143" s="347">
        <f t="shared" si="48"/>
        <v>2.0812049446036269</v>
      </c>
      <c r="K143" s="347">
        <f t="shared" si="48"/>
        <v>1.8831881043080376</v>
      </c>
      <c r="L143" s="167"/>
      <c r="M143" s="331"/>
      <c r="N143" s="331"/>
      <c r="O143" s="331"/>
    </row>
    <row r="144" spans="1:15" hidden="1">
      <c r="A144" s="154" t="s">
        <v>817</v>
      </c>
      <c r="B144" s="347">
        <f>B111</f>
        <v>2.2330655572778819</v>
      </c>
      <c r="C144" s="347">
        <f t="shared" ref="C144:K144" si="49">C111</f>
        <v>3.4379776339799064</v>
      </c>
      <c r="D144" s="347">
        <f t="shared" si="49"/>
        <v>3.3598097935532487</v>
      </c>
      <c r="E144" s="347">
        <f t="shared" si="49"/>
        <v>3.3639899362232661</v>
      </c>
      <c r="F144" s="347">
        <f t="shared" si="49"/>
        <v>2.7825542966431103</v>
      </c>
      <c r="G144" s="347">
        <f t="shared" si="49"/>
        <v>2.5599221710719395</v>
      </c>
      <c r="H144" s="347">
        <f t="shared" si="49"/>
        <v>2.2979082246693343</v>
      </c>
      <c r="I144" s="347">
        <f t="shared" si="49"/>
        <v>2.1013121984719105</v>
      </c>
      <c r="J144" s="347">
        <f t="shared" si="49"/>
        <v>1.9088977117784609</v>
      </c>
      <c r="K144" s="347">
        <f t="shared" si="49"/>
        <v>1.7315904425062716</v>
      </c>
      <c r="L144" s="167"/>
      <c r="M144" s="331"/>
      <c r="N144" s="331"/>
      <c r="O144" s="331"/>
    </row>
    <row r="145" spans="1:15" hidden="1">
      <c r="A145" s="154" t="s">
        <v>638</v>
      </c>
      <c r="B145" s="347">
        <f>B144-B143</f>
        <v>0</v>
      </c>
      <c r="C145" s="347">
        <f t="shared" ref="C145:K145" si="50">C144-C143</f>
        <v>0.1066526014508633</v>
      </c>
      <c r="D145" s="347">
        <f t="shared" si="50"/>
        <v>-1.2287316028353867E-2</v>
      </c>
      <c r="E145" s="347">
        <f t="shared" si="50"/>
        <v>-0.21496485903802487</v>
      </c>
      <c r="F145" s="347">
        <f t="shared" si="50"/>
        <v>-0.29164792741310563</v>
      </c>
      <c r="G145" s="347">
        <f t="shared" si="50"/>
        <v>-0.26073904658395497</v>
      </c>
      <c r="H145" s="347">
        <f t="shared" si="50"/>
        <v>-0.22336334226550658</v>
      </c>
      <c r="I145" s="347">
        <f t="shared" si="50"/>
        <v>-0.19642886065657184</v>
      </c>
      <c r="J145" s="347">
        <f t="shared" si="50"/>
        <v>-0.17230723282516602</v>
      </c>
      <c r="K145" s="347">
        <f t="shared" si="50"/>
        <v>-0.15159766180176604</v>
      </c>
      <c r="L145" s="167"/>
      <c r="M145" s="331"/>
      <c r="N145" s="331"/>
      <c r="O145" s="331"/>
    </row>
    <row r="146" spans="1:15">
      <c r="A146" s="154"/>
      <c r="B146" s="167"/>
      <c r="C146" s="167"/>
      <c r="D146" s="167"/>
      <c r="E146" s="167"/>
      <c r="F146" s="167"/>
      <c r="G146" s="167"/>
      <c r="H146" s="167"/>
      <c r="I146" s="167"/>
      <c r="J146" s="167"/>
      <c r="K146" s="167"/>
      <c r="L146" s="167"/>
      <c r="M146" s="331"/>
      <c r="N146" s="331"/>
      <c r="O146" s="331"/>
    </row>
    <row r="147" spans="1:15">
      <c r="B147" s="331"/>
      <c r="C147" s="331"/>
      <c r="D147" s="331"/>
      <c r="E147" s="331"/>
      <c r="F147" s="331"/>
      <c r="G147" s="331"/>
      <c r="H147" s="331"/>
      <c r="I147" s="331"/>
      <c r="J147" s="331"/>
      <c r="K147" s="331"/>
      <c r="L147" s="331"/>
      <c r="M147" s="331"/>
      <c r="N147" s="331"/>
      <c r="O147" s="331"/>
    </row>
    <row r="148" spans="1:15">
      <c r="B148" s="331"/>
      <c r="C148" s="331"/>
      <c r="D148" s="331"/>
      <c r="E148" s="331"/>
      <c r="F148" s="331"/>
      <c r="G148" s="331"/>
      <c r="H148" s="331"/>
      <c r="I148" s="331"/>
      <c r="J148" s="331"/>
      <c r="K148" s="331"/>
      <c r="L148" s="331"/>
      <c r="M148" s="331"/>
      <c r="N148" s="331"/>
      <c r="O148" s="331"/>
    </row>
    <row r="149" spans="1:15">
      <c r="B149" s="331"/>
      <c r="C149" s="331"/>
      <c r="D149" s="331"/>
      <c r="E149" s="331"/>
      <c r="F149" s="331"/>
      <c r="G149" s="331"/>
      <c r="H149" s="331"/>
      <c r="I149" s="331"/>
      <c r="J149" s="331"/>
      <c r="K149" s="331"/>
      <c r="L149" s="331"/>
      <c r="M149" s="331"/>
      <c r="N149" s="331"/>
      <c r="O149" s="331"/>
    </row>
    <row r="150" spans="1:15">
      <c r="B150" s="331"/>
      <c r="C150" s="331"/>
      <c r="D150" s="331"/>
      <c r="E150" s="331"/>
      <c r="F150" s="331"/>
      <c r="G150" s="331"/>
      <c r="H150" s="331"/>
      <c r="I150" s="331"/>
      <c r="J150" s="331"/>
      <c r="K150" s="331"/>
      <c r="L150" s="331"/>
      <c r="M150" s="331"/>
      <c r="N150" s="331"/>
      <c r="O150" s="331"/>
    </row>
    <row r="151" spans="1:15">
      <c r="B151" s="331"/>
      <c r="C151" s="331"/>
      <c r="D151" s="331"/>
      <c r="E151" s="331"/>
      <c r="F151" s="331"/>
      <c r="G151" s="331"/>
      <c r="H151" s="331"/>
      <c r="I151" s="331"/>
      <c r="J151" s="331"/>
      <c r="K151" s="331"/>
      <c r="L151" s="331"/>
      <c r="M151" s="331"/>
      <c r="N151" s="331"/>
      <c r="O151" s="331"/>
    </row>
    <row r="152" spans="1:15">
      <c r="B152" s="359" t="s">
        <v>820</v>
      </c>
      <c r="C152" s="359" t="s">
        <v>821</v>
      </c>
      <c r="D152" s="359" t="s">
        <v>822</v>
      </c>
      <c r="E152" s="359" t="s">
        <v>823</v>
      </c>
      <c r="F152" s="359" t="s">
        <v>824</v>
      </c>
      <c r="G152" s="359" t="s">
        <v>825</v>
      </c>
      <c r="H152" s="359" t="s">
        <v>826</v>
      </c>
      <c r="I152" s="359" t="s">
        <v>827</v>
      </c>
      <c r="J152" s="359" t="s">
        <v>828</v>
      </c>
      <c r="K152" s="359" t="s">
        <v>829</v>
      </c>
      <c r="L152" s="359" t="s">
        <v>830</v>
      </c>
      <c r="M152" s="359" t="s">
        <v>831</v>
      </c>
      <c r="N152" s="331"/>
      <c r="O152" s="331"/>
    </row>
    <row r="153" spans="1:15">
      <c r="B153" s="359">
        <v>991</v>
      </c>
      <c r="C153" s="359">
        <v>821</v>
      </c>
      <c r="D153" s="359">
        <v>812</v>
      </c>
      <c r="E153" s="359">
        <v>795</v>
      </c>
      <c r="F153" s="359">
        <v>695</v>
      </c>
      <c r="G153" s="359">
        <f>F153</f>
        <v>695</v>
      </c>
      <c r="H153" s="359">
        <f t="shared" ref="H153:M153" si="51">G153</f>
        <v>695</v>
      </c>
      <c r="I153" s="359">
        <f t="shared" si="51"/>
        <v>695</v>
      </c>
      <c r="J153" s="359">
        <f t="shared" si="51"/>
        <v>695</v>
      </c>
      <c r="K153" s="359">
        <f t="shared" si="51"/>
        <v>695</v>
      </c>
      <c r="L153" s="359">
        <f t="shared" si="51"/>
        <v>695</v>
      </c>
      <c r="M153" s="359">
        <f t="shared" si="51"/>
        <v>695</v>
      </c>
      <c r="N153" s="331"/>
      <c r="O153" s="331"/>
    </row>
    <row r="154" spans="1:15">
      <c r="B154" s="138"/>
      <c r="C154" s="329">
        <f>C153/B153-1</f>
        <v>-0.1715438950554995</v>
      </c>
      <c r="D154" s="329">
        <f t="shared" ref="D154:M154" si="52">D153/C153-1</f>
        <v>-1.0962241169305775E-2</v>
      </c>
      <c r="E154" s="329">
        <f t="shared" si="52"/>
        <v>-2.0935960591133007E-2</v>
      </c>
      <c r="F154" s="329">
        <f t="shared" si="52"/>
        <v>-0.12578616352201255</v>
      </c>
      <c r="G154" s="329">
        <f t="shared" si="52"/>
        <v>0</v>
      </c>
      <c r="H154" s="329">
        <f t="shared" si="52"/>
        <v>0</v>
      </c>
      <c r="I154" s="329">
        <f t="shared" si="52"/>
        <v>0</v>
      </c>
      <c r="J154" s="329">
        <f t="shared" si="52"/>
        <v>0</v>
      </c>
      <c r="K154" s="329">
        <f t="shared" si="52"/>
        <v>0</v>
      </c>
      <c r="L154" s="329">
        <f t="shared" si="52"/>
        <v>0</v>
      </c>
      <c r="M154" s="329">
        <f t="shared" si="52"/>
        <v>0</v>
      </c>
    </row>
    <row r="175" spans="1:6">
      <c r="A175" s="360" t="s">
        <v>832</v>
      </c>
      <c r="B175" s="361">
        <v>-0.3</v>
      </c>
      <c r="C175" s="361">
        <v>-0.15</v>
      </c>
      <c r="D175" s="362" t="s">
        <v>834</v>
      </c>
      <c r="E175" s="363" t="s">
        <v>835</v>
      </c>
      <c r="F175" s="364" t="s">
        <v>836</v>
      </c>
    </row>
    <row r="176" spans="1:6">
      <c r="A176" s="360" t="s">
        <v>833</v>
      </c>
      <c r="B176" s="361">
        <v>0.17</v>
      </c>
      <c r="C176" s="361">
        <v>0.24</v>
      </c>
      <c r="D176" s="361">
        <v>0.3</v>
      </c>
      <c r="E176" s="361">
        <v>0.36</v>
      </c>
      <c r="F176" s="361">
        <v>0.42</v>
      </c>
    </row>
    <row r="199" spans="1:18" ht="15.75">
      <c r="A199" s="370"/>
      <c r="B199" s="332"/>
      <c r="C199" s="332"/>
      <c r="D199" s="332"/>
      <c r="E199" s="332"/>
      <c r="F199" s="332"/>
      <c r="G199" s="332"/>
      <c r="H199" s="332"/>
    </row>
    <row r="200" spans="1:18" ht="15.75">
      <c r="A200" s="371" t="s">
        <v>857</v>
      </c>
      <c r="B200" s="372" t="s">
        <v>263</v>
      </c>
      <c r="C200" s="372" t="s">
        <v>264</v>
      </c>
      <c r="D200" s="372" t="s">
        <v>265</v>
      </c>
      <c r="E200" s="372" t="s">
        <v>266</v>
      </c>
      <c r="F200" s="372" t="s">
        <v>267</v>
      </c>
      <c r="G200" s="372" t="s">
        <v>268</v>
      </c>
      <c r="H200" s="372" t="s">
        <v>269</v>
      </c>
    </row>
    <row r="201" spans="1:18" ht="15.75">
      <c r="A201" s="373" t="s">
        <v>161</v>
      </c>
      <c r="B201" s="374">
        <v>1961.2990000000002</v>
      </c>
      <c r="C201" s="374">
        <v>2085.4708622688686</v>
      </c>
      <c r="D201" s="374">
        <v>2160.8256259926488</v>
      </c>
      <c r="E201" s="374">
        <v>2133.91016158616</v>
      </c>
      <c r="F201" s="374">
        <v>2255.23682220401</v>
      </c>
      <c r="G201" s="374">
        <v>2399.3295312810424</v>
      </c>
      <c r="H201" s="374">
        <v>2548.8200670648926</v>
      </c>
      <c r="I201" s="331"/>
      <c r="J201" s="331"/>
      <c r="K201" s="331"/>
    </row>
    <row r="202" spans="1:18" ht="15.75">
      <c r="A202" s="367" t="s">
        <v>9</v>
      </c>
      <c r="B202" s="368">
        <v>1031.386</v>
      </c>
      <c r="C202" s="368">
        <v>1112.6365410624887</v>
      </c>
      <c r="D202" s="368">
        <v>1176.186896407673</v>
      </c>
      <c r="E202" s="368">
        <v>1148.6309432510277</v>
      </c>
      <c r="F202" s="368">
        <v>1235.5076444685246</v>
      </c>
      <c r="G202" s="368">
        <v>1344.6694663692447</v>
      </c>
      <c r="H202" s="368">
        <v>1453.9714322221905</v>
      </c>
      <c r="I202" s="331"/>
      <c r="J202" s="331"/>
      <c r="K202" s="47">
        <f>C201/B201-1</f>
        <v>6.3311031244531524E-2</v>
      </c>
      <c r="L202" s="47">
        <f t="shared" ref="L202:P202" si="53">D201/C201-1</f>
        <v>3.6133213408600984E-2</v>
      </c>
      <c r="M202" s="47">
        <f t="shared" si="53"/>
        <v>-1.245610200227254E-2</v>
      </c>
      <c r="N202" s="47">
        <f t="shared" si="53"/>
        <v>5.6856498835764713E-2</v>
      </c>
      <c r="O202" s="47">
        <f t="shared" si="53"/>
        <v>6.3892495749609424E-2</v>
      </c>
      <c r="P202" s="47">
        <f t="shared" si="53"/>
        <v>6.2305128926594122E-2</v>
      </c>
    </row>
    <row r="203" spans="1:18" ht="15.75">
      <c r="A203" s="373" t="s">
        <v>316</v>
      </c>
      <c r="B203" s="374">
        <v>634</v>
      </c>
      <c r="C203" s="374">
        <v>604.78655005797179</v>
      </c>
      <c r="D203" s="374">
        <v>475.38163771838276</v>
      </c>
      <c r="E203" s="374">
        <v>384.10382908550878</v>
      </c>
      <c r="F203" s="374">
        <v>405.9426279967218</v>
      </c>
      <c r="G203" s="374">
        <v>383.89272500496679</v>
      </c>
      <c r="H203" s="374">
        <v>356.83480938908497</v>
      </c>
      <c r="I203" s="331"/>
      <c r="J203" s="331"/>
      <c r="K203" s="47">
        <f>C207/B207-1</f>
        <v>8.3740418977422459E-2</v>
      </c>
      <c r="L203" s="47">
        <f t="shared" ref="L203:P203" si="54">D207/C207-1</f>
        <v>-0.19492185276299323</v>
      </c>
      <c r="M203" s="47">
        <f t="shared" si="54"/>
        <v>8.2120939793539627E-3</v>
      </c>
      <c r="N203" s="47">
        <f t="shared" si="54"/>
        <v>4.0997523620556642E-2</v>
      </c>
      <c r="O203" s="47">
        <f t="shared" si="54"/>
        <v>6.8295621892227931E-2</v>
      </c>
      <c r="P203" s="47">
        <f t="shared" si="54"/>
        <v>6.0550987562172809E-2</v>
      </c>
    </row>
    <row r="204" spans="1:18" ht="15.75">
      <c r="A204" s="367" t="s">
        <v>57</v>
      </c>
      <c r="B204" s="368">
        <v>397.38599999999997</v>
      </c>
      <c r="C204" s="368">
        <v>507.84999100451694</v>
      </c>
      <c r="D204" s="368">
        <v>700.80525868929021</v>
      </c>
      <c r="E204" s="368">
        <v>764.52711416551892</v>
      </c>
      <c r="F204" s="368">
        <v>829.56501647180289</v>
      </c>
      <c r="G204" s="368">
        <v>960.77674136427788</v>
      </c>
      <c r="H204" s="368">
        <v>1097.1366228331055</v>
      </c>
      <c r="I204" s="331"/>
      <c r="J204" s="331"/>
      <c r="K204" s="331"/>
    </row>
    <row r="205" spans="1:18" ht="15.75">
      <c r="A205" s="367"/>
      <c r="B205" s="367"/>
      <c r="C205" s="367"/>
      <c r="D205" s="367"/>
      <c r="E205" s="367"/>
      <c r="F205" s="367"/>
      <c r="G205" s="367"/>
      <c r="H205" s="367"/>
    </row>
    <row r="206" spans="1:18" ht="15.75">
      <c r="A206" s="371" t="s">
        <v>858</v>
      </c>
      <c r="B206" s="372" t="s">
        <v>263</v>
      </c>
      <c r="C206" s="372" t="s">
        <v>264</v>
      </c>
      <c r="D206" s="372" t="s">
        <v>265</v>
      </c>
      <c r="E206" s="372" t="s">
        <v>266</v>
      </c>
      <c r="F206" s="372" t="s">
        <v>267</v>
      </c>
      <c r="G206" s="372" t="s">
        <v>268</v>
      </c>
      <c r="H206" s="372" t="s">
        <v>269</v>
      </c>
      <c r="K206" t="str">
        <f>C206</f>
        <v>2023E</v>
      </c>
      <c r="L206" t="str">
        <f t="shared" ref="L206:P206" si="55">D206</f>
        <v>2024E</v>
      </c>
      <c r="M206" t="str">
        <f t="shared" si="55"/>
        <v>2025E</v>
      </c>
      <c r="N206" t="str">
        <f t="shared" si="55"/>
        <v>2026E</v>
      </c>
      <c r="O206" t="str">
        <f t="shared" si="55"/>
        <v>2027E</v>
      </c>
      <c r="P206" t="str">
        <f t="shared" si="55"/>
        <v>2028E</v>
      </c>
    </row>
    <row r="207" spans="1:18" ht="15.75">
      <c r="A207" s="373" t="s">
        <v>161</v>
      </c>
      <c r="B207" s="374">
        <f>Consolidation!H10</f>
        <v>1961.2990000000002</v>
      </c>
      <c r="C207" s="374">
        <f>Consolidation!I10</f>
        <v>2125.5389999999998</v>
      </c>
      <c r="D207" s="374">
        <f>Consolidation!J10</f>
        <v>1711.2249999999999</v>
      </c>
      <c r="E207" s="374">
        <f>Consolidation!K10</f>
        <v>1725.2777405198199</v>
      </c>
      <c r="F207" s="374">
        <f>Consolidation!L10</f>
        <v>1796.0098554388017</v>
      </c>
      <c r="G207" s="374">
        <f>Consolidation!M10</f>
        <v>1918.6694654405651</v>
      </c>
      <c r="H207" s="374">
        <f>Consolidation!N10</f>
        <v>2034.8467963783773</v>
      </c>
      <c r="K207" s="331">
        <f>C207-C201</f>
        <v>40.068137731131173</v>
      </c>
      <c r="L207" s="331">
        <f t="shared" ref="L207:P207" si="56">D207-D201</f>
        <v>-449.60062599264893</v>
      </c>
      <c r="M207" s="331">
        <f t="shared" si="56"/>
        <v>-408.63242106634016</v>
      </c>
      <c r="N207" s="331">
        <f t="shared" si="56"/>
        <v>-459.22696676520832</v>
      </c>
      <c r="O207" s="331">
        <f t="shared" si="56"/>
        <v>-480.66006584047727</v>
      </c>
      <c r="P207" s="331">
        <f t="shared" si="56"/>
        <v>-513.97327068651521</v>
      </c>
      <c r="Q207" s="331"/>
      <c r="R207" s="331"/>
    </row>
    <row r="208" spans="1:18" ht="15.75">
      <c r="A208" s="367" t="s">
        <v>9</v>
      </c>
      <c r="B208" s="368">
        <f>Consolidation!H32</f>
        <v>1031.386</v>
      </c>
      <c r="C208" s="368">
        <f>Consolidation!I32</f>
        <v>1132.5350000000001</v>
      </c>
      <c r="D208" s="368">
        <f>Consolidation!J32</f>
        <v>928.35399999999993</v>
      </c>
      <c r="E208" s="368">
        <f>Consolidation!K32</f>
        <v>998.65849699308114</v>
      </c>
      <c r="F208" s="368">
        <f>Consolidation!L32</f>
        <v>1051.2963469177898</v>
      </c>
      <c r="G208" s="368">
        <f>Consolidation!M32</f>
        <v>1136.8872381829219</v>
      </c>
      <c r="H208" s="368">
        <f>Consolidation!N32</f>
        <v>1215.7125917450928</v>
      </c>
      <c r="K208" s="331">
        <f t="shared" ref="K208:K210" si="57">C208-C202</f>
        <v>19.89845893751135</v>
      </c>
      <c r="L208" s="331">
        <f t="shared" ref="L208:L210" si="58">D208-D202</f>
        <v>-247.83289640767305</v>
      </c>
      <c r="M208" s="331">
        <f t="shared" ref="M208:M210" si="59">E208-E202</f>
        <v>-149.97244625794656</v>
      </c>
      <c r="N208" s="331">
        <f t="shared" ref="N208:N210" si="60">F208-F202</f>
        <v>-184.2112975507348</v>
      </c>
      <c r="O208" s="331">
        <f t="shared" ref="O208:O210" si="61">G208-G202</f>
        <v>-207.78222818632275</v>
      </c>
      <c r="P208" s="331">
        <f t="shared" ref="P208:P210" si="62">H208-H202</f>
        <v>-238.25884047709769</v>
      </c>
    </row>
    <row r="209" spans="1:16" ht="15.75">
      <c r="A209" s="373" t="s">
        <v>316</v>
      </c>
      <c r="B209" s="374">
        <f>Consolidation!H88</f>
        <v>634</v>
      </c>
      <c r="C209" s="374">
        <f>Consolidation!I88</f>
        <v>586</v>
      </c>
      <c r="D209" s="374">
        <f>Consolidation!J88</f>
        <v>257</v>
      </c>
      <c r="E209" s="374">
        <f>Consolidation!K88</f>
        <v>258.79166107797295</v>
      </c>
      <c r="F209" s="374">
        <f>Consolidation!L88</f>
        <v>269.40147831582021</v>
      </c>
      <c r="G209" s="374">
        <f>Consolidation!M88</f>
        <v>278.20707248888192</v>
      </c>
      <c r="H209" s="374">
        <f>Consolidation!N88</f>
        <v>295.05278547486472</v>
      </c>
      <c r="K209" s="331">
        <f t="shared" si="57"/>
        <v>-18.786550057971795</v>
      </c>
      <c r="L209" s="331">
        <f t="shared" si="58"/>
        <v>-218.38163771838276</v>
      </c>
      <c r="M209" s="331">
        <f t="shared" si="59"/>
        <v>-125.31216800753583</v>
      </c>
      <c r="N209" s="331">
        <f t="shared" si="60"/>
        <v>-136.54114968090158</v>
      </c>
      <c r="O209" s="331">
        <f t="shared" si="61"/>
        <v>-105.68565251608487</v>
      </c>
      <c r="P209" s="331">
        <f t="shared" si="62"/>
        <v>-61.782023914220247</v>
      </c>
    </row>
    <row r="210" spans="1:16" ht="15.75">
      <c r="A210" s="367" t="s">
        <v>57</v>
      </c>
      <c r="B210" s="368">
        <f>B208-B209</f>
        <v>397.38599999999997</v>
      </c>
      <c r="C210" s="368">
        <f t="shared" ref="C210:H210" si="63">C208-C209</f>
        <v>546.53500000000008</v>
      </c>
      <c r="D210" s="368">
        <f t="shared" si="63"/>
        <v>671.35399999999993</v>
      </c>
      <c r="E210" s="368">
        <f t="shared" si="63"/>
        <v>739.86683591510814</v>
      </c>
      <c r="F210" s="368">
        <f t="shared" si="63"/>
        <v>781.89486860196962</v>
      </c>
      <c r="G210" s="368">
        <f t="shared" si="63"/>
        <v>858.68016569403994</v>
      </c>
      <c r="H210" s="368">
        <f t="shared" si="63"/>
        <v>920.65980627022805</v>
      </c>
      <c r="K210" s="331">
        <f t="shared" si="57"/>
        <v>38.685008995483145</v>
      </c>
      <c r="L210" s="331">
        <f t="shared" si="58"/>
        <v>-29.451258689290285</v>
      </c>
      <c r="M210" s="331">
        <f t="shared" si="59"/>
        <v>-24.660278250410784</v>
      </c>
      <c r="N210" s="331">
        <f t="shared" si="60"/>
        <v>-47.670147869833272</v>
      </c>
      <c r="O210" s="331">
        <f t="shared" si="61"/>
        <v>-102.09657567023794</v>
      </c>
      <c r="P210" s="331">
        <f t="shared" si="62"/>
        <v>-176.4768165628775</v>
      </c>
    </row>
    <row r="211" spans="1:16" ht="15.75">
      <c r="A211" s="367"/>
      <c r="B211" s="367"/>
      <c r="C211" s="367"/>
      <c r="D211" s="367"/>
      <c r="E211" s="367"/>
      <c r="F211" s="367"/>
      <c r="G211" s="367"/>
      <c r="H211" s="367"/>
    </row>
    <row r="212" spans="1:16" ht="15.75">
      <c r="A212" s="371" t="s">
        <v>856</v>
      </c>
      <c r="B212" s="372" t="s">
        <v>263</v>
      </c>
      <c r="C212" s="372" t="s">
        <v>264</v>
      </c>
      <c r="D212" s="372" t="s">
        <v>265</v>
      </c>
      <c r="E212" s="372" t="s">
        <v>266</v>
      </c>
      <c r="F212" s="372" t="s">
        <v>267</v>
      </c>
      <c r="G212" s="372" t="s">
        <v>268</v>
      </c>
      <c r="H212" s="372" t="s">
        <v>269</v>
      </c>
    </row>
    <row r="213" spans="1:16" ht="15.75">
      <c r="A213" s="373" t="s">
        <v>161</v>
      </c>
      <c r="B213" s="375">
        <f>B207/B201-1</f>
        <v>0</v>
      </c>
      <c r="C213" s="430">
        <f t="shared" ref="C213:H213" si="64">C207/C201-1</f>
        <v>1.9212993312953452E-2</v>
      </c>
      <c r="D213" s="430">
        <f t="shared" si="64"/>
        <v>-0.20806890689576563</v>
      </c>
      <c r="E213" s="430">
        <f t="shared" si="64"/>
        <v>-0.19149466946752758</v>
      </c>
      <c r="F213" s="430">
        <f t="shared" si="64"/>
        <v>-0.20362693719962077</v>
      </c>
      <c r="G213" s="430">
        <f t="shared" si="64"/>
        <v>-0.20033099229343654</v>
      </c>
      <c r="H213" s="430">
        <f t="shared" si="64"/>
        <v>-0.20165145328535639</v>
      </c>
    </row>
    <row r="214" spans="1:16" ht="15.75">
      <c r="A214" s="367" t="s">
        <v>9</v>
      </c>
      <c r="B214" s="369">
        <f t="shared" ref="B214:H214" si="65">B208/B202-1</f>
        <v>0</v>
      </c>
      <c r="C214" s="431">
        <f t="shared" si="65"/>
        <v>1.7884060250717315E-2</v>
      </c>
      <c r="D214" s="431">
        <f t="shared" si="65"/>
        <v>-0.21070877184961667</v>
      </c>
      <c r="E214" s="431">
        <f t="shared" si="65"/>
        <v>-0.13056625989325343</v>
      </c>
      <c r="F214" s="431">
        <f t="shared" si="65"/>
        <v>-0.14909765906788586</v>
      </c>
      <c r="G214" s="431">
        <f t="shared" si="65"/>
        <v>-0.15452290200903984</v>
      </c>
      <c r="H214" s="431">
        <f t="shared" si="65"/>
        <v>-0.1638676216030962</v>
      </c>
    </row>
    <row r="215" spans="1:16" ht="15.75">
      <c r="A215" s="373" t="s">
        <v>316</v>
      </c>
      <c r="B215" s="375">
        <f t="shared" ref="B215:H215" si="66">B209/B203-1</f>
        <v>0</v>
      </c>
      <c r="C215" s="430">
        <f t="shared" si="66"/>
        <v>-3.1063108225821146E-2</v>
      </c>
      <c r="D215" s="430">
        <f t="shared" si="66"/>
        <v>-0.4593817269983671</v>
      </c>
      <c r="E215" s="430">
        <f t="shared" si="66"/>
        <v>-0.32624555788960641</v>
      </c>
      <c r="F215" s="430">
        <f t="shared" si="66"/>
        <v>-0.33635578099968411</v>
      </c>
      <c r="G215" s="430">
        <f t="shared" si="66"/>
        <v>-0.27529996176592697</v>
      </c>
      <c r="H215" s="430">
        <f t="shared" si="66"/>
        <v>-0.17313900518840486</v>
      </c>
    </row>
    <row r="216" spans="1:16" ht="15.75">
      <c r="A216" s="367" t="s">
        <v>57</v>
      </c>
      <c r="B216" s="369">
        <f t="shared" ref="B216:H216" si="67">B210/B204-1</f>
        <v>0</v>
      </c>
      <c r="C216" s="431">
        <f t="shared" si="67"/>
        <v>7.6174086207946967E-2</v>
      </c>
      <c r="D216" s="431">
        <f t="shared" si="67"/>
        <v>-4.2024882553496679E-2</v>
      </c>
      <c r="E216" s="431">
        <f t="shared" si="67"/>
        <v>-3.2255596686492249E-2</v>
      </c>
      <c r="F216" s="431">
        <f t="shared" si="67"/>
        <v>-5.7464028645491494E-2</v>
      </c>
      <c r="G216" s="431">
        <f t="shared" si="67"/>
        <v>-0.10626462035838158</v>
      </c>
      <c r="H216" s="431">
        <f t="shared" si="67"/>
        <v>-0.16085217910889371</v>
      </c>
    </row>
    <row r="222" spans="1:16" ht="15.75">
      <c r="A222" s="399"/>
      <c r="B222" s="399"/>
      <c r="C222" s="399"/>
      <c r="D222" s="399"/>
      <c r="E222" s="399"/>
      <c r="F222" s="399"/>
      <c r="G222" s="399"/>
      <c r="H222" s="399"/>
    </row>
    <row r="223" spans="1:16" ht="15.75">
      <c r="A223" s="399"/>
      <c r="B223" s="399"/>
      <c r="C223" s="399"/>
      <c r="D223" s="399"/>
      <c r="E223" s="399"/>
      <c r="F223" s="399"/>
      <c r="G223" s="399"/>
      <c r="H223" s="399"/>
    </row>
    <row r="224" spans="1:16" ht="15.75">
      <c r="A224" s="367"/>
      <c r="B224" s="1139" t="s">
        <v>859</v>
      </c>
      <c r="C224" s="1139"/>
      <c r="D224" s="1139"/>
      <c r="E224" s="405"/>
      <c r="F224" s="404" t="s">
        <v>872</v>
      </c>
      <c r="H224" s="400"/>
    </row>
    <row r="225" spans="1:16" ht="15.75">
      <c r="A225" s="406" t="s">
        <v>874</v>
      </c>
      <c r="B225" s="404" t="s">
        <v>378</v>
      </c>
      <c r="C225" s="404" t="s">
        <v>380</v>
      </c>
      <c r="D225" s="404" t="s">
        <v>379</v>
      </c>
      <c r="E225" s="405" t="s">
        <v>872</v>
      </c>
      <c r="F225" s="404" t="s">
        <v>873</v>
      </c>
      <c r="H225" s="400"/>
    </row>
    <row r="226" spans="1:16" ht="15.75">
      <c r="A226" s="373" t="s">
        <v>161</v>
      </c>
      <c r="B226" s="397">
        <v>2190</v>
      </c>
      <c r="C226" s="397">
        <v>2220</v>
      </c>
      <c r="D226" s="397">
        <f>(B226+C226)/2</f>
        <v>2205</v>
      </c>
      <c r="E226" s="402">
        <f>Interims!AA99</f>
        <v>603</v>
      </c>
      <c r="F226" s="397">
        <f>4*E226</f>
        <v>2412</v>
      </c>
      <c r="H226" s="401"/>
    </row>
    <row r="227" spans="1:16" ht="15.75">
      <c r="A227" s="367" t="s">
        <v>636</v>
      </c>
      <c r="B227" s="398">
        <v>1200</v>
      </c>
      <c r="C227" s="398">
        <v>1220</v>
      </c>
      <c r="D227" s="398">
        <f t="shared" ref="D227:D229" si="68">(B227+C227)/2</f>
        <v>1210</v>
      </c>
      <c r="E227" s="403">
        <f>Interims!AA128</f>
        <v>335</v>
      </c>
      <c r="F227" s="398">
        <f t="shared" ref="F227:F229" si="69">4*E227</f>
        <v>1340</v>
      </c>
      <c r="H227" s="401"/>
    </row>
    <row r="228" spans="1:16" ht="15.75">
      <c r="A228" s="373" t="s">
        <v>316</v>
      </c>
      <c r="B228" s="397">
        <v>610</v>
      </c>
      <c r="C228" s="397">
        <v>650</v>
      </c>
      <c r="D228" s="397">
        <f t="shared" si="68"/>
        <v>630</v>
      </c>
      <c r="E228" s="402">
        <f>Interims!AA170</f>
        <v>153</v>
      </c>
      <c r="F228" s="397">
        <f t="shared" si="69"/>
        <v>612</v>
      </c>
      <c r="H228" s="401"/>
    </row>
    <row r="229" spans="1:16" ht="15.75">
      <c r="A229" s="367" t="s">
        <v>794</v>
      </c>
      <c r="B229" s="398">
        <v>430</v>
      </c>
      <c r="C229" s="398">
        <v>450</v>
      </c>
      <c r="D229" s="398">
        <f t="shared" si="68"/>
        <v>440</v>
      </c>
      <c r="E229" s="403">
        <v>150</v>
      </c>
      <c r="F229" s="398">
        <f t="shared" si="69"/>
        <v>600</v>
      </c>
      <c r="H229" s="401"/>
    </row>
    <row r="230" spans="1:16" ht="15.75">
      <c r="A230" s="399"/>
      <c r="B230" s="401"/>
      <c r="C230" s="401"/>
      <c r="D230" s="401"/>
      <c r="E230" s="401"/>
      <c r="F230" s="401"/>
      <c r="G230" s="401"/>
      <c r="H230" s="401"/>
    </row>
    <row r="231" spans="1:16" ht="15.75">
      <c r="A231" s="399"/>
      <c r="B231" s="401"/>
      <c r="C231" s="401"/>
      <c r="D231" s="401"/>
      <c r="E231" s="401"/>
      <c r="F231" s="401"/>
      <c r="G231" s="401"/>
      <c r="H231" s="401"/>
    </row>
    <row r="232" spans="1:16" ht="15.75">
      <c r="A232" s="367"/>
      <c r="B232" s="1139" t="s">
        <v>894</v>
      </c>
      <c r="C232" s="1139"/>
      <c r="D232" s="1139"/>
      <c r="E232" s="1140" t="s">
        <v>895</v>
      </c>
      <c r="F232" s="1139"/>
      <c r="G232" s="1139"/>
      <c r="H232" s="405" t="s">
        <v>87</v>
      </c>
      <c r="I232" s="404" t="s">
        <v>896</v>
      </c>
      <c r="J232" s="404" t="s">
        <v>634</v>
      </c>
    </row>
    <row r="233" spans="1:16" ht="15.75">
      <c r="A233" s="653" t="s">
        <v>874</v>
      </c>
      <c r="B233" s="654" t="s">
        <v>378</v>
      </c>
      <c r="C233" s="654" t="s">
        <v>380</v>
      </c>
      <c r="D233" s="654" t="s">
        <v>379</v>
      </c>
      <c r="E233" s="655" t="s">
        <v>378</v>
      </c>
      <c r="F233" s="654" t="s">
        <v>380</v>
      </c>
      <c r="G233" s="654" t="s">
        <v>379</v>
      </c>
      <c r="H233" s="655" t="s">
        <v>379</v>
      </c>
      <c r="I233" s="654" t="s">
        <v>379</v>
      </c>
      <c r="J233" s="654" t="s">
        <v>379</v>
      </c>
    </row>
    <row r="234" spans="1:16" ht="15.75">
      <c r="A234" s="373" t="s">
        <v>161</v>
      </c>
      <c r="B234" s="397">
        <v>2190</v>
      </c>
      <c r="C234" s="397">
        <v>2220</v>
      </c>
      <c r="D234" s="397">
        <f>(B234+C234)/2</f>
        <v>2205</v>
      </c>
      <c r="E234" s="402">
        <v>2080</v>
      </c>
      <c r="F234" s="397">
        <v>2110</v>
      </c>
      <c r="G234" s="397">
        <f>(E234+F234)/2</f>
        <v>2095</v>
      </c>
      <c r="H234" s="402">
        <f>G234-D234</f>
        <v>-110</v>
      </c>
      <c r="I234" s="397">
        <v>-141</v>
      </c>
      <c r="J234" s="397">
        <f>H234-I234</f>
        <v>31</v>
      </c>
    </row>
    <row r="235" spans="1:16" ht="15.75">
      <c r="A235" s="367" t="s">
        <v>636</v>
      </c>
      <c r="B235" s="398">
        <v>1200</v>
      </c>
      <c r="C235" s="398">
        <v>1220</v>
      </c>
      <c r="D235" s="398">
        <f t="shared" ref="D235:D237" si="70">(B235+C235)/2</f>
        <v>1210</v>
      </c>
      <c r="E235" s="403">
        <v>1130</v>
      </c>
      <c r="F235" s="398">
        <v>1150</v>
      </c>
      <c r="G235" s="398">
        <f t="shared" ref="G235:G237" si="71">(E235+F235)/2</f>
        <v>1140</v>
      </c>
      <c r="H235" s="403">
        <f t="shared" ref="H235:H237" si="72">G235-D235</f>
        <v>-70</v>
      </c>
      <c r="I235" s="332"/>
      <c r="J235" s="332"/>
      <c r="L235" s="398">
        <f>G235/G234*I234</f>
        <v>-76.725536992840091</v>
      </c>
      <c r="M235" s="398">
        <f>H235-L235</f>
        <v>6.725536992840091</v>
      </c>
      <c r="N235">
        <v>-5</v>
      </c>
      <c r="O235" s="656">
        <f>M235-N235</f>
        <v>11.725536992840091</v>
      </c>
      <c r="P235" s="108"/>
    </row>
    <row r="236" spans="1:16" ht="15.75">
      <c r="A236" s="373" t="s">
        <v>316</v>
      </c>
      <c r="B236" s="397">
        <v>610</v>
      </c>
      <c r="C236" s="397">
        <v>650</v>
      </c>
      <c r="D236" s="397">
        <f t="shared" si="70"/>
        <v>630</v>
      </c>
      <c r="E236" s="402">
        <v>610</v>
      </c>
      <c r="F236" s="397">
        <v>650</v>
      </c>
      <c r="G236" s="397">
        <f t="shared" si="71"/>
        <v>630</v>
      </c>
      <c r="H236" s="402">
        <f t="shared" si="72"/>
        <v>0</v>
      </c>
      <c r="I236" s="397"/>
      <c r="J236" s="397"/>
      <c r="L236">
        <f>D239*I234</f>
        <v>-77.374149659863946</v>
      </c>
      <c r="M236" s="331">
        <f>H235-L236</f>
        <v>7.3741496598639458</v>
      </c>
      <c r="N236">
        <v>-5</v>
      </c>
      <c r="O236" s="656">
        <f>M236-N236</f>
        <v>12.374149659863946</v>
      </c>
    </row>
    <row r="237" spans="1:16" ht="15.75">
      <c r="A237" s="367" t="s">
        <v>794</v>
      </c>
      <c r="B237" s="398">
        <v>430</v>
      </c>
      <c r="C237" s="398">
        <v>450</v>
      </c>
      <c r="D237" s="398">
        <f t="shared" si="70"/>
        <v>440</v>
      </c>
      <c r="E237" s="403">
        <v>385</v>
      </c>
      <c r="F237" s="398">
        <v>405</v>
      </c>
      <c r="G237" s="398">
        <f t="shared" si="71"/>
        <v>395</v>
      </c>
      <c r="H237" s="403">
        <f t="shared" si="72"/>
        <v>-45</v>
      </c>
      <c r="I237" s="398"/>
      <c r="J237" s="398"/>
      <c r="O237" s="108">
        <f>O236/J234</f>
        <v>0.39916611806012731</v>
      </c>
    </row>
    <row r="239" spans="1:16">
      <c r="D239" s="46">
        <f>D235/D234</f>
        <v>0.5487528344671202</v>
      </c>
      <c r="G239" s="46">
        <f>G235/G234</f>
        <v>0.54415274463007157</v>
      </c>
    </row>
    <row r="248" spans="1:10" ht="15.75">
      <c r="A248" s="371" t="s">
        <v>857</v>
      </c>
      <c r="B248" s="372"/>
      <c r="C248" s="372" t="s">
        <v>264</v>
      </c>
      <c r="D248" s="372" t="s">
        <v>265</v>
      </c>
      <c r="E248" s="372" t="s">
        <v>266</v>
      </c>
      <c r="F248" s="372" t="s">
        <v>267</v>
      </c>
      <c r="G248" s="372" t="s">
        <v>268</v>
      </c>
      <c r="H248" s="372" t="s">
        <v>269</v>
      </c>
    </row>
    <row r="249" spans="1:10" ht="15.75">
      <c r="A249" s="373" t="s">
        <v>161</v>
      </c>
      <c r="B249" s="374"/>
      <c r="C249" s="374">
        <v>2187.0805715961424</v>
      </c>
      <c r="D249" s="374">
        <v>2357.973874814078</v>
      </c>
      <c r="E249" s="374">
        <v>2526.3421655892143</v>
      </c>
      <c r="F249" s="374">
        <v>2697.5757206212306</v>
      </c>
      <c r="G249" s="374">
        <v>2879.8794180251807</v>
      </c>
      <c r="H249" s="374">
        <v>3070.5121402741865</v>
      </c>
      <c r="I249">
        <v>3273.1052966302209</v>
      </c>
      <c r="J249">
        <v>3496.3453892918333</v>
      </c>
    </row>
    <row r="250" spans="1:10" ht="15.75">
      <c r="A250" s="367" t="s">
        <v>9</v>
      </c>
      <c r="B250" s="368"/>
      <c r="C250" s="368">
        <v>1200.1144295777917</v>
      </c>
      <c r="D250" s="368">
        <v>1346.5373657283908</v>
      </c>
      <c r="E250" s="368">
        <v>1493.9285606972521</v>
      </c>
      <c r="F250" s="368">
        <v>1627.2801946841189</v>
      </c>
      <c r="G250" s="368">
        <v>1765.0926365060668</v>
      </c>
      <c r="H250" s="368">
        <v>1910.293098111641</v>
      </c>
      <c r="I250">
        <v>2058.9972256159654</v>
      </c>
      <c r="J250">
        <v>2222.3085222948498</v>
      </c>
    </row>
    <row r="251" spans="1:10" ht="15.75">
      <c r="A251" s="373" t="s">
        <v>316</v>
      </c>
      <c r="B251" s="374"/>
      <c r="C251" s="374">
        <v>656.12417147884264</v>
      </c>
      <c r="D251" s="374">
        <v>583.59853401648434</v>
      </c>
      <c r="E251" s="374">
        <v>574.74284267154633</v>
      </c>
      <c r="F251" s="374">
        <v>539.51514412424615</v>
      </c>
      <c r="G251" s="374">
        <v>518.37829524453252</v>
      </c>
      <c r="H251" s="374">
        <v>491.28194244386987</v>
      </c>
      <c r="I251">
        <v>458.23474152823098</v>
      </c>
      <c r="J251">
        <v>419.56144671502</v>
      </c>
    </row>
    <row r="252" spans="1:10" ht="15.75">
      <c r="A252" s="367" t="s">
        <v>57</v>
      </c>
      <c r="B252" s="368"/>
      <c r="C252" s="368">
        <f t="shared" ref="C252:H252" si="73">C250-C251</f>
        <v>543.99025809894908</v>
      </c>
      <c r="D252" s="368">
        <f t="shared" si="73"/>
        <v>762.93883171190646</v>
      </c>
      <c r="E252" s="368">
        <f t="shared" si="73"/>
        <v>919.1857180257058</v>
      </c>
      <c r="F252" s="368">
        <f t="shared" si="73"/>
        <v>1087.7650505598726</v>
      </c>
      <c r="G252" s="368">
        <f t="shared" si="73"/>
        <v>1246.7143412615342</v>
      </c>
      <c r="H252" s="368">
        <f t="shared" si="73"/>
        <v>1419.0111556677712</v>
      </c>
    </row>
    <row r="253" spans="1:10" ht="15.75">
      <c r="A253" s="367"/>
      <c r="B253" s="367"/>
      <c r="C253" s="367"/>
      <c r="D253" s="367"/>
      <c r="E253" s="367"/>
      <c r="F253" s="367"/>
      <c r="G253" s="367"/>
      <c r="H253" s="367"/>
    </row>
    <row r="254" spans="1:10" ht="15.75">
      <c r="A254" s="371" t="s">
        <v>856</v>
      </c>
      <c r="B254" s="372"/>
      <c r="C254" s="372" t="s">
        <v>264</v>
      </c>
      <c r="D254" s="372" t="s">
        <v>265</v>
      </c>
      <c r="E254" s="372" t="s">
        <v>266</v>
      </c>
      <c r="F254" s="372" t="s">
        <v>267</v>
      </c>
      <c r="G254" s="372" t="s">
        <v>268</v>
      </c>
      <c r="H254" s="372" t="s">
        <v>269</v>
      </c>
    </row>
    <row r="255" spans="1:10" ht="15.75">
      <c r="A255" s="373" t="s">
        <v>161</v>
      </c>
      <c r="B255" s="430"/>
      <c r="C255" s="430">
        <f t="shared" ref="C255:H255" si="74">C207/C249-1</f>
        <v>-2.8138685147401477E-2</v>
      </c>
      <c r="D255" s="430">
        <f t="shared" si="74"/>
        <v>-0.27428161173544519</v>
      </c>
      <c r="E255" s="430">
        <f t="shared" si="74"/>
        <v>-0.31708469105275117</v>
      </c>
      <c r="F255" s="430">
        <f t="shared" si="74"/>
        <v>-0.33421336731737983</v>
      </c>
      <c r="G255" s="430">
        <f t="shared" si="74"/>
        <v>-0.33376743018072119</v>
      </c>
      <c r="H255" s="430">
        <f t="shared" si="74"/>
        <v>-0.33729400718256974</v>
      </c>
    </row>
    <row r="256" spans="1:10" ht="15.75">
      <c r="A256" s="367" t="s">
        <v>9</v>
      </c>
      <c r="B256" s="431"/>
      <c r="C256" s="431">
        <f t="shared" ref="C256:H258" si="75">C208/C250-1</f>
        <v>-5.631082162853962E-2</v>
      </c>
      <c r="D256" s="431">
        <f t="shared" si="75"/>
        <v>-0.31056202105626707</v>
      </c>
      <c r="E256" s="431">
        <f t="shared" si="75"/>
        <v>-0.33152191927639207</v>
      </c>
      <c r="F256" s="431">
        <f t="shared" si="75"/>
        <v>-0.35395493022523805</v>
      </c>
      <c r="G256" s="431">
        <f t="shared" si="75"/>
        <v>-0.35590505865270239</v>
      </c>
      <c r="H256" s="431">
        <f t="shared" si="75"/>
        <v>-0.36359891948159861</v>
      </c>
    </row>
    <row r="257" spans="1:8" ht="15.75">
      <c r="A257" s="373" t="s">
        <v>316</v>
      </c>
      <c r="B257" s="375"/>
      <c r="C257" s="375">
        <f t="shared" si="75"/>
        <v>-0.1068763726853551</v>
      </c>
      <c r="D257" s="375">
        <f t="shared" si="75"/>
        <v>-0.55962877728417881</v>
      </c>
      <c r="E257" s="375">
        <f t="shared" si="75"/>
        <v>-0.54972616992489098</v>
      </c>
      <c r="F257" s="375">
        <f t="shared" si="75"/>
        <v>-0.5006600254880349</v>
      </c>
      <c r="G257" s="375">
        <f t="shared" si="75"/>
        <v>-0.46331265209002548</v>
      </c>
      <c r="H257" s="375">
        <f t="shared" si="75"/>
        <v>-0.39942269400920383</v>
      </c>
    </row>
    <row r="258" spans="1:8" ht="15.75">
      <c r="A258" s="367" t="s">
        <v>57</v>
      </c>
      <c r="B258" s="369"/>
      <c r="C258" s="369">
        <f t="shared" si="75"/>
        <v>4.6779181486520383E-3</v>
      </c>
      <c r="D258" s="369">
        <f t="shared" si="75"/>
        <v>-0.12004216839560466</v>
      </c>
      <c r="E258" s="369">
        <f t="shared" si="75"/>
        <v>-0.19508449554215423</v>
      </c>
      <c r="F258" s="369">
        <f t="shared" si="75"/>
        <v>-0.2811914041552187</v>
      </c>
      <c r="G258" s="369">
        <f t="shared" si="75"/>
        <v>-0.31124545753989441</v>
      </c>
      <c r="H258" s="369">
        <f t="shared" si="75"/>
        <v>-0.35119621675068824</v>
      </c>
    </row>
  </sheetData>
  <mergeCells count="3">
    <mergeCell ref="B224:D224"/>
    <mergeCell ref="B232:D232"/>
    <mergeCell ref="E232:G232"/>
  </mergeCells>
  <phoneticPr fontId="274" type="noConversion"/>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E06C3-78F2-41FC-B924-84633CE03BE8}">
  <sheetPr codeName="Sheet24"/>
  <dimension ref="A2:Q117"/>
  <sheetViews>
    <sheetView topLeftCell="A85" zoomScale="85" zoomScaleNormal="85" workbookViewId="0">
      <selection activeCell="T90" sqref="T90"/>
    </sheetView>
  </sheetViews>
  <sheetFormatPr defaultRowHeight="15"/>
  <cols>
    <col min="1" max="1" width="25.42578125" bestFit="1" customWidth="1"/>
    <col min="2" max="2" width="12.5703125" bestFit="1" customWidth="1"/>
  </cols>
  <sheetData>
    <row r="2" spans="1:3">
      <c r="B2" t="s">
        <v>205</v>
      </c>
      <c r="C2" t="s">
        <v>201</v>
      </c>
    </row>
    <row r="3" spans="1:3">
      <c r="A3" t="s">
        <v>378</v>
      </c>
      <c r="B3">
        <v>8.3000000000000007</v>
      </c>
      <c r="C3">
        <v>10.6</v>
      </c>
    </row>
    <row r="4" spans="1:3">
      <c r="A4" t="s">
        <v>379</v>
      </c>
      <c r="B4">
        <v>8.9</v>
      </c>
      <c r="C4">
        <v>10.6</v>
      </c>
    </row>
    <row r="5" spans="1:3">
      <c r="A5" t="s">
        <v>380</v>
      </c>
      <c r="B5">
        <v>9.4</v>
      </c>
      <c r="C5">
        <v>10.6</v>
      </c>
    </row>
    <row r="41" spans="1:9">
      <c r="A41" t="s">
        <v>161</v>
      </c>
      <c r="B41">
        <v>664097</v>
      </c>
      <c r="D41">
        <v>763569</v>
      </c>
    </row>
    <row r="43" spans="1:9">
      <c r="A43" t="s">
        <v>370</v>
      </c>
    </row>
    <row r="44" spans="1:9">
      <c r="A44" t="s">
        <v>358</v>
      </c>
      <c r="B44">
        <v>38604</v>
      </c>
      <c r="C44">
        <f t="shared" ref="C44:C54" si="0">B44/$B$41</f>
        <v>5.8130062325232608E-2</v>
      </c>
      <c r="D44" s="28">
        <v>36653</v>
      </c>
      <c r="E44" s="46">
        <f t="shared" ref="E44:E55" si="1">D44/$D$41</f>
        <v>4.8002210671203256E-2</v>
      </c>
      <c r="G44" s="47">
        <f>E44-C44</f>
        <v>-1.0127851654029352E-2</v>
      </c>
      <c r="I44" s="29">
        <f t="shared" ref="I44:I54" si="2">D44/B44-1</f>
        <v>-5.0538804268987714E-2</v>
      </c>
    </row>
    <row r="45" spans="1:9">
      <c r="A45" t="s">
        <v>359</v>
      </c>
      <c r="B45">
        <v>107098</v>
      </c>
      <c r="C45">
        <f t="shared" si="0"/>
        <v>0.16126860985669261</v>
      </c>
      <c r="D45" s="28">
        <v>114681</v>
      </c>
      <c r="E45" s="46">
        <f t="shared" si="1"/>
        <v>0.15019074896964124</v>
      </c>
      <c r="G45" s="47">
        <f t="shared" ref="G45:G55" si="3">E45-C45</f>
        <v>-1.1077860887051372E-2</v>
      </c>
      <c r="I45" s="29">
        <f t="shared" si="2"/>
        <v>7.0804310071149734E-2</v>
      </c>
    </row>
    <row r="46" spans="1:9">
      <c r="A46" t="s">
        <v>360</v>
      </c>
      <c r="B46">
        <v>4011</v>
      </c>
      <c r="C46">
        <f t="shared" si="0"/>
        <v>6.0397803332946842E-3</v>
      </c>
      <c r="D46" s="28">
        <v>3960</v>
      </c>
      <c r="E46" s="46">
        <f t="shared" si="1"/>
        <v>5.1861717801534634E-3</v>
      </c>
      <c r="G46" s="47">
        <f t="shared" si="3"/>
        <v>-8.5360855314122082E-4</v>
      </c>
      <c r="I46" s="29">
        <f t="shared" si="2"/>
        <v>-1.2715033657442087E-2</v>
      </c>
    </row>
    <row r="47" spans="1:9">
      <c r="A47" t="s">
        <v>361</v>
      </c>
      <c r="B47">
        <v>1056</v>
      </c>
      <c r="C47">
        <f t="shared" si="0"/>
        <v>1.5901291528195428E-3</v>
      </c>
      <c r="D47" s="28">
        <v>2250</v>
      </c>
      <c r="E47" s="46">
        <f t="shared" si="1"/>
        <v>2.9466885114508316E-3</v>
      </c>
      <c r="G47" s="47">
        <f t="shared" si="3"/>
        <v>1.3565593586312887E-3</v>
      </c>
      <c r="I47" s="29">
        <f t="shared" si="2"/>
        <v>1.1306818181818183</v>
      </c>
    </row>
    <row r="48" spans="1:9">
      <c r="A48" t="s">
        <v>362</v>
      </c>
      <c r="B48">
        <v>765</v>
      </c>
      <c r="C48">
        <f t="shared" si="0"/>
        <v>1.1519401533209757E-3</v>
      </c>
      <c r="D48" s="28">
        <v>1127</v>
      </c>
      <c r="E48" s="46">
        <f t="shared" si="1"/>
        <v>1.475963534402261E-3</v>
      </c>
      <c r="G48" s="47">
        <f t="shared" si="3"/>
        <v>3.2402338108128534E-4</v>
      </c>
      <c r="I48" s="29">
        <f t="shared" si="2"/>
        <v>0.47320261437908506</v>
      </c>
    </row>
    <row r="49" spans="1:9">
      <c r="A49" t="s">
        <v>363</v>
      </c>
      <c r="B49">
        <v>11929</v>
      </c>
      <c r="C49">
        <f t="shared" si="0"/>
        <v>1.7962737371197281E-2</v>
      </c>
      <c r="D49" s="28">
        <v>15650</v>
      </c>
      <c r="E49" s="46">
        <f t="shared" si="1"/>
        <v>2.0495855646313562E-2</v>
      </c>
      <c r="G49" s="47">
        <f t="shared" si="3"/>
        <v>2.5331182751162813E-3</v>
      </c>
      <c r="I49" s="29">
        <f t="shared" si="2"/>
        <v>0.31192891273367418</v>
      </c>
    </row>
    <row r="50" spans="1:9">
      <c r="A50" t="s">
        <v>364</v>
      </c>
      <c r="B50">
        <v>16295</v>
      </c>
      <c r="C50">
        <f t="shared" si="0"/>
        <v>2.4537078167797776E-2</v>
      </c>
      <c r="D50" s="28">
        <v>18419</v>
      </c>
      <c r="E50" s="46">
        <f t="shared" si="1"/>
        <v>2.4122246974405719E-2</v>
      </c>
      <c r="G50" s="47">
        <f t="shared" si="3"/>
        <v>-4.1483119339205676E-4</v>
      </c>
      <c r="I50" s="29">
        <f t="shared" si="2"/>
        <v>0.13034673212641912</v>
      </c>
    </row>
    <row r="51" spans="1:9">
      <c r="A51" t="s">
        <v>365</v>
      </c>
      <c r="B51">
        <v>2397</v>
      </c>
      <c r="C51">
        <f t="shared" si="0"/>
        <v>3.6094124804057237E-3</v>
      </c>
      <c r="D51" s="28">
        <v>2084</v>
      </c>
      <c r="E51" s="46">
        <f t="shared" si="1"/>
        <v>2.7292883812726812E-3</v>
      </c>
      <c r="G51" s="47">
        <f t="shared" si="3"/>
        <v>-8.8012409913304241E-4</v>
      </c>
      <c r="I51" s="29">
        <f t="shared" si="2"/>
        <v>-0.13057989153108052</v>
      </c>
    </row>
    <row r="52" spans="1:9">
      <c r="A52" t="s">
        <v>366</v>
      </c>
      <c r="B52">
        <v>11460</v>
      </c>
      <c r="C52">
        <f t="shared" si="0"/>
        <v>1.7256515237984812E-2</v>
      </c>
      <c r="D52" s="28">
        <v>13452</v>
      </c>
      <c r="E52" s="46">
        <f t="shared" si="1"/>
        <v>1.7617268380460707E-2</v>
      </c>
      <c r="G52" s="47">
        <f t="shared" si="3"/>
        <v>3.6075314247589405E-4</v>
      </c>
      <c r="I52" s="29">
        <f t="shared" si="2"/>
        <v>0.1738219895287958</v>
      </c>
    </row>
    <row r="53" spans="1:9">
      <c r="A53" t="s">
        <v>367</v>
      </c>
      <c r="B53">
        <v>2823</v>
      </c>
      <c r="C53">
        <f t="shared" si="0"/>
        <v>4.2508850363726985E-3</v>
      </c>
      <c r="D53" s="28">
        <v>3936</v>
      </c>
      <c r="E53" s="46">
        <f t="shared" si="1"/>
        <v>5.154740436031321E-3</v>
      </c>
      <c r="G53" s="47">
        <f t="shared" si="3"/>
        <v>9.0385539965862245E-4</v>
      </c>
      <c r="I53" s="29">
        <f t="shared" si="2"/>
        <v>0.39426142401700326</v>
      </c>
    </row>
    <row r="54" spans="1:9">
      <c r="A54" t="s">
        <v>368</v>
      </c>
      <c r="B54">
        <v>1281</v>
      </c>
      <c r="C54">
        <f t="shared" si="0"/>
        <v>1.9289350802668887E-3</v>
      </c>
      <c r="D54" s="28">
        <v>1365</v>
      </c>
      <c r="E54" s="46">
        <f t="shared" si="1"/>
        <v>1.7876576969468377E-3</v>
      </c>
      <c r="G54" s="47">
        <f t="shared" si="3"/>
        <v>-1.4127738332005103E-4</v>
      </c>
      <c r="I54" s="29">
        <f t="shared" si="2"/>
        <v>6.5573770491803351E-2</v>
      </c>
    </row>
    <row r="55" spans="1:9">
      <c r="A55" t="s">
        <v>369</v>
      </c>
      <c r="D55" s="28">
        <f>(Consolidation!G39+Consolidation!G40)/2*1000</f>
        <v>46755.5</v>
      </c>
      <c r="E55" s="46">
        <f t="shared" si="1"/>
        <v>6.1232842087617492E-2</v>
      </c>
      <c r="G55" s="47">
        <f t="shared" si="3"/>
        <v>6.1232842087617492E-2</v>
      </c>
    </row>
    <row r="57" spans="1:9">
      <c r="A57" t="s">
        <v>371</v>
      </c>
    </row>
    <row r="58" spans="1:9">
      <c r="A58" t="s">
        <v>372</v>
      </c>
      <c r="B58">
        <v>7342</v>
      </c>
      <c r="D58" s="28">
        <v>12261</v>
      </c>
      <c r="E58" s="46">
        <f>D58/$D$41</f>
        <v>1.6057487928399398E-2</v>
      </c>
    </row>
    <row r="59" spans="1:9">
      <c r="A59" t="s">
        <v>367</v>
      </c>
      <c r="B59">
        <v>4457</v>
      </c>
      <c r="D59" s="28">
        <v>3497</v>
      </c>
      <c r="E59" s="46">
        <f>D59/$D$41</f>
        <v>4.5798087664638033E-3</v>
      </c>
    </row>
    <row r="60" spans="1:9">
      <c r="A60" t="s">
        <v>366</v>
      </c>
      <c r="B60">
        <v>42935</v>
      </c>
      <c r="D60" s="28">
        <v>48345</v>
      </c>
      <c r="E60" s="46">
        <f>D60/$D$41</f>
        <v>6.3314513816040197E-2</v>
      </c>
    </row>
    <row r="61" spans="1:9">
      <c r="A61" t="s">
        <v>373</v>
      </c>
      <c r="B61">
        <v>3172</v>
      </c>
      <c r="D61" s="28">
        <v>3689</v>
      </c>
      <c r="E61" s="46">
        <f>D61/$D$41</f>
        <v>4.8312595194409409E-3</v>
      </c>
    </row>
    <row r="64" spans="1:9">
      <c r="A64" t="s">
        <v>161</v>
      </c>
      <c r="B64" s="28">
        <v>1231056</v>
      </c>
      <c r="C64">
        <v>1403149</v>
      </c>
    </row>
    <row r="66" spans="1:7">
      <c r="A66" t="s">
        <v>358</v>
      </c>
      <c r="B66">
        <v>69304</v>
      </c>
      <c r="C66">
        <v>75931</v>
      </c>
      <c r="E66" s="46">
        <f>B66/$B$64</f>
        <v>5.6296382942774337E-2</v>
      </c>
      <c r="F66" s="46">
        <f>C66/$C$64</f>
        <v>5.4114709129251419E-2</v>
      </c>
      <c r="G66" s="47">
        <f>F66-E66</f>
        <v>-2.1816738135229177E-3</v>
      </c>
    </row>
    <row r="67" spans="1:7">
      <c r="A67" t="s">
        <v>359</v>
      </c>
      <c r="B67">
        <v>237640</v>
      </c>
      <c r="C67">
        <v>216030</v>
      </c>
      <c r="E67" s="46">
        <f t="shared" ref="E67:E76" si="4">B67/$B$64</f>
        <v>0.19303752225731405</v>
      </c>
      <c r="F67" s="46">
        <f t="shared" ref="F67:F76" si="5">C67/$C$64</f>
        <v>0.15396084093706369</v>
      </c>
      <c r="G67" s="47">
        <f t="shared" ref="G67:G76" si="6">F67-E67</f>
        <v>-3.9076681320250356E-2</v>
      </c>
    </row>
    <row r="68" spans="1:7">
      <c r="A68" t="s">
        <v>360</v>
      </c>
      <c r="B68">
        <v>3547</v>
      </c>
      <c r="C68">
        <v>7543</v>
      </c>
      <c r="E68" s="46">
        <f t="shared" si="4"/>
        <v>2.8812661649835589E-3</v>
      </c>
      <c r="F68" s="46">
        <f t="shared" si="5"/>
        <v>5.3757655102914942E-3</v>
      </c>
      <c r="G68" s="47">
        <f t="shared" si="6"/>
        <v>2.4944993453079353E-3</v>
      </c>
    </row>
    <row r="69" spans="1:7">
      <c r="A69" t="s">
        <v>361</v>
      </c>
      <c r="B69">
        <v>2289</v>
      </c>
      <c r="C69">
        <v>3085</v>
      </c>
      <c r="E69" s="46">
        <f t="shared" si="4"/>
        <v>1.8593792646313409E-3</v>
      </c>
      <c r="F69" s="46">
        <f t="shared" si="5"/>
        <v>2.1986260903154261E-3</v>
      </c>
      <c r="G69" s="47">
        <f t="shared" si="6"/>
        <v>3.392468256840852E-4</v>
      </c>
    </row>
    <row r="70" spans="1:7">
      <c r="A70" t="s">
        <v>362</v>
      </c>
      <c r="B70">
        <v>2108</v>
      </c>
      <c r="C70">
        <v>2754</v>
      </c>
      <c r="E70" s="46">
        <f t="shared" si="4"/>
        <v>1.7123510222118246E-3</v>
      </c>
      <c r="F70" s="46">
        <f t="shared" si="5"/>
        <v>1.9627281208196706E-3</v>
      </c>
      <c r="G70" s="47">
        <f t="shared" si="6"/>
        <v>2.5037709860784604E-4</v>
      </c>
    </row>
    <row r="71" spans="1:7">
      <c r="A71" t="s">
        <v>363</v>
      </c>
      <c r="B71">
        <v>19360</v>
      </c>
      <c r="C71">
        <v>27313</v>
      </c>
      <c r="D71">
        <f>C71/B71-1</f>
        <v>0.41079545454545463</v>
      </c>
      <c r="E71" s="46">
        <f t="shared" si="4"/>
        <v>1.5726335763767044E-2</v>
      </c>
      <c r="F71" s="46">
        <f t="shared" si="5"/>
        <v>1.9465502238179978E-2</v>
      </c>
      <c r="G71" s="47">
        <f t="shared" si="6"/>
        <v>3.7391664744129346E-3</v>
      </c>
    </row>
    <row r="72" spans="1:7">
      <c r="A72" t="s">
        <v>364</v>
      </c>
      <c r="B72">
        <v>33027</v>
      </c>
      <c r="C72">
        <v>32719</v>
      </c>
      <c r="E72" s="46">
        <f t="shared" si="4"/>
        <v>2.6828186532537917E-2</v>
      </c>
      <c r="F72" s="46">
        <f t="shared" si="5"/>
        <v>2.3318264845714889E-2</v>
      </c>
      <c r="G72" s="47">
        <f t="shared" si="6"/>
        <v>-3.5099216868230282E-3</v>
      </c>
    </row>
    <row r="73" spans="1:7">
      <c r="A73" t="s">
        <v>365</v>
      </c>
      <c r="B73">
        <v>5958</v>
      </c>
      <c r="C73">
        <v>4695</v>
      </c>
      <c r="E73" s="46">
        <f t="shared" si="4"/>
        <v>4.8397473388700433E-3</v>
      </c>
      <c r="F73" s="46">
        <f t="shared" si="5"/>
        <v>3.3460452168657781E-3</v>
      </c>
      <c r="G73" s="47">
        <f t="shared" si="6"/>
        <v>-1.4937021220042652E-3</v>
      </c>
    </row>
    <row r="74" spans="1:7">
      <c r="A74" t="s">
        <v>366</v>
      </c>
      <c r="B74">
        <v>20561</v>
      </c>
      <c r="C74">
        <v>24588</v>
      </c>
      <c r="E74" s="46">
        <f t="shared" si="4"/>
        <v>1.6701920952418087E-2</v>
      </c>
      <c r="F74" s="46">
        <f t="shared" si="5"/>
        <v>1.7523441915291961E-2</v>
      </c>
      <c r="G74" s="47">
        <f t="shared" si="6"/>
        <v>8.2152096287387358E-4</v>
      </c>
    </row>
    <row r="75" spans="1:7">
      <c r="A75" t="s">
        <v>367</v>
      </c>
      <c r="B75">
        <v>4719</v>
      </c>
      <c r="C75">
        <v>4313</v>
      </c>
      <c r="E75" s="46">
        <f t="shared" si="4"/>
        <v>3.8332943424182167E-3</v>
      </c>
      <c r="F75" s="46">
        <f t="shared" si="5"/>
        <v>3.0738004303178068E-3</v>
      </c>
      <c r="G75" s="47">
        <f t="shared" si="6"/>
        <v>-7.5949391210040993E-4</v>
      </c>
    </row>
    <row r="76" spans="1:7">
      <c r="A76" t="s">
        <v>368</v>
      </c>
      <c r="B76">
        <v>2122</v>
      </c>
      <c r="C76">
        <v>2457</v>
      </c>
      <c r="E76" s="46">
        <f t="shared" si="4"/>
        <v>1.7237233724542182E-3</v>
      </c>
      <c r="F76" s="46">
        <f t="shared" si="5"/>
        <v>1.751061362692059E-3</v>
      </c>
      <c r="G76" s="47">
        <f t="shared" si="6"/>
        <v>2.7337990237840835E-5</v>
      </c>
    </row>
    <row r="77" spans="1:7">
      <c r="A77" t="s">
        <v>369</v>
      </c>
    </row>
    <row r="79" spans="1:7">
      <c r="A79" t="s">
        <v>371</v>
      </c>
    </row>
    <row r="80" spans="1:7">
      <c r="A80" t="s">
        <v>372</v>
      </c>
      <c r="B80">
        <v>12881</v>
      </c>
      <c r="C80">
        <v>12872</v>
      </c>
    </row>
    <row r="81" spans="1:17">
      <c r="A81" t="s">
        <v>367</v>
      </c>
      <c r="B81">
        <v>13475</v>
      </c>
      <c r="C81">
        <v>6815</v>
      </c>
    </row>
    <row r="82" spans="1:17">
      <c r="A82" t="s">
        <v>366</v>
      </c>
      <c r="B82">
        <v>45523</v>
      </c>
      <c r="C82">
        <v>78736</v>
      </c>
    </row>
    <row r="83" spans="1:17">
      <c r="A83" t="s">
        <v>373</v>
      </c>
      <c r="B83">
        <v>20215</v>
      </c>
      <c r="C83">
        <v>13776</v>
      </c>
    </row>
    <row r="90" spans="1:17">
      <c r="A90" s="169"/>
      <c r="B90" s="169"/>
      <c r="C90" s="169"/>
      <c r="D90" s="169"/>
      <c r="E90" s="169"/>
      <c r="F90" s="183">
        <f>Master!G2</f>
        <v>2020</v>
      </c>
      <c r="G90" s="183">
        <f>Master!H2</f>
        <v>2021</v>
      </c>
      <c r="H90" s="183">
        <f>Master!I2</f>
        <v>2022</v>
      </c>
      <c r="I90" s="183">
        <f>Master!J2</f>
        <v>2023</v>
      </c>
      <c r="J90" s="183">
        <f>Master!K2</f>
        <v>2024</v>
      </c>
      <c r="K90" s="183" t="str">
        <f>Master!L2</f>
        <v>2025E</v>
      </c>
      <c r="L90" s="183" t="str">
        <f>Master!M2</f>
        <v>2026E</v>
      </c>
      <c r="M90" s="183" t="str">
        <f>Master!N2</f>
        <v>2027E</v>
      </c>
      <c r="N90" s="183" t="str">
        <f>Master!O2</f>
        <v>2028E</v>
      </c>
      <c r="O90" s="183" t="str">
        <f>Master!P2</f>
        <v>2029E</v>
      </c>
      <c r="P90" s="183" t="str">
        <f>Master!Q2</f>
        <v>2030E</v>
      </c>
      <c r="Q90" s="183"/>
    </row>
    <row r="91" spans="1:17" ht="15.75">
      <c r="A91" s="169" t="s">
        <v>702</v>
      </c>
      <c r="B91" s="169"/>
      <c r="C91" s="169"/>
      <c r="D91" s="169"/>
      <c r="E91" s="8"/>
      <c r="F91" s="407">
        <f>Master!G12</f>
        <v>0.13980030152974354</v>
      </c>
      <c r="G91" s="407">
        <f>Master!H12</f>
        <v>0.125839000312153</v>
      </c>
      <c r="H91" s="407">
        <f>Master!I12</f>
        <v>0.24154064302127609</v>
      </c>
      <c r="I91" s="407">
        <f>Master!J12</f>
        <v>8.3740418977422459E-2</v>
      </c>
      <c r="J91" s="407">
        <f>Master!K12</f>
        <v>-0.19492185276299323</v>
      </c>
      <c r="K91" s="407">
        <f>Master!L12</f>
        <v>8.2120939793539627E-3</v>
      </c>
      <c r="L91" s="407">
        <f>Master!M12</f>
        <v>4.0997523620556642E-2</v>
      </c>
      <c r="M91" s="407">
        <f>Master!N12</f>
        <v>6.8295621892227931E-2</v>
      </c>
      <c r="N91" s="407">
        <f>Master!O12</f>
        <v>6.0550987562172809E-2</v>
      </c>
      <c r="O91" s="407">
        <f>Master!P12</f>
        <v>6.0531691216210826E-2</v>
      </c>
      <c r="P91" s="407">
        <f>Master!Q12</f>
        <v>5.8887607889704041E-2</v>
      </c>
      <c r="Q91" s="407"/>
    </row>
    <row r="92" spans="1:17">
      <c r="A92" s="169"/>
      <c r="B92" s="169"/>
      <c r="C92" s="169"/>
      <c r="D92" s="169"/>
      <c r="E92" s="169"/>
      <c r="F92" s="169"/>
      <c r="G92" s="169"/>
      <c r="H92" s="169"/>
      <c r="I92" s="169"/>
      <c r="J92" s="169"/>
      <c r="K92" s="169"/>
      <c r="L92" s="169"/>
      <c r="M92" s="169"/>
      <c r="N92" s="169"/>
      <c r="O92" s="169"/>
      <c r="P92" s="169"/>
      <c r="Q92" s="169"/>
    </row>
    <row r="93" spans="1:17">
      <c r="A93" s="169"/>
      <c r="B93" s="169"/>
      <c r="C93" s="169"/>
      <c r="D93" s="169"/>
      <c r="E93" s="169"/>
      <c r="F93" s="169"/>
      <c r="G93" s="169"/>
      <c r="H93" s="169"/>
      <c r="I93" s="169"/>
      <c r="J93" s="169"/>
      <c r="K93" s="169"/>
      <c r="L93" s="169"/>
      <c r="M93" s="169"/>
      <c r="N93" s="169"/>
      <c r="O93" s="169"/>
      <c r="P93" s="169"/>
      <c r="Q93" s="169"/>
    </row>
    <row r="94" spans="1:17">
      <c r="A94" s="169"/>
      <c r="B94" s="169"/>
      <c r="C94" s="169"/>
      <c r="D94" s="169"/>
      <c r="E94" s="169"/>
      <c r="F94" s="169"/>
      <c r="G94" s="169"/>
      <c r="H94" s="169"/>
      <c r="I94" s="169"/>
      <c r="J94" s="169"/>
      <c r="K94" s="169"/>
      <c r="L94" s="169"/>
      <c r="M94" s="169"/>
      <c r="N94" s="169"/>
      <c r="O94" s="169"/>
      <c r="P94" s="169"/>
      <c r="Q94" s="169"/>
    </row>
    <row r="95" spans="1:17">
      <c r="A95" s="169"/>
      <c r="B95" s="169"/>
      <c r="C95" s="169"/>
      <c r="D95" s="169"/>
      <c r="E95" s="169"/>
      <c r="F95" s="169"/>
      <c r="G95" s="169"/>
      <c r="H95" s="169"/>
      <c r="I95" s="169"/>
      <c r="J95" s="169"/>
      <c r="K95" s="169"/>
      <c r="L95" s="169"/>
      <c r="M95" s="169"/>
      <c r="N95" s="169"/>
      <c r="O95" s="169"/>
      <c r="P95" s="169"/>
      <c r="Q95" s="169"/>
    </row>
    <row r="96" spans="1:17">
      <c r="A96" s="169"/>
      <c r="B96" s="169"/>
      <c r="C96" s="169"/>
      <c r="D96" s="169"/>
      <c r="E96" s="169"/>
      <c r="F96" s="169"/>
      <c r="G96" s="169"/>
      <c r="H96" s="169"/>
      <c r="I96" s="169"/>
      <c r="J96" s="169"/>
      <c r="K96" s="169"/>
      <c r="L96" s="169"/>
      <c r="M96" s="169"/>
      <c r="N96" s="169"/>
      <c r="O96" s="169"/>
      <c r="P96" s="169"/>
      <c r="Q96" s="169"/>
    </row>
    <row r="97" spans="1:17">
      <c r="A97" s="169"/>
      <c r="B97" s="169"/>
      <c r="C97" s="169"/>
      <c r="D97" s="169"/>
      <c r="E97" s="169"/>
      <c r="F97" s="169">
        <f t="shared" ref="F97:L97" si="7">F90</f>
        <v>2020</v>
      </c>
      <c r="G97" s="169">
        <f t="shared" si="7"/>
        <v>2021</v>
      </c>
      <c r="H97" s="169">
        <f t="shared" si="7"/>
        <v>2022</v>
      </c>
      <c r="I97" s="169">
        <f t="shared" si="7"/>
        <v>2023</v>
      </c>
      <c r="J97" s="169">
        <f t="shared" si="7"/>
        <v>2024</v>
      </c>
      <c r="K97" s="169" t="str">
        <f t="shared" si="7"/>
        <v>2025E</v>
      </c>
      <c r="L97" s="169" t="str">
        <f t="shared" si="7"/>
        <v>2026E</v>
      </c>
      <c r="M97" s="169"/>
      <c r="N97" s="169"/>
      <c r="O97" s="169"/>
      <c r="P97" s="169"/>
      <c r="Q97" s="169"/>
    </row>
    <row r="98" spans="1:17">
      <c r="A98" s="169" t="s">
        <v>947</v>
      </c>
      <c r="B98" s="169"/>
      <c r="C98" s="169"/>
      <c r="D98" s="169"/>
      <c r="E98" s="169"/>
      <c r="F98" s="680">
        <f>Master!G124</f>
        <v>2.3595933647043883</v>
      </c>
      <c r="G98" s="680">
        <f>Master!H124</f>
        <v>2.2330655572778819</v>
      </c>
      <c r="H98" s="680">
        <f>Master!I124</f>
        <v>3.3313250325290431</v>
      </c>
      <c r="I98" s="680">
        <f>Master!J124</f>
        <v>3.3720971095816026</v>
      </c>
      <c r="J98" s="680">
        <f>Master!K124</f>
        <v>3.578954795261291</v>
      </c>
      <c r="K98" s="680">
        <f>Master!L124</f>
        <v>3.0742022240562159</v>
      </c>
      <c r="L98" s="680">
        <f>Master!M124</f>
        <v>2.8206612176558945</v>
      </c>
      <c r="M98" s="169"/>
      <c r="N98" s="169"/>
      <c r="O98" s="169"/>
      <c r="P98" s="169"/>
      <c r="Q98" s="169"/>
    </row>
    <row r="99" spans="1:17">
      <c r="A99" s="169"/>
      <c r="B99" s="169"/>
      <c r="C99" s="169"/>
      <c r="D99" s="169"/>
      <c r="E99" s="169"/>
      <c r="F99" s="169"/>
      <c r="G99" s="169"/>
      <c r="H99" s="169"/>
      <c r="I99" s="169"/>
      <c r="J99" s="169"/>
      <c r="K99" s="169"/>
      <c r="L99" s="169"/>
      <c r="M99" s="169"/>
      <c r="N99" s="169"/>
      <c r="O99" s="169"/>
      <c r="P99" s="169"/>
      <c r="Q99" s="169"/>
    </row>
    <row r="100" spans="1:17">
      <c r="A100" s="169"/>
      <c r="B100" s="169"/>
      <c r="C100" s="169"/>
      <c r="D100" s="169"/>
      <c r="E100" s="169"/>
      <c r="F100" s="169"/>
      <c r="G100" s="169"/>
      <c r="H100" s="169"/>
      <c r="I100" s="169"/>
      <c r="J100" s="169"/>
      <c r="K100" s="169"/>
      <c r="L100" s="169"/>
      <c r="M100" s="169"/>
      <c r="N100" s="169"/>
      <c r="O100" s="169"/>
      <c r="P100" s="169"/>
      <c r="Q100" s="169"/>
    </row>
    <row r="101" spans="1:17">
      <c r="A101" s="169"/>
      <c r="B101" s="169"/>
      <c r="C101" s="169"/>
      <c r="D101" s="169"/>
      <c r="E101" s="169"/>
      <c r="F101" s="169"/>
      <c r="G101" s="169"/>
      <c r="H101" s="169"/>
      <c r="I101" s="169"/>
      <c r="J101" s="169"/>
      <c r="K101" s="169"/>
      <c r="L101" s="169"/>
      <c r="M101" s="169"/>
      <c r="N101" s="169"/>
      <c r="O101" s="169"/>
      <c r="P101" s="169"/>
      <c r="Q101" s="169"/>
    </row>
    <row r="102" spans="1:17">
      <c r="A102" s="169"/>
      <c r="B102" s="169"/>
      <c r="C102" s="169"/>
      <c r="D102" s="169"/>
      <c r="E102" s="169"/>
      <c r="F102" s="169"/>
      <c r="G102" s="169"/>
      <c r="H102" s="169"/>
      <c r="I102" s="169"/>
      <c r="J102" s="169"/>
      <c r="K102" s="169"/>
      <c r="L102" s="169"/>
      <c r="M102" s="169"/>
      <c r="N102" s="169"/>
      <c r="O102" s="169"/>
      <c r="P102" s="169"/>
      <c r="Q102" s="169"/>
    </row>
    <row r="103" spans="1:17">
      <c r="A103" s="169"/>
      <c r="B103" s="169"/>
      <c r="C103" s="169"/>
      <c r="D103" s="169"/>
      <c r="E103" s="169"/>
      <c r="F103" s="169"/>
      <c r="G103" s="169"/>
      <c r="H103" s="169"/>
      <c r="I103" s="169"/>
      <c r="J103" s="169"/>
      <c r="K103" s="169"/>
      <c r="L103" s="169"/>
      <c r="M103" s="169"/>
      <c r="N103" s="169"/>
      <c r="O103" s="169"/>
      <c r="P103" s="169"/>
      <c r="Q103" s="169"/>
    </row>
    <row r="104" spans="1:17">
      <c r="A104" s="169"/>
      <c r="B104" s="169"/>
      <c r="C104" s="169"/>
      <c r="D104" s="169"/>
      <c r="E104" s="169"/>
      <c r="F104" s="169"/>
      <c r="G104" s="169"/>
      <c r="H104" s="169"/>
      <c r="I104" s="169"/>
      <c r="J104" s="169"/>
      <c r="K104" s="169"/>
      <c r="L104" s="169"/>
      <c r="M104" s="169"/>
      <c r="N104" s="169"/>
      <c r="O104" s="169"/>
      <c r="P104" s="169"/>
      <c r="Q104" s="169"/>
    </row>
    <row r="105" spans="1:17">
      <c r="A105" s="169"/>
      <c r="B105" s="169"/>
      <c r="C105" s="169"/>
      <c r="D105" s="169"/>
      <c r="E105" s="169"/>
      <c r="F105" s="169"/>
      <c r="G105" s="169"/>
      <c r="H105" s="169"/>
      <c r="I105" s="169"/>
      <c r="J105" s="169"/>
      <c r="K105" s="169"/>
      <c r="L105" s="169"/>
      <c r="M105" s="169"/>
      <c r="N105" s="169"/>
      <c r="O105" s="169"/>
      <c r="P105" s="169"/>
      <c r="Q105" s="169"/>
    </row>
    <row r="106" spans="1:17">
      <c r="A106" s="169"/>
      <c r="B106" s="169"/>
      <c r="C106" s="169"/>
      <c r="D106" s="169"/>
      <c r="E106" s="169"/>
      <c r="F106" s="169"/>
      <c r="G106" s="169"/>
      <c r="H106" s="169"/>
      <c r="I106" s="169"/>
      <c r="J106" s="169"/>
      <c r="K106" s="169"/>
      <c r="L106" s="169"/>
      <c r="M106" s="169"/>
      <c r="N106" s="169"/>
      <c r="O106" s="169"/>
      <c r="P106" s="169"/>
      <c r="Q106" s="169"/>
    </row>
    <row r="107" spans="1:17">
      <c r="A107" s="169"/>
      <c r="B107" s="169"/>
      <c r="C107" s="169"/>
      <c r="D107" s="169"/>
      <c r="E107" s="169"/>
      <c r="F107" s="169"/>
      <c r="G107" s="169"/>
      <c r="H107" s="169"/>
      <c r="I107" s="169"/>
      <c r="J107" s="169"/>
      <c r="K107" s="169"/>
      <c r="L107" s="169"/>
      <c r="M107" s="169"/>
      <c r="N107" s="169"/>
      <c r="O107" s="169"/>
      <c r="P107" s="169"/>
      <c r="Q107" s="169"/>
    </row>
    <row r="108" spans="1:17">
      <c r="A108" s="169"/>
      <c r="B108" s="169"/>
      <c r="C108" s="169"/>
      <c r="D108" s="169"/>
      <c r="E108" s="169"/>
      <c r="F108" s="169"/>
      <c r="G108" s="169"/>
      <c r="H108" s="169"/>
      <c r="I108" s="169"/>
      <c r="J108" s="169"/>
      <c r="K108" s="169"/>
      <c r="L108" s="169"/>
      <c r="M108" s="169"/>
      <c r="N108" s="169"/>
      <c r="O108" s="169"/>
      <c r="P108" s="169"/>
      <c r="Q108" s="169"/>
    </row>
    <row r="109" spans="1:17">
      <c r="A109" s="169"/>
      <c r="B109" s="169"/>
      <c r="C109" s="169"/>
      <c r="D109" s="169"/>
      <c r="E109" s="169"/>
      <c r="F109" s="169"/>
      <c r="G109" s="169"/>
      <c r="H109" s="169"/>
      <c r="I109" s="169"/>
      <c r="J109" s="169"/>
      <c r="K109" s="169"/>
      <c r="L109" s="169"/>
      <c r="M109" s="169"/>
      <c r="N109" s="169"/>
      <c r="O109" s="169"/>
      <c r="P109" s="169"/>
      <c r="Q109" s="169"/>
    </row>
    <row r="110" spans="1:17">
      <c r="A110" s="169"/>
      <c r="B110" s="169"/>
      <c r="C110" s="169"/>
      <c r="D110" s="169"/>
      <c r="E110" s="169"/>
      <c r="F110" s="169"/>
      <c r="G110" s="169"/>
      <c r="H110" s="169"/>
      <c r="I110" s="169"/>
      <c r="J110" s="169"/>
      <c r="K110" s="169"/>
      <c r="L110" s="169"/>
      <c r="M110" s="169"/>
      <c r="N110" s="169"/>
      <c r="O110" s="169"/>
      <c r="P110" s="169"/>
      <c r="Q110" s="169"/>
    </row>
    <row r="111" spans="1:17">
      <c r="A111" s="169"/>
      <c r="B111" s="169"/>
      <c r="C111" s="169"/>
      <c r="D111" s="169"/>
      <c r="E111" s="169"/>
      <c r="F111" s="169"/>
      <c r="G111" s="169"/>
      <c r="H111" s="169"/>
      <c r="I111" s="169"/>
      <c r="J111" s="169"/>
      <c r="K111" s="169"/>
      <c r="L111" s="169"/>
      <c r="M111" s="169"/>
      <c r="N111" s="169"/>
      <c r="O111" s="169"/>
      <c r="P111" s="169"/>
      <c r="Q111" s="169"/>
    </row>
    <row r="112" spans="1:17">
      <c r="A112" s="169"/>
      <c r="B112" s="169"/>
      <c r="C112" s="169"/>
      <c r="D112" s="169"/>
      <c r="E112" s="169"/>
      <c r="F112" s="169"/>
      <c r="G112" s="169"/>
      <c r="H112" s="169"/>
      <c r="I112" s="169"/>
      <c r="J112" s="169"/>
      <c r="K112" s="169"/>
      <c r="L112" s="169"/>
      <c r="M112" s="169"/>
      <c r="N112" s="169"/>
      <c r="O112" s="169"/>
      <c r="P112" s="169"/>
      <c r="Q112" s="169"/>
    </row>
    <row r="113" spans="1:17">
      <c r="A113" s="169"/>
      <c r="B113" s="169"/>
      <c r="C113" s="169"/>
      <c r="D113" s="169"/>
      <c r="E113" s="169"/>
      <c r="F113" s="169"/>
      <c r="G113" s="169"/>
      <c r="H113" s="169"/>
      <c r="I113" s="169"/>
      <c r="J113" s="169"/>
      <c r="K113" s="169"/>
      <c r="L113" s="169"/>
      <c r="M113" s="169"/>
      <c r="N113" s="169"/>
      <c r="O113" s="169"/>
      <c r="P113" s="169"/>
      <c r="Q113" s="169"/>
    </row>
    <row r="114" spans="1:17">
      <c r="A114" s="169"/>
      <c r="B114" s="169"/>
      <c r="C114" s="169"/>
      <c r="D114" s="169"/>
      <c r="E114" s="169"/>
      <c r="F114" s="169"/>
      <c r="G114" s="169"/>
      <c r="H114" s="169"/>
      <c r="I114" s="169"/>
      <c r="J114" s="169"/>
      <c r="K114" s="169"/>
      <c r="L114" s="169"/>
      <c r="M114" s="169"/>
      <c r="N114" s="169"/>
      <c r="O114" s="169"/>
      <c r="P114" s="169"/>
      <c r="Q114" s="169"/>
    </row>
    <row r="115" spans="1:17">
      <c r="A115" s="169"/>
      <c r="B115" s="169"/>
      <c r="C115" s="169"/>
      <c r="D115" s="169"/>
      <c r="E115" s="169"/>
      <c r="F115" s="169"/>
      <c r="G115" s="169"/>
      <c r="H115" s="169"/>
      <c r="I115" s="169"/>
      <c r="J115" s="169"/>
      <c r="K115" s="169"/>
      <c r="L115" s="169"/>
      <c r="M115" s="169"/>
      <c r="N115" s="169"/>
      <c r="O115" s="169"/>
      <c r="P115" s="169"/>
      <c r="Q115" s="169"/>
    </row>
    <row r="116" spans="1:17">
      <c r="A116" s="169"/>
      <c r="B116" s="169"/>
      <c r="C116" s="169"/>
      <c r="D116" s="169"/>
      <c r="E116" s="169"/>
      <c r="F116" s="169"/>
      <c r="G116" s="169"/>
      <c r="H116" s="169"/>
      <c r="I116" s="169"/>
      <c r="J116" s="169"/>
      <c r="K116" s="169"/>
      <c r="L116" s="169"/>
      <c r="M116" s="169"/>
      <c r="N116" s="169"/>
      <c r="O116" s="169"/>
      <c r="P116" s="169"/>
      <c r="Q116" s="169"/>
    </row>
    <row r="117" spans="1:17">
      <c r="A117" s="169"/>
      <c r="B117" s="169"/>
      <c r="C117" s="169"/>
      <c r="D117" s="169"/>
      <c r="E117" s="169"/>
      <c r="F117" s="169"/>
      <c r="G117" s="169"/>
      <c r="H117" s="169"/>
      <c r="I117" s="169"/>
      <c r="J117" s="169"/>
      <c r="K117" s="169"/>
      <c r="L117" s="169"/>
      <c r="M117" s="169"/>
      <c r="N117" s="169"/>
      <c r="O117" s="169"/>
      <c r="P117" s="169"/>
      <c r="Q117" s="169"/>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A6126-FCD4-440B-8582-54E08426453F}">
  <sheetPr codeName="Sheet26"/>
  <dimension ref="A3:A12"/>
  <sheetViews>
    <sheetView workbookViewId="0">
      <selection activeCell="H22" sqref="H22"/>
    </sheetView>
  </sheetViews>
  <sheetFormatPr defaultRowHeight="15"/>
  <sheetData>
    <row r="3" spans="1:1">
      <c r="A3" t="s">
        <v>955</v>
      </c>
    </row>
    <row r="4" spans="1:1">
      <c r="A4" t="s">
        <v>961</v>
      </c>
    </row>
    <row r="5" spans="1:1">
      <c r="A5" t="s">
        <v>992</v>
      </c>
    </row>
    <row r="10" spans="1:1">
      <c r="A10" t="s">
        <v>1132</v>
      </c>
    </row>
    <row r="11" spans="1:1">
      <c r="A11" t="s">
        <v>1133</v>
      </c>
    </row>
    <row r="12" spans="1:1">
      <c r="A12" t="s">
        <v>1134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5FC57-8319-4C0D-A4A6-5972696D19AE}">
  <sheetPr codeName="Sheet3"/>
  <dimension ref="A1:XEQ150"/>
  <sheetViews>
    <sheetView showGridLines="0" zoomScale="72" zoomScaleNormal="72" workbookViewId="0">
      <pane ySplit="2" topLeftCell="A3" activePane="bottomLeft" state="frozen"/>
      <selection pane="bottomLeft" activeCell="T1" sqref="T1"/>
    </sheetView>
  </sheetViews>
  <sheetFormatPr defaultColWidth="9.140625" defaultRowHeight="15"/>
  <cols>
    <col min="1" max="1" width="2.140625" style="42" customWidth="1"/>
    <col min="2" max="2" width="34.42578125" style="42" customWidth="1"/>
    <col min="3" max="19" width="10" style="42" customWidth="1"/>
    <col min="20" max="20" width="9.140625" style="42"/>
    <col min="21" max="21" width="14.42578125" style="42" bestFit="1" customWidth="1"/>
    <col min="22" max="22" width="9.140625" style="42"/>
    <col min="23" max="23" width="12.5703125" style="42" bestFit="1" customWidth="1"/>
    <col min="24" max="24" width="13.5703125" style="42" bestFit="1" customWidth="1"/>
    <col min="25" max="16384" width="9.140625" style="42"/>
  </cols>
  <sheetData>
    <row r="1" spans="1:16371" s="45" customFormat="1" ht="15.75">
      <c r="A1" s="286"/>
      <c r="B1" s="360" t="s">
        <v>308</v>
      </c>
      <c r="C1" s="164"/>
      <c r="D1" s="164"/>
      <c r="E1" s="164"/>
      <c r="F1" s="164"/>
      <c r="G1" s="164"/>
      <c r="H1" s="164"/>
      <c r="I1" s="433"/>
      <c r="J1" s="433"/>
      <c r="K1" s="433"/>
      <c r="L1" s="433"/>
      <c r="M1" s="433"/>
      <c r="N1" s="433"/>
      <c r="O1" s="433"/>
      <c r="P1" s="433"/>
      <c r="Q1" s="433"/>
      <c r="R1" s="433"/>
      <c r="S1" s="433"/>
      <c r="T1" s="287"/>
      <c r="U1" s="287"/>
      <c r="V1" s="287"/>
      <c r="W1" s="287"/>
      <c r="X1" s="287"/>
      <c r="Y1" s="287"/>
      <c r="Z1" s="287"/>
      <c r="AA1" s="287"/>
      <c r="AB1" s="287"/>
      <c r="AC1" s="287"/>
      <c r="AD1" s="287"/>
      <c r="AE1" s="287"/>
      <c r="AF1" s="287"/>
    </row>
    <row r="2" spans="1:16371" s="45" customFormat="1" ht="15.75">
      <c r="A2" s="288"/>
      <c r="B2" s="972" t="s">
        <v>309</v>
      </c>
      <c r="C2" s="973">
        <v>2019</v>
      </c>
      <c r="D2" s="973">
        <f>C2+1</f>
        <v>2020</v>
      </c>
      <c r="E2" s="973">
        <v>2021</v>
      </c>
      <c r="F2" s="973">
        <v>2022</v>
      </c>
      <c r="G2" s="973">
        <v>2023</v>
      </c>
      <c r="H2" s="973">
        <v>2024</v>
      </c>
      <c r="I2" s="552" t="s">
        <v>266</v>
      </c>
      <c r="J2" s="552" t="s">
        <v>267</v>
      </c>
      <c r="K2" s="552" t="s">
        <v>268</v>
      </c>
      <c r="L2" s="552" t="s">
        <v>269</v>
      </c>
      <c r="M2" s="552" t="s">
        <v>270</v>
      </c>
      <c r="N2" s="552" t="s">
        <v>271</v>
      </c>
      <c r="O2" s="552" t="s">
        <v>1159</v>
      </c>
      <c r="P2" s="552" t="s">
        <v>1160</v>
      </c>
      <c r="Q2" s="552" t="s">
        <v>1161</v>
      </c>
      <c r="R2" s="552" t="s">
        <v>1162</v>
      </c>
      <c r="S2" s="552" t="s">
        <v>1163</v>
      </c>
      <c r="T2" s="287"/>
      <c r="U2" s="287"/>
      <c r="V2" s="287"/>
      <c r="W2" s="287"/>
      <c r="X2" s="287"/>
      <c r="Y2" s="287"/>
      <c r="Z2" s="287"/>
      <c r="AA2" s="287"/>
      <c r="AB2" s="287"/>
      <c r="AC2" s="287"/>
      <c r="AD2" s="287"/>
      <c r="AE2" s="287"/>
      <c r="AF2" s="287"/>
    </row>
    <row r="3" spans="1:16371" ht="15.75">
      <c r="A3" s="289"/>
      <c r="B3" s="290"/>
      <c r="C3" s="693"/>
      <c r="D3" s="693"/>
      <c r="E3" s="693"/>
      <c r="F3" s="693"/>
      <c r="G3" s="693"/>
      <c r="H3" s="693"/>
      <c r="I3" s="693"/>
      <c r="J3" s="693"/>
      <c r="K3" s="693"/>
      <c r="L3" s="693"/>
      <c r="M3" s="693"/>
      <c r="N3" s="693"/>
      <c r="O3" s="693"/>
      <c r="P3" s="693"/>
      <c r="Q3" s="693"/>
      <c r="R3" s="693"/>
      <c r="S3" s="693"/>
      <c r="T3" s="289"/>
      <c r="U3" s="289"/>
      <c r="V3" s="289"/>
      <c r="W3" s="289"/>
      <c r="X3" s="289"/>
      <c r="Y3" s="289"/>
      <c r="Z3" s="289"/>
      <c r="AA3" s="289"/>
      <c r="AB3" s="289"/>
      <c r="AC3" s="289"/>
      <c r="AD3" s="289"/>
      <c r="AE3" s="289"/>
      <c r="AF3" s="289"/>
    </row>
    <row r="4" spans="1:16371" ht="15.75">
      <c r="A4" s="289"/>
      <c r="B4" s="291" t="s">
        <v>346</v>
      </c>
      <c r="C4" s="292">
        <f>C$2</f>
        <v>2019</v>
      </c>
      <c r="D4" s="292">
        <f t="shared" ref="D4:S4" si="0">D$2</f>
        <v>2020</v>
      </c>
      <c r="E4" s="292">
        <f t="shared" si="0"/>
        <v>2021</v>
      </c>
      <c r="F4" s="292">
        <f t="shared" si="0"/>
        <v>2022</v>
      </c>
      <c r="G4" s="292">
        <f t="shared" si="0"/>
        <v>2023</v>
      </c>
      <c r="H4" s="292">
        <f t="shared" si="0"/>
        <v>2024</v>
      </c>
      <c r="I4" s="292" t="str">
        <f t="shared" si="0"/>
        <v>2025E</v>
      </c>
      <c r="J4" s="292" t="str">
        <f t="shared" si="0"/>
        <v>2026E</v>
      </c>
      <c r="K4" s="292" t="str">
        <f t="shared" si="0"/>
        <v>2027E</v>
      </c>
      <c r="L4" s="292" t="str">
        <f t="shared" si="0"/>
        <v>2028E</v>
      </c>
      <c r="M4" s="292" t="str">
        <f t="shared" si="0"/>
        <v>2029E</v>
      </c>
      <c r="N4" s="292" t="str">
        <f t="shared" si="0"/>
        <v>2030E</v>
      </c>
      <c r="O4" s="292" t="str">
        <f t="shared" si="0"/>
        <v>2031E</v>
      </c>
      <c r="P4" s="292" t="str">
        <f t="shared" si="0"/>
        <v>2032E</v>
      </c>
      <c r="Q4" s="292" t="str">
        <f t="shared" si="0"/>
        <v>2033E</v>
      </c>
      <c r="R4" s="292" t="str">
        <f t="shared" si="0"/>
        <v>2034E</v>
      </c>
      <c r="S4" s="292" t="str">
        <f t="shared" si="0"/>
        <v>2035E</v>
      </c>
      <c r="T4" s="293"/>
      <c r="U4" s="293"/>
      <c r="V4" s="293"/>
      <c r="W4" s="293"/>
      <c r="X4" s="293"/>
      <c r="Y4" s="293"/>
      <c r="Z4" s="293"/>
      <c r="AA4" s="293"/>
      <c r="AB4" s="293"/>
      <c r="AC4" s="293"/>
      <c r="AD4" s="293"/>
      <c r="AE4" s="293"/>
      <c r="AF4" s="293"/>
      <c r="AG4" s="43"/>
      <c r="AH4" s="44"/>
      <c r="AI4" s="44"/>
      <c r="AJ4" s="44"/>
      <c r="AK4" s="44"/>
      <c r="AL4" s="44"/>
      <c r="AM4" s="44"/>
      <c r="AN4" s="44"/>
      <c r="AO4" s="44"/>
      <c r="AP4" s="44"/>
      <c r="AQ4" s="44"/>
      <c r="AR4" s="44"/>
      <c r="AS4" s="44"/>
      <c r="AT4" s="44"/>
      <c r="AU4" s="44"/>
      <c r="AV4" s="43"/>
      <c r="AW4" s="44"/>
      <c r="AX4" s="44"/>
      <c r="AY4" s="44"/>
      <c r="AZ4" s="44"/>
      <c r="BA4" s="44"/>
      <c r="BB4" s="44"/>
      <c r="BC4" s="44"/>
      <c r="BD4" s="44"/>
      <c r="BE4" s="44"/>
      <c r="BF4" s="44"/>
      <c r="BG4" s="44"/>
      <c r="BH4" s="44"/>
      <c r="BI4" s="44"/>
      <c r="BJ4" s="44"/>
      <c r="BK4" s="43"/>
      <c r="BL4" s="44"/>
      <c r="BM4" s="44"/>
      <c r="BN4" s="44"/>
      <c r="BO4" s="44"/>
      <c r="BP4" s="44"/>
      <c r="BQ4" s="44"/>
      <c r="BR4" s="44"/>
      <c r="BS4" s="44"/>
      <c r="BT4" s="44"/>
      <c r="BU4" s="44"/>
      <c r="BV4" s="44"/>
      <c r="BW4" s="44"/>
      <c r="BX4" s="44"/>
      <c r="BY4" s="44"/>
      <c r="BZ4" s="43"/>
      <c r="CA4" s="44"/>
      <c r="CB4" s="44"/>
      <c r="CC4" s="44"/>
      <c r="CD4" s="44"/>
      <c r="CE4" s="44"/>
      <c r="CF4" s="44"/>
      <c r="CG4" s="44"/>
      <c r="CH4" s="44"/>
      <c r="CI4" s="44"/>
      <c r="CJ4" s="44"/>
      <c r="CK4" s="44"/>
      <c r="CL4" s="44"/>
      <c r="CM4" s="44"/>
      <c r="CN4" s="44"/>
      <c r="CO4" s="43"/>
      <c r="CP4" s="44"/>
      <c r="CQ4" s="44"/>
      <c r="CR4" s="44"/>
      <c r="CS4" s="44"/>
      <c r="CT4" s="44"/>
      <c r="CU4" s="44"/>
      <c r="CV4" s="44"/>
      <c r="CW4" s="44"/>
      <c r="CX4" s="44"/>
      <c r="CY4" s="44"/>
      <c r="CZ4" s="44"/>
      <c r="DA4" s="44"/>
      <c r="DB4" s="44"/>
      <c r="DC4" s="44"/>
      <c r="DD4" s="43"/>
      <c r="DE4" s="44"/>
      <c r="DF4" s="44"/>
      <c r="DG4" s="44"/>
      <c r="DH4" s="44"/>
      <c r="DI4" s="44"/>
      <c r="DJ4" s="44"/>
      <c r="DK4" s="44"/>
      <c r="DL4" s="44"/>
      <c r="DM4" s="44"/>
      <c r="DN4" s="44"/>
      <c r="DO4" s="44"/>
      <c r="DP4" s="44"/>
      <c r="DQ4" s="44"/>
      <c r="DR4" s="44"/>
      <c r="DS4" s="43"/>
      <c r="DT4" s="44"/>
      <c r="DU4" s="44"/>
      <c r="DV4" s="44"/>
      <c r="DW4" s="44"/>
      <c r="DX4" s="44"/>
      <c r="DY4" s="44"/>
      <c r="DZ4" s="44"/>
      <c r="EA4" s="44"/>
      <c r="EB4" s="44"/>
      <c r="EC4" s="44"/>
      <c r="ED4" s="44"/>
      <c r="EE4" s="44"/>
      <c r="EF4" s="44"/>
      <c r="EG4" s="44"/>
      <c r="EH4" s="43"/>
      <c r="EI4" s="44"/>
      <c r="EJ4" s="44"/>
      <c r="EK4" s="44"/>
      <c r="EL4" s="44"/>
      <c r="EM4" s="44"/>
      <c r="EN4" s="44"/>
      <c r="EO4" s="44"/>
      <c r="EP4" s="44"/>
      <c r="EQ4" s="44"/>
      <c r="ER4" s="44"/>
      <c r="ES4" s="44"/>
      <c r="ET4" s="44"/>
      <c r="EU4" s="44"/>
      <c r="EV4" s="44"/>
      <c r="EW4" s="43"/>
      <c r="EX4" s="44"/>
      <c r="EY4" s="44"/>
      <c r="EZ4" s="44"/>
      <c r="FA4" s="44"/>
      <c r="FB4" s="44"/>
      <c r="FC4" s="44"/>
      <c r="FD4" s="44"/>
      <c r="FE4" s="44"/>
      <c r="FF4" s="44"/>
      <c r="FG4" s="44"/>
      <c r="FH4" s="44"/>
      <c r="FI4" s="44"/>
      <c r="FJ4" s="44"/>
      <c r="FK4" s="44"/>
      <c r="FL4" s="43"/>
      <c r="FM4" s="44"/>
      <c r="FN4" s="44"/>
      <c r="FO4" s="44"/>
      <c r="FP4" s="44"/>
      <c r="FQ4" s="44"/>
      <c r="FR4" s="44"/>
      <c r="FS4" s="44"/>
      <c r="FT4" s="44"/>
      <c r="FU4" s="44"/>
      <c r="FV4" s="44"/>
      <c r="FW4" s="44"/>
      <c r="FX4" s="44"/>
      <c r="FY4" s="44"/>
      <c r="FZ4" s="44"/>
      <c r="GA4" s="43"/>
      <c r="GB4" s="44"/>
      <c r="GC4" s="44"/>
      <c r="GD4" s="44"/>
      <c r="GE4" s="44"/>
      <c r="GF4" s="44"/>
      <c r="GG4" s="44"/>
      <c r="GH4" s="44"/>
      <c r="GI4" s="44"/>
      <c r="GJ4" s="44"/>
      <c r="GK4" s="44"/>
      <c r="GL4" s="44"/>
      <c r="GM4" s="44"/>
      <c r="GN4" s="44"/>
      <c r="GO4" s="44"/>
      <c r="GP4" s="43"/>
      <c r="GQ4" s="44"/>
      <c r="GR4" s="44"/>
      <c r="GS4" s="44"/>
      <c r="GT4" s="44"/>
      <c r="GU4" s="44"/>
      <c r="GV4" s="44"/>
      <c r="GW4" s="44"/>
      <c r="GX4" s="44"/>
      <c r="GY4" s="44"/>
      <c r="GZ4" s="44"/>
      <c r="HA4" s="44"/>
      <c r="HB4" s="44"/>
      <c r="HC4" s="44"/>
      <c r="HD4" s="44"/>
      <c r="HE4" s="43"/>
      <c r="HF4" s="44"/>
      <c r="HG4" s="44"/>
      <c r="HH4" s="44"/>
      <c r="HI4" s="44"/>
      <c r="HJ4" s="44"/>
      <c r="HK4" s="44"/>
      <c r="HL4" s="44"/>
      <c r="HM4" s="44"/>
      <c r="HN4" s="44"/>
      <c r="HO4" s="44"/>
      <c r="HP4" s="44"/>
      <c r="HQ4" s="44"/>
      <c r="HR4" s="44"/>
      <c r="HS4" s="44"/>
      <c r="HT4" s="43"/>
      <c r="HU4" s="44"/>
      <c r="HV4" s="44"/>
      <c r="HW4" s="44"/>
      <c r="HX4" s="44"/>
      <c r="HY4" s="44"/>
      <c r="HZ4" s="44"/>
      <c r="IA4" s="44"/>
      <c r="IB4" s="44"/>
      <c r="IC4" s="44"/>
      <c r="ID4" s="44"/>
      <c r="IE4" s="44"/>
      <c r="IF4" s="44"/>
      <c r="IG4" s="44"/>
      <c r="IH4" s="44"/>
      <c r="II4" s="43"/>
      <c r="IJ4" s="44"/>
      <c r="IK4" s="44"/>
      <c r="IL4" s="44"/>
      <c r="IM4" s="44"/>
      <c r="IN4" s="44"/>
      <c r="IO4" s="44"/>
      <c r="IP4" s="44"/>
      <c r="IQ4" s="44"/>
      <c r="IR4" s="44"/>
      <c r="IS4" s="44"/>
      <c r="IT4" s="44"/>
      <c r="IU4" s="44"/>
      <c r="IV4" s="44"/>
      <c r="IW4" s="44"/>
      <c r="IX4" s="43"/>
      <c r="IY4" s="44"/>
      <c r="IZ4" s="44"/>
      <c r="JA4" s="44"/>
      <c r="JB4" s="44"/>
      <c r="JC4" s="44"/>
      <c r="JD4" s="44"/>
      <c r="JE4" s="44"/>
      <c r="JF4" s="44"/>
      <c r="JG4" s="44"/>
      <c r="JH4" s="44"/>
      <c r="JI4" s="44"/>
      <c r="JJ4" s="44"/>
      <c r="JK4" s="44"/>
      <c r="JL4" s="44"/>
      <c r="JM4" s="43"/>
      <c r="JN4" s="44"/>
      <c r="JO4" s="44"/>
      <c r="JP4" s="44"/>
      <c r="JQ4" s="44"/>
      <c r="JR4" s="44"/>
      <c r="JS4" s="44"/>
      <c r="JT4" s="44"/>
      <c r="JU4" s="44"/>
      <c r="JV4" s="44"/>
      <c r="JW4" s="44"/>
      <c r="JX4" s="44"/>
      <c r="JY4" s="44"/>
      <c r="JZ4" s="44"/>
      <c r="KA4" s="44"/>
      <c r="KB4" s="43"/>
      <c r="KC4" s="44"/>
      <c r="KD4" s="44"/>
      <c r="KE4" s="44"/>
      <c r="KF4" s="44"/>
      <c r="KG4" s="44"/>
      <c r="KH4" s="44"/>
      <c r="KI4" s="44"/>
      <c r="KJ4" s="44"/>
      <c r="KK4" s="44"/>
      <c r="KL4" s="44"/>
      <c r="KM4" s="44"/>
      <c r="KN4" s="44"/>
      <c r="KO4" s="44"/>
      <c r="KP4" s="44"/>
      <c r="KQ4" s="43"/>
      <c r="KR4" s="44"/>
      <c r="KS4" s="44"/>
      <c r="KT4" s="44"/>
      <c r="KU4" s="44"/>
      <c r="KV4" s="44"/>
      <c r="KW4" s="44"/>
      <c r="KX4" s="44"/>
      <c r="KY4" s="44"/>
      <c r="KZ4" s="44"/>
      <c r="LA4" s="44"/>
      <c r="LB4" s="44"/>
      <c r="LC4" s="44"/>
      <c r="LD4" s="44"/>
      <c r="LE4" s="44"/>
      <c r="LF4" s="43"/>
      <c r="LG4" s="44"/>
      <c r="LH4" s="44"/>
      <c r="LI4" s="44"/>
      <c r="LJ4" s="44"/>
      <c r="LK4" s="44"/>
      <c r="LL4" s="44"/>
      <c r="LM4" s="44"/>
      <c r="LN4" s="44"/>
      <c r="LO4" s="44"/>
      <c r="LP4" s="44"/>
      <c r="LQ4" s="44"/>
      <c r="LR4" s="44"/>
      <c r="LS4" s="44"/>
      <c r="LT4" s="44"/>
      <c r="LU4" s="43"/>
      <c r="LV4" s="44"/>
      <c r="LW4" s="44"/>
      <c r="LX4" s="44"/>
      <c r="LY4" s="44"/>
      <c r="LZ4" s="44"/>
      <c r="MA4" s="44"/>
      <c r="MB4" s="44"/>
      <c r="MC4" s="44"/>
      <c r="MD4" s="44"/>
      <c r="ME4" s="44"/>
      <c r="MF4" s="44"/>
      <c r="MG4" s="44"/>
      <c r="MH4" s="44"/>
      <c r="MI4" s="44"/>
      <c r="MJ4" s="43"/>
      <c r="MK4" s="44"/>
      <c r="ML4" s="44"/>
      <c r="MM4" s="44"/>
      <c r="MN4" s="44"/>
      <c r="MO4" s="44"/>
      <c r="MP4" s="44"/>
      <c r="MQ4" s="44"/>
      <c r="MR4" s="44"/>
      <c r="MS4" s="44"/>
      <c r="MT4" s="44"/>
      <c r="MU4" s="44"/>
      <c r="MV4" s="44"/>
      <c r="MW4" s="44"/>
      <c r="MX4" s="44"/>
      <c r="MY4" s="43"/>
      <c r="MZ4" s="44"/>
      <c r="NA4" s="44"/>
      <c r="NB4" s="44"/>
      <c r="NC4" s="44"/>
      <c r="ND4" s="44"/>
      <c r="NE4" s="44"/>
      <c r="NF4" s="44"/>
      <c r="NG4" s="44"/>
      <c r="NH4" s="44"/>
      <c r="NI4" s="44"/>
      <c r="NJ4" s="44"/>
      <c r="NK4" s="44"/>
      <c r="NL4" s="44"/>
      <c r="NM4" s="44"/>
      <c r="NN4" s="43"/>
      <c r="NO4" s="44"/>
      <c r="NP4" s="44"/>
      <c r="NQ4" s="44"/>
      <c r="NR4" s="44"/>
      <c r="NS4" s="44"/>
      <c r="NT4" s="44"/>
      <c r="NU4" s="44"/>
      <c r="NV4" s="44"/>
      <c r="NW4" s="44"/>
      <c r="NX4" s="44"/>
      <c r="NY4" s="44"/>
      <c r="NZ4" s="44"/>
      <c r="OA4" s="44"/>
      <c r="OB4" s="44"/>
      <c r="OC4" s="43"/>
      <c r="OD4" s="44"/>
      <c r="OE4" s="44"/>
      <c r="OF4" s="44"/>
      <c r="OG4" s="44"/>
      <c r="OH4" s="44"/>
      <c r="OI4" s="44"/>
      <c r="OJ4" s="44"/>
      <c r="OK4" s="44"/>
      <c r="OL4" s="44"/>
      <c r="OM4" s="44"/>
      <c r="ON4" s="44"/>
      <c r="OO4" s="44"/>
      <c r="OP4" s="44"/>
      <c r="OQ4" s="44"/>
      <c r="OR4" s="43"/>
      <c r="OS4" s="44"/>
      <c r="OT4" s="44"/>
      <c r="OU4" s="44"/>
      <c r="OV4" s="44"/>
      <c r="OW4" s="44"/>
      <c r="OX4" s="44"/>
      <c r="OY4" s="44"/>
      <c r="OZ4" s="44"/>
      <c r="PA4" s="44"/>
      <c r="PB4" s="44"/>
      <c r="PC4" s="44"/>
      <c r="PD4" s="44"/>
      <c r="PE4" s="44"/>
      <c r="PF4" s="44"/>
      <c r="PG4" s="43"/>
      <c r="PH4" s="44"/>
      <c r="PI4" s="44"/>
      <c r="PJ4" s="44"/>
      <c r="PK4" s="44"/>
      <c r="PL4" s="44"/>
      <c r="PM4" s="44"/>
      <c r="PN4" s="44"/>
      <c r="PO4" s="44"/>
      <c r="PP4" s="44"/>
      <c r="PQ4" s="44"/>
      <c r="PR4" s="44"/>
      <c r="PS4" s="44"/>
      <c r="PT4" s="44"/>
      <c r="PU4" s="44"/>
      <c r="PV4" s="43"/>
      <c r="PW4" s="44"/>
      <c r="PX4" s="44"/>
      <c r="PY4" s="44"/>
      <c r="PZ4" s="44"/>
      <c r="QA4" s="44"/>
      <c r="QB4" s="44"/>
      <c r="QC4" s="44"/>
      <c r="QD4" s="44"/>
      <c r="QE4" s="44"/>
      <c r="QF4" s="44"/>
      <c r="QG4" s="44"/>
      <c r="QH4" s="44"/>
      <c r="QI4" s="44"/>
      <c r="QJ4" s="44"/>
      <c r="QK4" s="43"/>
      <c r="QL4" s="44"/>
      <c r="QM4" s="44"/>
      <c r="QN4" s="44"/>
      <c r="QO4" s="44"/>
      <c r="QP4" s="44"/>
      <c r="QQ4" s="44"/>
      <c r="QR4" s="44"/>
      <c r="QS4" s="44"/>
      <c r="QT4" s="44"/>
      <c r="QU4" s="44"/>
      <c r="QV4" s="44"/>
      <c r="QW4" s="44"/>
      <c r="QX4" s="44"/>
      <c r="QY4" s="44"/>
      <c r="QZ4" s="43"/>
      <c r="RA4" s="44"/>
      <c r="RB4" s="44"/>
      <c r="RC4" s="44"/>
      <c r="RD4" s="44"/>
      <c r="RE4" s="44"/>
      <c r="RF4" s="44"/>
      <c r="RG4" s="44"/>
      <c r="RH4" s="44"/>
      <c r="RI4" s="44"/>
      <c r="RJ4" s="44"/>
      <c r="RK4" s="44"/>
      <c r="RL4" s="44"/>
      <c r="RM4" s="44"/>
      <c r="RN4" s="44"/>
      <c r="RO4" s="43"/>
      <c r="RP4" s="44"/>
      <c r="RQ4" s="44"/>
      <c r="RR4" s="44"/>
      <c r="RS4" s="44"/>
      <c r="RT4" s="44"/>
      <c r="RU4" s="44"/>
      <c r="RV4" s="44"/>
      <c r="RW4" s="44"/>
      <c r="RX4" s="44"/>
      <c r="RY4" s="44"/>
      <c r="RZ4" s="44"/>
      <c r="SA4" s="44"/>
      <c r="SB4" s="44"/>
      <c r="SC4" s="44"/>
      <c r="SD4" s="43"/>
      <c r="SE4" s="44"/>
      <c r="SF4" s="44"/>
      <c r="SG4" s="44"/>
      <c r="SH4" s="44"/>
      <c r="SI4" s="44"/>
      <c r="SJ4" s="44"/>
      <c r="SK4" s="44"/>
      <c r="SL4" s="44"/>
      <c r="SM4" s="44"/>
      <c r="SN4" s="44"/>
      <c r="SO4" s="44"/>
      <c r="SP4" s="44"/>
      <c r="SQ4" s="44"/>
      <c r="SR4" s="44"/>
      <c r="SS4" s="43"/>
      <c r="ST4" s="44"/>
      <c r="SU4" s="44"/>
      <c r="SV4" s="44"/>
      <c r="SW4" s="44"/>
      <c r="SX4" s="44"/>
      <c r="SY4" s="44"/>
      <c r="SZ4" s="44"/>
      <c r="TA4" s="44"/>
      <c r="TB4" s="44"/>
      <c r="TC4" s="44"/>
      <c r="TD4" s="44"/>
      <c r="TE4" s="44"/>
      <c r="TF4" s="44"/>
      <c r="TG4" s="44"/>
      <c r="TH4" s="43"/>
      <c r="TI4" s="44"/>
      <c r="TJ4" s="44"/>
      <c r="TK4" s="44"/>
      <c r="TL4" s="44"/>
      <c r="TM4" s="44"/>
      <c r="TN4" s="44"/>
      <c r="TO4" s="44"/>
      <c r="TP4" s="44"/>
      <c r="TQ4" s="44"/>
      <c r="TR4" s="44"/>
      <c r="TS4" s="44"/>
      <c r="TT4" s="44"/>
      <c r="TU4" s="44"/>
      <c r="TV4" s="44"/>
      <c r="TW4" s="43"/>
      <c r="TX4" s="44"/>
      <c r="TY4" s="44"/>
      <c r="TZ4" s="44"/>
      <c r="UA4" s="44"/>
      <c r="UB4" s="44"/>
      <c r="UC4" s="44"/>
      <c r="UD4" s="44"/>
      <c r="UE4" s="44"/>
      <c r="UF4" s="44"/>
      <c r="UG4" s="44"/>
      <c r="UH4" s="44"/>
      <c r="UI4" s="44"/>
      <c r="UJ4" s="44"/>
      <c r="UK4" s="44"/>
      <c r="UL4" s="43"/>
      <c r="UM4" s="44"/>
      <c r="UN4" s="44"/>
      <c r="UO4" s="44"/>
      <c r="UP4" s="44"/>
      <c r="UQ4" s="44"/>
      <c r="UR4" s="44"/>
      <c r="US4" s="44"/>
      <c r="UT4" s="44"/>
      <c r="UU4" s="44"/>
      <c r="UV4" s="44"/>
      <c r="UW4" s="44"/>
      <c r="UX4" s="44"/>
      <c r="UY4" s="44"/>
      <c r="UZ4" s="44"/>
      <c r="VA4" s="43"/>
      <c r="VB4" s="44"/>
      <c r="VC4" s="44"/>
      <c r="VD4" s="44"/>
      <c r="VE4" s="44"/>
      <c r="VF4" s="44"/>
      <c r="VG4" s="44"/>
      <c r="VH4" s="44"/>
      <c r="VI4" s="44"/>
      <c r="VJ4" s="44"/>
      <c r="VK4" s="44"/>
      <c r="VL4" s="44"/>
      <c r="VM4" s="44"/>
      <c r="VN4" s="44"/>
      <c r="VO4" s="44"/>
      <c r="VP4" s="43"/>
      <c r="VQ4" s="44"/>
      <c r="VR4" s="44"/>
      <c r="VS4" s="44"/>
      <c r="VT4" s="44"/>
      <c r="VU4" s="44"/>
      <c r="VV4" s="44"/>
      <c r="VW4" s="44"/>
      <c r="VX4" s="44"/>
      <c r="VY4" s="44"/>
      <c r="VZ4" s="44"/>
      <c r="WA4" s="44"/>
      <c r="WB4" s="44"/>
      <c r="WC4" s="44"/>
      <c r="WD4" s="44"/>
      <c r="WE4" s="43"/>
      <c r="WF4" s="44"/>
      <c r="WG4" s="44"/>
      <c r="WH4" s="44"/>
      <c r="WI4" s="44"/>
      <c r="WJ4" s="44"/>
      <c r="WK4" s="44"/>
      <c r="WL4" s="44"/>
      <c r="WM4" s="44"/>
      <c r="WN4" s="44"/>
      <c r="WO4" s="44"/>
      <c r="WP4" s="44"/>
      <c r="WQ4" s="44"/>
      <c r="WR4" s="44"/>
      <c r="WS4" s="44"/>
      <c r="WT4" s="43"/>
      <c r="WU4" s="44"/>
      <c r="WV4" s="44"/>
      <c r="WW4" s="44"/>
      <c r="WX4" s="44"/>
      <c r="WY4" s="44"/>
      <c r="WZ4" s="44"/>
      <c r="XA4" s="44"/>
      <c r="XB4" s="44"/>
      <c r="XC4" s="44"/>
      <c r="XD4" s="44"/>
      <c r="XE4" s="44"/>
      <c r="XF4" s="44"/>
      <c r="XG4" s="44"/>
      <c r="XH4" s="44"/>
      <c r="XI4" s="43"/>
      <c r="XJ4" s="44"/>
      <c r="XK4" s="44"/>
      <c r="XL4" s="44"/>
      <c r="XM4" s="44"/>
      <c r="XN4" s="44"/>
      <c r="XO4" s="44"/>
      <c r="XP4" s="44"/>
      <c r="XQ4" s="44"/>
      <c r="XR4" s="44"/>
      <c r="XS4" s="44"/>
      <c r="XT4" s="44"/>
      <c r="XU4" s="44"/>
      <c r="XV4" s="44"/>
      <c r="XW4" s="44"/>
      <c r="XX4" s="43"/>
      <c r="XY4" s="44"/>
      <c r="XZ4" s="44"/>
      <c r="YA4" s="44"/>
      <c r="YB4" s="44"/>
      <c r="YC4" s="44"/>
      <c r="YD4" s="44"/>
      <c r="YE4" s="44"/>
      <c r="YF4" s="44"/>
      <c r="YG4" s="44"/>
      <c r="YH4" s="44"/>
      <c r="YI4" s="44"/>
      <c r="YJ4" s="44"/>
      <c r="YK4" s="44"/>
      <c r="YL4" s="44"/>
      <c r="YM4" s="43"/>
      <c r="YN4" s="44"/>
      <c r="YO4" s="44"/>
      <c r="YP4" s="44"/>
      <c r="YQ4" s="44"/>
      <c r="YR4" s="44"/>
      <c r="YS4" s="44"/>
      <c r="YT4" s="44"/>
      <c r="YU4" s="44"/>
      <c r="YV4" s="44"/>
      <c r="YW4" s="44"/>
      <c r="YX4" s="44"/>
      <c r="YY4" s="44"/>
      <c r="YZ4" s="44"/>
      <c r="ZA4" s="44"/>
      <c r="ZB4" s="43"/>
      <c r="ZC4" s="44"/>
      <c r="ZD4" s="44"/>
      <c r="ZE4" s="44"/>
      <c r="ZF4" s="44"/>
      <c r="ZG4" s="44"/>
      <c r="ZH4" s="44"/>
      <c r="ZI4" s="44"/>
      <c r="ZJ4" s="44"/>
      <c r="ZK4" s="44"/>
      <c r="ZL4" s="44"/>
      <c r="ZM4" s="44"/>
      <c r="ZN4" s="44"/>
      <c r="ZO4" s="44"/>
      <c r="ZP4" s="44"/>
      <c r="ZQ4" s="43"/>
      <c r="ZR4" s="44"/>
      <c r="ZS4" s="44"/>
      <c r="ZT4" s="44"/>
      <c r="ZU4" s="44"/>
      <c r="ZV4" s="44"/>
      <c r="ZW4" s="44"/>
      <c r="ZX4" s="44"/>
      <c r="ZY4" s="44"/>
      <c r="ZZ4" s="44"/>
      <c r="AAA4" s="44"/>
      <c r="AAB4" s="44"/>
      <c r="AAC4" s="44"/>
      <c r="AAD4" s="44"/>
      <c r="AAE4" s="44"/>
      <c r="AAF4" s="43"/>
      <c r="AAG4" s="44"/>
      <c r="AAH4" s="44"/>
      <c r="AAI4" s="44"/>
      <c r="AAJ4" s="44"/>
      <c r="AAK4" s="44"/>
      <c r="AAL4" s="44"/>
      <c r="AAM4" s="44"/>
      <c r="AAN4" s="44"/>
      <c r="AAO4" s="44"/>
      <c r="AAP4" s="44"/>
      <c r="AAQ4" s="44"/>
      <c r="AAR4" s="44"/>
      <c r="AAS4" s="44"/>
      <c r="AAT4" s="44"/>
      <c r="AAU4" s="43"/>
      <c r="AAV4" s="44"/>
      <c r="AAW4" s="44"/>
      <c r="AAX4" s="44"/>
      <c r="AAY4" s="44"/>
      <c r="AAZ4" s="44"/>
      <c r="ABA4" s="44"/>
      <c r="ABB4" s="44"/>
      <c r="ABC4" s="44"/>
      <c r="ABD4" s="44"/>
      <c r="ABE4" s="44"/>
      <c r="ABF4" s="44"/>
      <c r="ABG4" s="44"/>
      <c r="ABH4" s="44"/>
      <c r="ABI4" s="44"/>
      <c r="ABJ4" s="43"/>
      <c r="ABK4" s="44"/>
      <c r="ABL4" s="44"/>
      <c r="ABM4" s="44"/>
      <c r="ABN4" s="44"/>
      <c r="ABO4" s="44"/>
      <c r="ABP4" s="44"/>
      <c r="ABQ4" s="44"/>
      <c r="ABR4" s="44"/>
      <c r="ABS4" s="44"/>
      <c r="ABT4" s="44"/>
      <c r="ABU4" s="44"/>
      <c r="ABV4" s="44"/>
      <c r="ABW4" s="44"/>
      <c r="ABX4" s="44"/>
      <c r="ABY4" s="43"/>
      <c r="ABZ4" s="44"/>
      <c r="ACA4" s="44"/>
      <c r="ACB4" s="44"/>
      <c r="ACC4" s="44"/>
      <c r="ACD4" s="44"/>
      <c r="ACE4" s="44"/>
      <c r="ACF4" s="44"/>
      <c r="ACG4" s="44"/>
      <c r="ACH4" s="44"/>
      <c r="ACI4" s="44"/>
      <c r="ACJ4" s="44"/>
      <c r="ACK4" s="44"/>
      <c r="ACL4" s="44"/>
      <c r="ACM4" s="44"/>
      <c r="ACN4" s="43"/>
      <c r="ACO4" s="44"/>
      <c r="ACP4" s="44"/>
      <c r="ACQ4" s="44"/>
      <c r="ACR4" s="44"/>
      <c r="ACS4" s="44"/>
      <c r="ACT4" s="44"/>
      <c r="ACU4" s="44"/>
      <c r="ACV4" s="44"/>
      <c r="ACW4" s="44"/>
      <c r="ACX4" s="44"/>
      <c r="ACY4" s="44"/>
      <c r="ACZ4" s="44"/>
      <c r="ADA4" s="44"/>
      <c r="ADB4" s="44"/>
      <c r="ADC4" s="43"/>
      <c r="ADD4" s="44"/>
      <c r="ADE4" s="44"/>
      <c r="ADF4" s="44"/>
      <c r="ADG4" s="44"/>
      <c r="ADH4" s="44"/>
      <c r="ADI4" s="44"/>
      <c r="ADJ4" s="44"/>
      <c r="ADK4" s="44"/>
      <c r="ADL4" s="44"/>
      <c r="ADM4" s="44"/>
      <c r="ADN4" s="44"/>
      <c r="ADO4" s="44"/>
      <c r="ADP4" s="44"/>
      <c r="ADQ4" s="44"/>
      <c r="ADR4" s="43"/>
      <c r="ADS4" s="44"/>
      <c r="ADT4" s="44"/>
      <c r="ADU4" s="44"/>
      <c r="ADV4" s="44"/>
      <c r="ADW4" s="44"/>
      <c r="ADX4" s="44"/>
      <c r="ADY4" s="44"/>
      <c r="ADZ4" s="44"/>
      <c r="AEA4" s="44"/>
      <c r="AEB4" s="44"/>
      <c r="AEC4" s="44"/>
      <c r="AED4" s="44"/>
      <c r="AEE4" s="44"/>
      <c r="AEF4" s="44"/>
      <c r="AEG4" s="43"/>
      <c r="AEH4" s="44"/>
      <c r="AEI4" s="44"/>
      <c r="AEJ4" s="44"/>
      <c r="AEK4" s="44"/>
      <c r="AEL4" s="44"/>
      <c r="AEM4" s="44"/>
      <c r="AEN4" s="44"/>
      <c r="AEO4" s="44"/>
      <c r="AEP4" s="44"/>
      <c r="AEQ4" s="44"/>
      <c r="AER4" s="44"/>
      <c r="AES4" s="44"/>
      <c r="AET4" s="44"/>
      <c r="AEU4" s="44"/>
      <c r="AEV4" s="43"/>
      <c r="AEW4" s="44"/>
      <c r="AEX4" s="44"/>
      <c r="AEY4" s="44"/>
      <c r="AEZ4" s="44"/>
      <c r="AFA4" s="44"/>
      <c r="AFB4" s="44"/>
      <c r="AFC4" s="44"/>
      <c r="AFD4" s="44"/>
      <c r="AFE4" s="44"/>
      <c r="AFF4" s="44"/>
      <c r="AFG4" s="44"/>
      <c r="AFH4" s="44"/>
      <c r="AFI4" s="44"/>
      <c r="AFJ4" s="44"/>
      <c r="AFK4" s="43"/>
      <c r="AFL4" s="44"/>
      <c r="AFM4" s="44"/>
      <c r="AFN4" s="44"/>
      <c r="AFO4" s="44"/>
      <c r="AFP4" s="44"/>
      <c r="AFQ4" s="44"/>
      <c r="AFR4" s="44"/>
      <c r="AFS4" s="44"/>
      <c r="AFT4" s="44"/>
      <c r="AFU4" s="44"/>
      <c r="AFV4" s="44"/>
      <c r="AFW4" s="44"/>
      <c r="AFX4" s="44"/>
      <c r="AFY4" s="44"/>
      <c r="AFZ4" s="43"/>
      <c r="AGA4" s="44"/>
      <c r="AGB4" s="44"/>
      <c r="AGC4" s="44"/>
      <c r="AGD4" s="44"/>
      <c r="AGE4" s="44"/>
      <c r="AGF4" s="44"/>
      <c r="AGG4" s="44"/>
      <c r="AGH4" s="44"/>
      <c r="AGI4" s="44"/>
      <c r="AGJ4" s="44"/>
      <c r="AGK4" s="44"/>
      <c r="AGL4" s="44"/>
      <c r="AGM4" s="44"/>
      <c r="AGN4" s="44"/>
      <c r="AGO4" s="43"/>
      <c r="AGP4" s="44"/>
      <c r="AGQ4" s="44"/>
      <c r="AGR4" s="44"/>
      <c r="AGS4" s="44"/>
      <c r="AGT4" s="44"/>
      <c r="AGU4" s="44"/>
      <c r="AGV4" s="44"/>
      <c r="AGW4" s="44"/>
      <c r="AGX4" s="44"/>
      <c r="AGY4" s="44"/>
      <c r="AGZ4" s="44"/>
      <c r="AHA4" s="44"/>
      <c r="AHB4" s="44"/>
      <c r="AHC4" s="44"/>
      <c r="AHD4" s="43"/>
      <c r="AHE4" s="44"/>
      <c r="AHF4" s="44"/>
      <c r="AHG4" s="44"/>
      <c r="AHH4" s="44"/>
      <c r="AHI4" s="44"/>
      <c r="AHJ4" s="44"/>
      <c r="AHK4" s="44"/>
      <c r="AHL4" s="44"/>
      <c r="AHM4" s="44"/>
      <c r="AHN4" s="44"/>
      <c r="AHO4" s="44"/>
      <c r="AHP4" s="44"/>
      <c r="AHQ4" s="44"/>
      <c r="AHR4" s="44"/>
      <c r="AHS4" s="43"/>
      <c r="AHT4" s="44"/>
      <c r="AHU4" s="44"/>
      <c r="AHV4" s="44"/>
      <c r="AHW4" s="44"/>
      <c r="AHX4" s="44"/>
      <c r="AHY4" s="44"/>
      <c r="AHZ4" s="44"/>
      <c r="AIA4" s="44"/>
      <c r="AIB4" s="44"/>
      <c r="AIC4" s="44"/>
      <c r="AID4" s="44"/>
      <c r="AIE4" s="44"/>
      <c r="AIF4" s="44"/>
      <c r="AIG4" s="44"/>
      <c r="AIH4" s="43"/>
      <c r="AII4" s="44"/>
      <c r="AIJ4" s="44"/>
      <c r="AIK4" s="44"/>
      <c r="AIL4" s="44"/>
      <c r="AIM4" s="44"/>
      <c r="AIN4" s="44"/>
      <c r="AIO4" s="44"/>
      <c r="AIP4" s="44"/>
      <c r="AIQ4" s="44"/>
      <c r="AIR4" s="44"/>
      <c r="AIS4" s="44"/>
      <c r="AIT4" s="44"/>
      <c r="AIU4" s="44"/>
      <c r="AIV4" s="44"/>
      <c r="AIW4" s="43"/>
      <c r="AIX4" s="44"/>
      <c r="AIY4" s="44"/>
      <c r="AIZ4" s="44"/>
      <c r="AJA4" s="44"/>
      <c r="AJB4" s="44"/>
      <c r="AJC4" s="44"/>
      <c r="AJD4" s="44"/>
      <c r="AJE4" s="44"/>
      <c r="AJF4" s="44"/>
      <c r="AJG4" s="44"/>
      <c r="AJH4" s="44"/>
      <c r="AJI4" s="44"/>
      <c r="AJJ4" s="44"/>
      <c r="AJK4" s="44"/>
      <c r="AJL4" s="43"/>
      <c r="AJM4" s="44"/>
      <c r="AJN4" s="44"/>
      <c r="AJO4" s="44"/>
      <c r="AJP4" s="44"/>
      <c r="AJQ4" s="44"/>
      <c r="AJR4" s="44"/>
      <c r="AJS4" s="44"/>
      <c r="AJT4" s="44"/>
      <c r="AJU4" s="44"/>
      <c r="AJV4" s="44"/>
      <c r="AJW4" s="44"/>
      <c r="AJX4" s="44"/>
      <c r="AJY4" s="44"/>
      <c r="AJZ4" s="44"/>
      <c r="AKA4" s="43"/>
      <c r="AKB4" s="44"/>
      <c r="AKC4" s="44"/>
      <c r="AKD4" s="44"/>
      <c r="AKE4" s="44"/>
      <c r="AKF4" s="44"/>
      <c r="AKG4" s="44"/>
      <c r="AKH4" s="44"/>
      <c r="AKI4" s="44"/>
      <c r="AKJ4" s="44"/>
      <c r="AKK4" s="44"/>
      <c r="AKL4" s="44"/>
      <c r="AKM4" s="44"/>
      <c r="AKN4" s="44"/>
      <c r="AKO4" s="44"/>
      <c r="AKP4" s="43"/>
      <c r="AKQ4" s="44"/>
      <c r="AKR4" s="44"/>
      <c r="AKS4" s="44"/>
      <c r="AKT4" s="44"/>
      <c r="AKU4" s="44"/>
      <c r="AKV4" s="44"/>
      <c r="AKW4" s="44"/>
      <c r="AKX4" s="44"/>
      <c r="AKY4" s="44"/>
      <c r="AKZ4" s="44"/>
      <c r="ALA4" s="44"/>
      <c r="ALB4" s="44"/>
      <c r="ALC4" s="44"/>
      <c r="ALD4" s="44"/>
      <c r="ALE4" s="43"/>
      <c r="ALF4" s="44"/>
      <c r="ALG4" s="44"/>
      <c r="ALH4" s="44"/>
      <c r="ALI4" s="44"/>
      <c r="ALJ4" s="44"/>
      <c r="ALK4" s="44"/>
      <c r="ALL4" s="44"/>
      <c r="ALM4" s="44"/>
      <c r="ALN4" s="44"/>
      <c r="ALO4" s="44"/>
      <c r="ALP4" s="44"/>
      <c r="ALQ4" s="44"/>
      <c r="ALR4" s="44"/>
      <c r="ALS4" s="44"/>
      <c r="ALT4" s="43"/>
      <c r="ALU4" s="44"/>
      <c r="ALV4" s="44"/>
      <c r="ALW4" s="44"/>
      <c r="ALX4" s="44"/>
      <c r="ALY4" s="44"/>
      <c r="ALZ4" s="44"/>
      <c r="AMA4" s="44"/>
      <c r="AMB4" s="44"/>
      <c r="AMC4" s="44"/>
      <c r="AMD4" s="44"/>
      <c r="AME4" s="44"/>
      <c r="AMF4" s="44"/>
      <c r="AMG4" s="44"/>
      <c r="AMH4" s="44"/>
      <c r="AMI4" s="43"/>
      <c r="AMJ4" s="44"/>
      <c r="AMK4" s="44"/>
      <c r="AML4" s="44"/>
      <c r="AMM4" s="44"/>
      <c r="AMN4" s="44"/>
      <c r="AMO4" s="44"/>
      <c r="AMP4" s="44"/>
      <c r="AMQ4" s="44"/>
      <c r="AMR4" s="44"/>
      <c r="AMS4" s="44"/>
      <c r="AMT4" s="44"/>
      <c r="AMU4" s="44"/>
      <c r="AMV4" s="44"/>
      <c r="AMW4" s="44"/>
      <c r="AMX4" s="43"/>
      <c r="AMY4" s="44"/>
      <c r="AMZ4" s="44"/>
      <c r="ANA4" s="44"/>
      <c r="ANB4" s="44"/>
      <c r="ANC4" s="44"/>
      <c r="AND4" s="44"/>
      <c r="ANE4" s="44"/>
      <c r="ANF4" s="44"/>
      <c r="ANG4" s="44"/>
      <c r="ANH4" s="44"/>
      <c r="ANI4" s="44"/>
      <c r="ANJ4" s="44"/>
      <c r="ANK4" s="44"/>
      <c r="ANL4" s="44"/>
      <c r="ANM4" s="43"/>
      <c r="ANN4" s="44"/>
      <c r="ANO4" s="44"/>
      <c r="ANP4" s="44"/>
      <c r="ANQ4" s="44"/>
      <c r="ANR4" s="44"/>
      <c r="ANS4" s="44"/>
      <c r="ANT4" s="44"/>
      <c r="ANU4" s="44"/>
      <c r="ANV4" s="44"/>
      <c r="ANW4" s="44"/>
      <c r="ANX4" s="44"/>
      <c r="ANY4" s="44"/>
      <c r="ANZ4" s="44"/>
      <c r="AOA4" s="44"/>
      <c r="AOB4" s="43"/>
      <c r="AOC4" s="44"/>
      <c r="AOD4" s="44"/>
      <c r="AOE4" s="44"/>
      <c r="AOF4" s="44"/>
      <c r="AOG4" s="44"/>
      <c r="AOH4" s="44"/>
      <c r="AOI4" s="44"/>
      <c r="AOJ4" s="44"/>
      <c r="AOK4" s="44"/>
      <c r="AOL4" s="44"/>
      <c r="AOM4" s="44"/>
      <c r="AON4" s="44"/>
      <c r="AOO4" s="44"/>
      <c r="AOP4" s="44"/>
      <c r="AOQ4" s="43"/>
      <c r="AOR4" s="44"/>
      <c r="AOS4" s="44"/>
      <c r="AOT4" s="44"/>
      <c r="AOU4" s="44"/>
      <c r="AOV4" s="44"/>
      <c r="AOW4" s="44"/>
      <c r="AOX4" s="44"/>
      <c r="AOY4" s="44"/>
      <c r="AOZ4" s="44"/>
      <c r="APA4" s="44"/>
      <c r="APB4" s="44"/>
      <c r="APC4" s="44"/>
      <c r="APD4" s="44"/>
      <c r="APE4" s="44"/>
      <c r="APF4" s="43"/>
      <c r="APG4" s="44"/>
      <c r="APH4" s="44"/>
      <c r="API4" s="44"/>
      <c r="APJ4" s="44"/>
      <c r="APK4" s="44"/>
      <c r="APL4" s="44"/>
      <c r="APM4" s="44"/>
      <c r="APN4" s="44"/>
      <c r="APO4" s="44"/>
      <c r="APP4" s="44"/>
      <c r="APQ4" s="44"/>
      <c r="APR4" s="44"/>
      <c r="APS4" s="44"/>
      <c r="APT4" s="44"/>
      <c r="APU4" s="43"/>
      <c r="APV4" s="44"/>
      <c r="APW4" s="44"/>
      <c r="APX4" s="44"/>
      <c r="APY4" s="44"/>
      <c r="APZ4" s="44"/>
      <c r="AQA4" s="44"/>
      <c r="AQB4" s="44"/>
      <c r="AQC4" s="44"/>
      <c r="AQD4" s="44"/>
      <c r="AQE4" s="44"/>
      <c r="AQF4" s="44"/>
      <c r="AQG4" s="44"/>
      <c r="AQH4" s="44"/>
      <c r="AQI4" s="44"/>
      <c r="AQJ4" s="43"/>
      <c r="AQK4" s="44"/>
      <c r="AQL4" s="44"/>
      <c r="AQM4" s="44"/>
      <c r="AQN4" s="44"/>
      <c r="AQO4" s="44"/>
      <c r="AQP4" s="44"/>
      <c r="AQQ4" s="44"/>
      <c r="AQR4" s="44"/>
      <c r="AQS4" s="44"/>
      <c r="AQT4" s="44"/>
      <c r="AQU4" s="44"/>
      <c r="AQV4" s="44"/>
      <c r="AQW4" s="44"/>
      <c r="AQX4" s="44"/>
      <c r="AQY4" s="43"/>
      <c r="AQZ4" s="44"/>
      <c r="ARA4" s="44"/>
      <c r="ARB4" s="44"/>
      <c r="ARC4" s="44"/>
      <c r="ARD4" s="44"/>
      <c r="ARE4" s="44"/>
      <c r="ARF4" s="44"/>
      <c r="ARG4" s="44"/>
      <c r="ARH4" s="44"/>
      <c r="ARI4" s="44"/>
      <c r="ARJ4" s="44"/>
      <c r="ARK4" s="44"/>
      <c r="ARL4" s="44"/>
      <c r="ARM4" s="44"/>
      <c r="ARN4" s="43"/>
      <c r="ARO4" s="44"/>
      <c r="ARP4" s="44"/>
      <c r="ARQ4" s="44"/>
      <c r="ARR4" s="44"/>
      <c r="ARS4" s="44"/>
      <c r="ART4" s="44"/>
      <c r="ARU4" s="44"/>
      <c r="ARV4" s="44"/>
      <c r="ARW4" s="44"/>
      <c r="ARX4" s="44"/>
      <c r="ARY4" s="44"/>
      <c r="ARZ4" s="44"/>
      <c r="ASA4" s="44"/>
      <c r="ASB4" s="44"/>
      <c r="ASC4" s="43"/>
      <c r="ASD4" s="44"/>
      <c r="ASE4" s="44"/>
      <c r="ASF4" s="44"/>
      <c r="ASG4" s="44"/>
      <c r="ASH4" s="44"/>
      <c r="ASI4" s="44"/>
      <c r="ASJ4" s="44"/>
      <c r="ASK4" s="44"/>
      <c r="ASL4" s="44"/>
      <c r="ASM4" s="44"/>
      <c r="ASN4" s="44"/>
      <c r="ASO4" s="44"/>
      <c r="ASP4" s="44"/>
      <c r="ASQ4" s="44"/>
      <c r="ASR4" s="43"/>
      <c r="ASS4" s="44"/>
      <c r="AST4" s="44"/>
      <c r="ASU4" s="44"/>
      <c r="ASV4" s="44"/>
      <c r="ASW4" s="44"/>
      <c r="ASX4" s="44"/>
      <c r="ASY4" s="44"/>
      <c r="ASZ4" s="44"/>
      <c r="ATA4" s="44"/>
      <c r="ATB4" s="44"/>
      <c r="ATC4" s="44"/>
      <c r="ATD4" s="44"/>
      <c r="ATE4" s="44"/>
      <c r="ATF4" s="44"/>
      <c r="ATG4" s="43"/>
      <c r="ATH4" s="44"/>
      <c r="ATI4" s="44"/>
      <c r="ATJ4" s="44"/>
      <c r="ATK4" s="44"/>
      <c r="ATL4" s="44"/>
      <c r="ATM4" s="44"/>
      <c r="ATN4" s="44"/>
      <c r="ATO4" s="44"/>
      <c r="ATP4" s="44"/>
      <c r="ATQ4" s="44"/>
      <c r="ATR4" s="44"/>
      <c r="ATS4" s="44"/>
      <c r="ATT4" s="44"/>
      <c r="ATU4" s="44"/>
      <c r="ATV4" s="43"/>
      <c r="ATW4" s="44"/>
      <c r="ATX4" s="44"/>
      <c r="ATY4" s="44"/>
      <c r="ATZ4" s="44"/>
      <c r="AUA4" s="44"/>
      <c r="AUB4" s="44"/>
      <c r="AUC4" s="44"/>
      <c r="AUD4" s="44"/>
      <c r="AUE4" s="44"/>
      <c r="AUF4" s="44"/>
      <c r="AUG4" s="44"/>
      <c r="AUH4" s="44"/>
      <c r="AUI4" s="44"/>
      <c r="AUJ4" s="44"/>
      <c r="AUK4" s="43"/>
      <c r="AUL4" s="44"/>
      <c r="AUM4" s="44"/>
      <c r="AUN4" s="44"/>
      <c r="AUO4" s="44"/>
      <c r="AUP4" s="44"/>
      <c r="AUQ4" s="44"/>
      <c r="AUR4" s="44"/>
      <c r="AUS4" s="44"/>
      <c r="AUT4" s="44"/>
      <c r="AUU4" s="44"/>
      <c r="AUV4" s="44"/>
      <c r="AUW4" s="44"/>
      <c r="AUX4" s="44"/>
      <c r="AUY4" s="44"/>
      <c r="AUZ4" s="43"/>
      <c r="AVA4" s="44"/>
      <c r="AVB4" s="44"/>
      <c r="AVC4" s="44"/>
      <c r="AVD4" s="44"/>
      <c r="AVE4" s="44"/>
      <c r="AVF4" s="44"/>
      <c r="AVG4" s="44"/>
      <c r="AVH4" s="44"/>
      <c r="AVI4" s="44"/>
      <c r="AVJ4" s="44"/>
      <c r="AVK4" s="44"/>
      <c r="AVL4" s="44"/>
      <c r="AVM4" s="44"/>
      <c r="AVN4" s="44"/>
      <c r="AVO4" s="43"/>
      <c r="AVP4" s="44"/>
      <c r="AVQ4" s="44"/>
      <c r="AVR4" s="44"/>
      <c r="AVS4" s="44"/>
      <c r="AVT4" s="44"/>
      <c r="AVU4" s="44"/>
      <c r="AVV4" s="44"/>
      <c r="AVW4" s="44"/>
      <c r="AVX4" s="44"/>
      <c r="AVY4" s="44"/>
      <c r="AVZ4" s="44"/>
      <c r="AWA4" s="44"/>
      <c r="AWB4" s="44"/>
      <c r="AWC4" s="44"/>
      <c r="AWD4" s="43"/>
      <c r="AWE4" s="44"/>
      <c r="AWF4" s="44"/>
      <c r="AWG4" s="44"/>
      <c r="AWH4" s="44"/>
      <c r="AWI4" s="44"/>
      <c r="AWJ4" s="44"/>
      <c r="AWK4" s="44"/>
      <c r="AWL4" s="44"/>
      <c r="AWM4" s="44"/>
      <c r="AWN4" s="44"/>
      <c r="AWO4" s="44"/>
      <c r="AWP4" s="44"/>
      <c r="AWQ4" s="44"/>
      <c r="AWR4" s="44"/>
      <c r="AWS4" s="43"/>
      <c r="AWT4" s="44"/>
      <c r="AWU4" s="44"/>
      <c r="AWV4" s="44"/>
      <c r="AWW4" s="44"/>
      <c r="AWX4" s="44"/>
      <c r="AWY4" s="44"/>
      <c r="AWZ4" s="44"/>
      <c r="AXA4" s="44"/>
      <c r="AXB4" s="44"/>
      <c r="AXC4" s="44"/>
      <c r="AXD4" s="44"/>
      <c r="AXE4" s="44"/>
      <c r="AXF4" s="44"/>
      <c r="AXG4" s="44"/>
      <c r="AXH4" s="43"/>
      <c r="AXI4" s="44"/>
      <c r="AXJ4" s="44"/>
      <c r="AXK4" s="44"/>
      <c r="AXL4" s="44"/>
      <c r="AXM4" s="44"/>
      <c r="AXN4" s="44"/>
      <c r="AXO4" s="44"/>
      <c r="AXP4" s="44"/>
      <c r="AXQ4" s="44"/>
      <c r="AXR4" s="44"/>
      <c r="AXS4" s="44"/>
      <c r="AXT4" s="44"/>
      <c r="AXU4" s="44"/>
      <c r="AXV4" s="44"/>
      <c r="AXW4" s="43"/>
      <c r="AXX4" s="44"/>
      <c r="AXY4" s="44"/>
      <c r="AXZ4" s="44"/>
      <c r="AYA4" s="44"/>
      <c r="AYB4" s="44"/>
      <c r="AYC4" s="44"/>
      <c r="AYD4" s="44"/>
      <c r="AYE4" s="44"/>
      <c r="AYF4" s="44"/>
      <c r="AYG4" s="44"/>
      <c r="AYH4" s="44"/>
      <c r="AYI4" s="44"/>
      <c r="AYJ4" s="44"/>
      <c r="AYK4" s="44"/>
      <c r="AYL4" s="43"/>
      <c r="AYM4" s="44"/>
      <c r="AYN4" s="44"/>
      <c r="AYO4" s="44"/>
      <c r="AYP4" s="44"/>
      <c r="AYQ4" s="44"/>
      <c r="AYR4" s="44"/>
      <c r="AYS4" s="44"/>
      <c r="AYT4" s="44"/>
      <c r="AYU4" s="44"/>
      <c r="AYV4" s="44"/>
      <c r="AYW4" s="44"/>
      <c r="AYX4" s="44"/>
      <c r="AYY4" s="44"/>
      <c r="AYZ4" s="44"/>
      <c r="AZA4" s="43"/>
      <c r="AZB4" s="44"/>
      <c r="AZC4" s="44"/>
      <c r="AZD4" s="44"/>
      <c r="AZE4" s="44"/>
      <c r="AZF4" s="44"/>
      <c r="AZG4" s="44"/>
      <c r="AZH4" s="44"/>
      <c r="AZI4" s="44"/>
      <c r="AZJ4" s="44"/>
      <c r="AZK4" s="44"/>
      <c r="AZL4" s="44"/>
      <c r="AZM4" s="44"/>
      <c r="AZN4" s="44"/>
      <c r="AZO4" s="44"/>
      <c r="AZP4" s="43"/>
      <c r="AZQ4" s="44"/>
      <c r="AZR4" s="44"/>
      <c r="AZS4" s="44"/>
      <c r="AZT4" s="44"/>
      <c r="AZU4" s="44"/>
      <c r="AZV4" s="44"/>
      <c r="AZW4" s="44"/>
      <c r="AZX4" s="44"/>
      <c r="AZY4" s="44"/>
      <c r="AZZ4" s="44"/>
      <c r="BAA4" s="44"/>
      <c r="BAB4" s="44"/>
      <c r="BAC4" s="44"/>
      <c r="BAD4" s="44"/>
      <c r="BAE4" s="43"/>
      <c r="BAF4" s="44"/>
      <c r="BAG4" s="44"/>
      <c r="BAH4" s="44"/>
      <c r="BAI4" s="44"/>
      <c r="BAJ4" s="44"/>
      <c r="BAK4" s="44"/>
      <c r="BAL4" s="44"/>
      <c r="BAM4" s="44"/>
      <c r="BAN4" s="44"/>
      <c r="BAO4" s="44"/>
      <c r="BAP4" s="44"/>
      <c r="BAQ4" s="44"/>
      <c r="BAR4" s="44"/>
      <c r="BAS4" s="44"/>
      <c r="BAT4" s="43"/>
      <c r="BAU4" s="44"/>
      <c r="BAV4" s="44"/>
      <c r="BAW4" s="44"/>
      <c r="BAX4" s="44"/>
      <c r="BAY4" s="44"/>
      <c r="BAZ4" s="44"/>
      <c r="BBA4" s="44"/>
      <c r="BBB4" s="44"/>
      <c r="BBC4" s="44"/>
      <c r="BBD4" s="44"/>
      <c r="BBE4" s="44"/>
      <c r="BBF4" s="44"/>
      <c r="BBG4" s="44"/>
      <c r="BBH4" s="44"/>
      <c r="BBI4" s="43"/>
      <c r="BBJ4" s="44"/>
      <c r="BBK4" s="44"/>
      <c r="BBL4" s="44"/>
      <c r="BBM4" s="44"/>
      <c r="BBN4" s="44"/>
      <c r="BBO4" s="44"/>
      <c r="BBP4" s="44"/>
      <c r="BBQ4" s="44"/>
      <c r="BBR4" s="44"/>
      <c r="BBS4" s="44"/>
      <c r="BBT4" s="44"/>
      <c r="BBU4" s="44"/>
      <c r="BBV4" s="44"/>
      <c r="BBW4" s="44"/>
      <c r="BBX4" s="43"/>
      <c r="BBY4" s="44"/>
      <c r="BBZ4" s="44"/>
      <c r="BCA4" s="44"/>
      <c r="BCB4" s="44"/>
      <c r="BCC4" s="44"/>
      <c r="BCD4" s="44"/>
      <c r="BCE4" s="44"/>
      <c r="BCF4" s="44"/>
      <c r="BCG4" s="44"/>
      <c r="BCH4" s="44"/>
      <c r="BCI4" s="44"/>
      <c r="BCJ4" s="44"/>
      <c r="BCK4" s="44"/>
      <c r="BCL4" s="44"/>
      <c r="BCM4" s="43"/>
      <c r="BCN4" s="44"/>
      <c r="BCO4" s="44"/>
      <c r="BCP4" s="44"/>
      <c r="BCQ4" s="44"/>
      <c r="BCR4" s="44"/>
      <c r="BCS4" s="44"/>
      <c r="BCT4" s="44"/>
      <c r="BCU4" s="44"/>
      <c r="BCV4" s="44"/>
      <c r="BCW4" s="44"/>
      <c r="BCX4" s="44"/>
      <c r="BCY4" s="44"/>
      <c r="BCZ4" s="44"/>
      <c r="BDA4" s="44"/>
      <c r="BDB4" s="43"/>
      <c r="BDC4" s="44"/>
      <c r="BDD4" s="44"/>
      <c r="BDE4" s="44"/>
      <c r="BDF4" s="44"/>
      <c r="BDG4" s="44"/>
      <c r="BDH4" s="44"/>
      <c r="BDI4" s="44"/>
      <c r="BDJ4" s="44"/>
      <c r="BDK4" s="44"/>
      <c r="BDL4" s="44"/>
      <c r="BDM4" s="44"/>
      <c r="BDN4" s="44"/>
      <c r="BDO4" s="44"/>
      <c r="BDP4" s="44"/>
      <c r="BDQ4" s="43"/>
      <c r="BDR4" s="44"/>
      <c r="BDS4" s="44"/>
      <c r="BDT4" s="44"/>
      <c r="BDU4" s="44"/>
      <c r="BDV4" s="44"/>
      <c r="BDW4" s="44"/>
      <c r="BDX4" s="44"/>
      <c r="BDY4" s="44"/>
      <c r="BDZ4" s="44"/>
      <c r="BEA4" s="44"/>
      <c r="BEB4" s="44"/>
      <c r="BEC4" s="44"/>
      <c r="BED4" s="44"/>
      <c r="BEE4" s="44"/>
      <c r="BEF4" s="43"/>
      <c r="BEG4" s="44"/>
      <c r="BEH4" s="44"/>
      <c r="BEI4" s="44"/>
      <c r="BEJ4" s="44"/>
      <c r="BEK4" s="44"/>
      <c r="BEL4" s="44"/>
      <c r="BEM4" s="44"/>
      <c r="BEN4" s="44"/>
      <c r="BEO4" s="44"/>
      <c r="BEP4" s="44"/>
      <c r="BEQ4" s="44"/>
      <c r="BER4" s="44"/>
      <c r="BES4" s="44"/>
      <c r="BET4" s="44"/>
      <c r="BEU4" s="43"/>
      <c r="BEV4" s="44"/>
      <c r="BEW4" s="44"/>
      <c r="BEX4" s="44"/>
      <c r="BEY4" s="44"/>
      <c r="BEZ4" s="44"/>
      <c r="BFA4" s="44"/>
      <c r="BFB4" s="44"/>
      <c r="BFC4" s="44"/>
      <c r="BFD4" s="44"/>
      <c r="BFE4" s="44"/>
      <c r="BFF4" s="44"/>
      <c r="BFG4" s="44"/>
      <c r="BFH4" s="44"/>
      <c r="BFI4" s="44"/>
      <c r="BFJ4" s="43"/>
      <c r="BFK4" s="44"/>
      <c r="BFL4" s="44"/>
      <c r="BFM4" s="44"/>
      <c r="BFN4" s="44"/>
      <c r="BFO4" s="44"/>
      <c r="BFP4" s="44"/>
      <c r="BFQ4" s="44"/>
      <c r="BFR4" s="44"/>
      <c r="BFS4" s="44"/>
      <c r="BFT4" s="44"/>
      <c r="BFU4" s="44"/>
      <c r="BFV4" s="44"/>
      <c r="BFW4" s="44"/>
      <c r="BFX4" s="44"/>
      <c r="BFY4" s="43"/>
      <c r="BFZ4" s="44"/>
      <c r="BGA4" s="44"/>
      <c r="BGB4" s="44"/>
      <c r="BGC4" s="44"/>
      <c r="BGD4" s="44"/>
      <c r="BGE4" s="44"/>
      <c r="BGF4" s="44"/>
      <c r="BGG4" s="44"/>
      <c r="BGH4" s="44"/>
      <c r="BGI4" s="44"/>
      <c r="BGJ4" s="44"/>
      <c r="BGK4" s="44"/>
      <c r="BGL4" s="44"/>
      <c r="BGM4" s="44"/>
      <c r="BGN4" s="43"/>
      <c r="BGO4" s="44"/>
      <c r="BGP4" s="44"/>
      <c r="BGQ4" s="44"/>
      <c r="BGR4" s="44"/>
      <c r="BGS4" s="44"/>
      <c r="BGT4" s="44"/>
      <c r="BGU4" s="44"/>
      <c r="BGV4" s="44"/>
      <c r="BGW4" s="44"/>
      <c r="BGX4" s="44"/>
      <c r="BGY4" s="44"/>
      <c r="BGZ4" s="44"/>
      <c r="BHA4" s="44"/>
      <c r="BHB4" s="44"/>
      <c r="BHC4" s="43"/>
      <c r="BHD4" s="44"/>
      <c r="BHE4" s="44"/>
      <c r="BHF4" s="44"/>
      <c r="BHG4" s="44"/>
      <c r="BHH4" s="44"/>
      <c r="BHI4" s="44"/>
      <c r="BHJ4" s="44"/>
      <c r="BHK4" s="44"/>
      <c r="BHL4" s="44"/>
      <c r="BHM4" s="44"/>
      <c r="BHN4" s="44"/>
      <c r="BHO4" s="44"/>
      <c r="BHP4" s="44"/>
      <c r="BHQ4" s="44"/>
      <c r="BHR4" s="43"/>
      <c r="BHS4" s="44"/>
      <c r="BHT4" s="44"/>
      <c r="BHU4" s="44"/>
      <c r="BHV4" s="44"/>
      <c r="BHW4" s="44"/>
      <c r="BHX4" s="44"/>
      <c r="BHY4" s="44"/>
      <c r="BHZ4" s="44"/>
      <c r="BIA4" s="44"/>
      <c r="BIB4" s="44"/>
      <c r="BIC4" s="44"/>
      <c r="BID4" s="44"/>
      <c r="BIE4" s="44"/>
      <c r="BIF4" s="44"/>
      <c r="BIG4" s="43"/>
      <c r="BIH4" s="44"/>
      <c r="BII4" s="44"/>
      <c r="BIJ4" s="44"/>
      <c r="BIK4" s="44"/>
      <c r="BIL4" s="44"/>
      <c r="BIM4" s="44"/>
      <c r="BIN4" s="44"/>
      <c r="BIO4" s="44"/>
      <c r="BIP4" s="44"/>
      <c r="BIQ4" s="44"/>
      <c r="BIR4" s="44"/>
      <c r="BIS4" s="44"/>
      <c r="BIT4" s="44"/>
      <c r="BIU4" s="44"/>
      <c r="BIV4" s="43"/>
      <c r="BIW4" s="44"/>
      <c r="BIX4" s="44"/>
      <c r="BIY4" s="44"/>
      <c r="BIZ4" s="44"/>
      <c r="BJA4" s="44"/>
      <c r="BJB4" s="44"/>
      <c r="BJC4" s="44"/>
      <c r="BJD4" s="44"/>
      <c r="BJE4" s="44"/>
      <c r="BJF4" s="44"/>
      <c r="BJG4" s="44"/>
      <c r="BJH4" s="44"/>
      <c r="BJI4" s="44"/>
      <c r="BJJ4" s="44"/>
      <c r="BJK4" s="43"/>
      <c r="BJL4" s="44"/>
      <c r="BJM4" s="44"/>
      <c r="BJN4" s="44"/>
      <c r="BJO4" s="44"/>
      <c r="BJP4" s="44"/>
      <c r="BJQ4" s="44"/>
      <c r="BJR4" s="44"/>
      <c r="BJS4" s="44"/>
      <c r="BJT4" s="44"/>
      <c r="BJU4" s="44"/>
      <c r="BJV4" s="44"/>
      <c r="BJW4" s="44"/>
      <c r="BJX4" s="44"/>
      <c r="BJY4" s="44"/>
      <c r="BJZ4" s="43"/>
      <c r="BKA4" s="44"/>
      <c r="BKB4" s="44"/>
      <c r="BKC4" s="44"/>
      <c r="BKD4" s="44"/>
      <c r="BKE4" s="44"/>
      <c r="BKF4" s="44"/>
      <c r="BKG4" s="44"/>
      <c r="BKH4" s="44"/>
      <c r="BKI4" s="44"/>
      <c r="BKJ4" s="44"/>
      <c r="BKK4" s="44"/>
      <c r="BKL4" s="44"/>
      <c r="BKM4" s="44"/>
      <c r="BKN4" s="44"/>
      <c r="BKO4" s="43"/>
      <c r="BKP4" s="44"/>
      <c r="BKQ4" s="44"/>
      <c r="BKR4" s="44"/>
      <c r="BKS4" s="44"/>
      <c r="BKT4" s="44"/>
      <c r="BKU4" s="44"/>
      <c r="BKV4" s="44"/>
      <c r="BKW4" s="44"/>
      <c r="BKX4" s="44"/>
      <c r="BKY4" s="44"/>
      <c r="BKZ4" s="44"/>
      <c r="BLA4" s="44"/>
      <c r="BLB4" s="44"/>
      <c r="BLC4" s="44"/>
      <c r="BLD4" s="43"/>
      <c r="BLE4" s="44"/>
      <c r="BLF4" s="44"/>
      <c r="BLG4" s="44"/>
      <c r="BLH4" s="44"/>
      <c r="BLI4" s="44"/>
      <c r="BLJ4" s="44"/>
      <c r="BLK4" s="44"/>
      <c r="BLL4" s="44"/>
      <c r="BLM4" s="44"/>
      <c r="BLN4" s="44"/>
      <c r="BLO4" s="44"/>
      <c r="BLP4" s="44"/>
      <c r="BLQ4" s="44"/>
      <c r="BLR4" s="44"/>
      <c r="BLS4" s="43"/>
      <c r="BLT4" s="44"/>
      <c r="BLU4" s="44"/>
      <c r="BLV4" s="44"/>
      <c r="BLW4" s="44"/>
      <c r="BLX4" s="44"/>
      <c r="BLY4" s="44"/>
      <c r="BLZ4" s="44"/>
      <c r="BMA4" s="44"/>
      <c r="BMB4" s="44"/>
      <c r="BMC4" s="44"/>
      <c r="BMD4" s="44"/>
      <c r="BME4" s="44"/>
      <c r="BMF4" s="44"/>
      <c r="BMG4" s="44"/>
      <c r="BMH4" s="43"/>
      <c r="BMI4" s="44"/>
      <c r="BMJ4" s="44"/>
      <c r="BMK4" s="44"/>
      <c r="BML4" s="44"/>
      <c r="BMM4" s="44"/>
      <c r="BMN4" s="44"/>
      <c r="BMO4" s="44"/>
      <c r="BMP4" s="44"/>
      <c r="BMQ4" s="44"/>
      <c r="BMR4" s="44"/>
      <c r="BMS4" s="44"/>
      <c r="BMT4" s="44"/>
      <c r="BMU4" s="44"/>
      <c r="BMV4" s="44"/>
      <c r="BMW4" s="43"/>
      <c r="BMX4" s="44"/>
      <c r="BMY4" s="44"/>
      <c r="BMZ4" s="44"/>
      <c r="BNA4" s="44"/>
      <c r="BNB4" s="44"/>
      <c r="BNC4" s="44"/>
      <c r="BND4" s="44"/>
      <c r="BNE4" s="44"/>
      <c r="BNF4" s="44"/>
      <c r="BNG4" s="44"/>
      <c r="BNH4" s="44"/>
      <c r="BNI4" s="44"/>
      <c r="BNJ4" s="44"/>
      <c r="BNK4" s="44"/>
      <c r="BNL4" s="43"/>
      <c r="BNM4" s="44"/>
      <c r="BNN4" s="44"/>
      <c r="BNO4" s="44"/>
      <c r="BNP4" s="44"/>
      <c r="BNQ4" s="44"/>
      <c r="BNR4" s="44"/>
      <c r="BNS4" s="44"/>
      <c r="BNT4" s="44"/>
      <c r="BNU4" s="44"/>
      <c r="BNV4" s="44"/>
      <c r="BNW4" s="44"/>
      <c r="BNX4" s="44"/>
      <c r="BNY4" s="44"/>
      <c r="BNZ4" s="44"/>
      <c r="BOA4" s="43"/>
      <c r="BOB4" s="44"/>
      <c r="BOC4" s="44"/>
      <c r="BOD4" s="44"/>
      <c r="BOE4" s="44"/>
      <c r="BOF4" s="44"/>
      <c r="BOG4" s="44"/>
      <c r="BOH4" s="44"/>
      <c r="BOI4" s="44"/>
      <c r="BOJ4" s="44"/>
      <c r="BOK4" s="44"/>
      <c r="BOL4" s="44"/>
      <c r="BOM4" s="44"/>
      <c r="BON4" s="44"/>
      <c r="BOO4" s="44"/>
      <c r="BOP4" s="43"/>
      <c r="BOQ4" s="44"/>
      <c r="BOR4" s="44"/>
      <c r="BOS4" s="44"/>
      <c r="BOT4" s="44"/>
      <c r="BOU4" s="44"/>
      <c r="BOV4" s="44"/>
      <c r="BOW4" s="44"/>
      <c r="BOX4" s="44"/>
      <c r="BOY4" s="44"/>
      <c r="BOZ4" s="44"/>
      <c r="BPA4" s="44"/>
      <c r="BPB4" s="44"/>
      <c r="BPC4" s="44"/>
      <c r="BPD4" s="44"/>
      <c r="BPE4" s="43"/>
      <c r="BPF4" s="44"/>
      <c r="BPG4" s="44"/>
      <c r="BPH4" s="44"/>
      <c r="BPI4" s="44"/>
      <c r="BPJ4" s="44"/>
      <c r="BPK4" s="44"/>
      <c r="BPL4" s="44"/>
      <c r="BPM4" s="44"/>
      <c r="BPN4" s="44"/>
      <c r="BPO4" s="44"/>
      <c r="BPP4" s="44"/>
      <c r="BPQ4" s="44"/>
      <c r="BPR4" s="44"/>
      <c r="BPS4" s="44"/>
      <c r="BPT4" s="43"/>
      <c r="BPU4" s="44"/>
      <c r="BPV4" s="44"/>
      <c r="BPW4" s="44"/>
      <c r="BPX4" s="44"/>
      <c r="BPY4" s="44"/>
      <c r="BPZ4" s="44"/>
      <c r="BQA4" s="44"/>
      <c r="BQB4" s="44"/>
      <c r="BQC4" s="44"/>
      <c r="BQD4" s="44"/>
      <c r="BQE4" s="44"/>
      <c r="BQF4" s="44"/>
      <c r="BQG4" s="44"/>
      <c r="BQH4" s="44"/>
      <c r="BQI4" s="43"/>
      <c r="BQJ4" s="44"/>
      <c r="BQK4" s="44"/>
      <c r="BQL4" s="44"/>
      <c r="BQM4" s="44"/>
      <c r="BQN4" s="44"/>
      <c r="BQO4" s="44"/>
      <c r="BQP4" s="44"/>
      <c r="BQQ4" s="44"/>
      <c r="BQR4" s="44"/>
      <c r="BQS4" s="44"/>
      <c r="BQT4" s="44"/>
      <c r="BQU4" s="44"/>
      <c r="BQV4" s="44"/>
      <c r="BQW4" s="44"/>
      <c r="BQX4" s="43"/>
      <c r="BQY4" s="44"/>
      <c r="BQZ4" s="44"/>
      <c r="BRA4" s="44"/>
      <c r="BRB4" s="44"/>
      <c r="BRC4" s="44"/>
      <c r="BRD4" s="44"/>
      <c r="BRE4" s="44"/>
      <c r="BRF4" s="44"/>
      <c r="BRG4" s="44"/>
      <c r="BRH4" s="44"/>
      <c r="BRI4" s="44"/>
      <c r="BRJ4" s="44"/>
      <c r="BRK4" s="44"/>
      <c r="BRL4" s="44"/>
      <c r="BRM4" s="43"/>
      <c r="BRN4" s="44"/>
      <c r="BRO4" s="44"/>
      <c r="BRP4" s="44"/>
      <c r="BRQ4" s="44"/>
      <c r="BRR4" s="44"/>
      <c r="BRS4" s="44"/>
      <c r="BRT4" s="44"/>
      <c r="BRU4" s="44"/>
      <c r="BRV4" s="44"/>
      <c r="BRW4" s="44"/>
      <c r="BRX4" s="44"/>
      <c r="BRY4" s="44"/>
      <c r="BRZ4" s="44"/>
      <c r="BSA4" s="44"/>
      <c r="BSB4" s="43"/>
      <c r="BSC4" s="44"/>
      <c r="BSD4" s="44"/>
      <c r="BSE4" s="44"/>
      <c r="BSF4" s="44"/>
      <c r="BSG4" s="44"/>
      <c r="BSH4" s="44"/>
      <c r="BSI4" s="44"/>
      <c r="BSJ4" s="44"/>
      <c r="BSK4" s="44"/>
      <c r="BSL4" s="44"/>
      <c r="BSM4" s="44"/>
      <c r="BSN4" s="44"/>
      <c r="BSO4" s="44"/>
      <c r="BSP4" s="44"/>
      <c r="BSQ4" s="43"/>
      <c r="BSR4" s="44"/>
      <c r="BSS4" s="44"/>
      <c r="BST4" s="44"/>
      <c r="BSU4" s="44"/>
      <c r="BSV4" s="44"/>
      <c r="BSW4" s="44"/>
      <c r="BSX4" s="44"/>
      <c r="BSY4" s="44"/>
      <c r="BSZ4" s="44"/>
      <c r="BTA4" s="44"/>
      <c r="BTB4" s="44"/>
      <c r="BTC4" s="44"/>
      <c r="BTD4" s="44"/>
      <c r="BTE4" s="44"/>
      <c r="BTF4" s="43"/>
      <c r="BTG4" s="44"/>
      <c r="BTH4" s="44"/>
      <c r="BTI4" s="44"/>
      <c r="BTJ4" s="44"/>
      <c r="BTK4" s="44"/>
      <c r="BTL4" s="44"/>
      <c r="BTM4" s="44"/>
      <c r="BTN4" s="44"/>
      <c r="BTO4" s="44"/>
      <c r="BTP4" s="44"/>
      <c r="BTQ4" s="44"/>
      <c r="BTR4" s="44"/>
      <c r="BTS4" s="44"/>
      <c r="BTT4" s="44"/>
      <c r="BTU4" s="43"/>
      <c r="BTV4" s="44"/>
      <c r="BTW4" s="44"/>
      <c r="BTX4" s="44"/>
      <c r="BTY4" s="44"/>
      <c r="BTZ4" s="44"/>
      <c r="BUA4" s="44"/>
      <c r="BUB4" s="44"/>
      <c r="BUC4" s="44"/>
      <c r="BUD4" s="44"/>
      <c r="BUE4" s="44"/>
      <c r="BUF4" s="44"/>
      <c r="BUG4" s="44"/>
      <c r="BUH4" s="44"/>
      <c r="BUI4" s="44"/>
      <c r="BUJ4" s="43"/>
      <c r="BUK4" s="44"/>
      <c r="BUL4" s="44"/>
      <c r="BUM4" s="44"/>
      <c r="BUN4" s="44"/>
      <c r="BUO4" s="44"/>
      <c r="BUP4" s="44"/>
      <c r="BUQ4" s="44"/>
      <c r="BUR4" s="44"/>
      <c r="BUS4" s="44"/>
      <c r="BUT4" s="44"/>
      <c r="BUU4" s="44"/>
      <c r="BUV4" s="44"/>
      <c r="BUW4" s="44"/>
      <c r="BUX4" s="44"/>
      <c r="BUY4" s="43"/>
      <c r="BUZ4" s="44"/>
      <c r="BVA4" s="44"/>
      <c r="BVB4" s="44"/>
      <c r="BVC4" s="44"/>
      <c r="BVD4" s="44"/>
      <c r="BVE4" s="44"/>
      <c r="BVF4" s="44"/>
      <c r="BVG4" s="44"/>
      <c r="BVH4" s="44"/>
      <c r="BVI4" s="44"/>
      <c r="BVJ4" s="44"/>
      <c r="BVK4" s="44"/>
      <c r="BVL4" s="44"/>
      <c r="BVM4" s="44"/>
      <c r="BVN4" s="43"/>
      <c r="BVO4" s="44"/>
      <c r="BVP4" s="44"/>
      <c r="BVQ4" s="44"/>
      <c r="BVR4" s="44"/>
      <c r="BVS4" s="44"/>
      <c r="BVT4" s="44"/>
      <c r="BVU4" s="44"/>
      <c r="BVV4" s="44"/>
      <c r="BVW4" s="44"/>
      <c r="BVX4" s="44"/>
      <c r="BVY4" s="44"/>
      <c r="BVZ4" s="44"/>
      <c r="BWA4" s="44"/>
      <c r="BWB4" s="44"/>
      <c r="BWC4" s="43"/>
      <c r="BWD4" s="44"/>
      <c r="BWE4" s="44"/>
      <c r="BWF4" s="44"/>
      <c r="BWG4" s="44"/>
      <c r="BWH4" s="44"/>
      <c r="BWI4" s="44"/>
      <c r="BWJ4" s="44"/>
      <c r="BWK4" s="44"/>
      <c r="BWL4" s="44"/>
      <c r="BWM4" s="44"/>
      <c r="BWN4" s="44"/>
      <c r="BWO4" s="44"/>
      <c r="BWP4" s="44"/>
      <c r="BWQ4" s="44"/>
      <c r="BWR4" s="43"/>
      <c r="BWS4" s="44"/>
      <c r="BWT4" s="44"/>
      <c r="BWU4" s="44"/>
      <c r="BWV4" s="44"/>
      <c r="BWW4" s="44"/>
      <c r="BWX4" s="44"/>
      <c r="BWY4" s="44"/>
      <c r="BWZ4" s="44"/>
      <c r="BXA4" s="44"/>
      <c r="BXB4" s="44"/>
      <c r="BXC4" s="44"/>
      <c r="BXD4" s="44"/>
      <c r="BXE4" s="44"/>
      <c r="BXF4" s="44"/>
      <c r="BXG4" s="43"/>
      <c r="BXH4" s="44"/>
      <c r="BXI4" s="44"/>
      <c r="BXJ4" s="44"/>
      <c r="BXK4" s="44"/>
      <c r="BXL4" s="44"/>
      <c r="BXM4" s="44"/>
      <c r="BXN4" s="44"/>
      <c r="BXO4" s="44"/>
      <c r="BXP4" s="44"/>
      <c r="BXQ4" s="44"/>
      <c r="BXR4" s="44"/>
      <c r="BXS4" s="44"/>
      <c r="BXT4" s="44"/>
      <c r="BXU4" s="44"/>
      <c r="BXV4" s="43"/>
      <c r="BXW4" s="44"/>
      <c r="BXX4" s="44"/>
      <c r="BXY4" s="44"/>
      <c r="BXZ4" s="44"/>
      <c r="BYA4" s="44"/>
      <c r="BYB4" s="44"/>
      <c r="BYC4" s="44"/>
      <c r="BYD4" s="44"/>
      <c r="BYE4" s="44"/>
      <c r="BYF4" s="44"/>
      <c r="BYG4" s="44"/>
      <c r="BYH4" s="44"/>
      <c r="BYI4" s="44"/>
      <c r="BYJ4" s="44"/>
      <c r="BYK4" s="43"/>
      <c r="BYL4" s="44"/>
      <c r="BYM4" s="44"/>
      <c r="BYN4" s="44"/>
      <c r="BYO4" s="44"/>
      <c r="BYP4" s="44"/>
      <c r="BYQ4" s="44"/>
      <c r="BYR4" s="44"/>
      <c r="BYS4" s="44"/>
      <c r="BYT4" s="44"/>
      <c r="BYU4" s="44"/>
      <c r="BYV4" s="44"/>
      <c r="BYW4" s="44"/>
      <c r="BYX4" s="44"/>
      <c r="BYY4" s="44"/>
      <c r="BYZ4" s="43"/>
      <c r="BZA4" s="44"/>
      <c r="BZB4" s="44"/>
      <c r="BZC4" s="44"/>
      <c r="BZD4" s="44"/>
      <c r="BZE4" s="44"/>
      <c r="BZF4" s="44"/>
      <c r="BZG4" s="44"/>
      <c r="BZH4" s="44"/>
      <c r="BZI4" s="44"/>
      <c r="BZJ4" s="44"/>
      <c r="BZK4" s="44"/>
      <c r="BZL4" s="44"/>
      <c r="BZM4" s="44"/>
      <c r="BZN4" s="44"/>
      <c r="BZO4" s="43"/>
      <c r="BZP4" s="44"/>
      <c r="BZQ4" s="44"/>
      <c r="BZR4" s="44"/>
      <c r="BZS4" s="44"/>
      <c r="BZT4" s="44"/>
      <c r="BZU4" s="44"/>
      <c r="BZV4" s="44"/>
      <c r="BZW4" s="44"/>
      <c r="BZX4" s="44"/>
      <c r="BZY4" s="44"/>
      <c r="BZZ4" s="44"/>
      <c r="CAA4" s="44"/>
      <c r="CAB4" s="44"/>
      <c r="CAC4" s="44"/>
      <c r="CAD4" s="43"/>
      <c r="CAE4" s="44"/>
      <c r="CAF4" s="44"/>
      <c r="CAG4" s="44"/>
      <c r="CAH4" s="44"/>
      <c r="CAI4" s="44"/>
      <c r="CAJ4" s="44"/>
      <c r="CAK4" s="44"/>
      <c r="CAL4" s="44"/>
      <c r="CAM4" s="44"/>
      <c r="CAN4" s="44"/>
      <c r="CAO4" s="44"/>
      <c r="CAP4" s="44"/>
      <c r="CAQ4" s="44"/>
      <c r="CAR4" s="44"/>
      <c r="CAS4" s="43"/>
      <c r="CAT4" s="44"/>
      <c r="CAU4" s="44"/>
      <c r="CAV4" s="44"/>
      <c r="CAW4" s="44"/>
      <c r="CAX4" s="44"/>
      <c r="CAY4" s="44"/>
      <c r="CAZ4" s="44"/>
      <c r="CBA4" s="44"/>
      <c r="CBB4" s="44"/>
      <c r="CBC4" s="44"/>
      <c r="CBD4" s="44"/>
      <c r="CBE4" s="44"/>
      <c r="CBF4" s="44"/>
      <c r="CBG4" s="44"/>
      <c r="CBH4" s="43"/>
      <c r="CBI4" s="44"/>
      <c r="CBJ4" s="44"/>
      <c r="CBK4" s="44"/>
      <c r="CBL4" s="44"/>
      <c r="CBM4" s="44"/>
      <c r="CBN4" s="44"/>
      <c r="CBO4" s="44"/>
      <c r="CBP4" s="44"/>
      <c r="CBQ4" s="44"/>
      <c r="CBR4" s="44"/>
      <c r="CBS4" s="44"/>
      <c r="CBT4" s="44"/>
      <c r="CBU4" s="44"/>
      <c r="CBV4" s="44"/>
      <c r="CBW4" s="43"/>
      <c r="CBX4" s="44"/>
      <c r="CBY4" s="44"/>
      <c r="CBZ4" s="44"/>
      <c r="CCA4" s="44"/>
      <c r="CCB4" s="44"/>
      <c r="CCC4" s="44"/>
      <c r="CCD4" s="44"/>
      <c r="CCE4" s="44"/>
      <c r="CCF4" s="44"/>
      <c r="CCG4" s="44"/>
      <c r="CCH4" s="44"/>
      <c r="CCI4" s="44"/>
      <c r="CCJ4" s="44"/>
      <c r="CCK4" s="44"/>
      <c r="CCL4" s="43"/>
      <c r="CCM4" s="44"/>
      <c r="CCN4" s="44"/>
      <c r="CCO4" s="44"/>
      <c r="CCP4" s="44"/>
      <c r="CCQ4" s="44"/>
      <c r="CCR4" s="44"/>
      <c r="CCS4" s="44"/>
      <c r="CCT4" s="44"/>
      <c r="CCU4" s="44"/>
      <c r="CCV4" s="44"/>
      <c r="CCW4" s="44"/>
      <c r="CCX4" s="44"/>
      <c r="CCY4" s="44"/>
      <c r="CCZ4" s="44"/>
      <c r="CDA4" s="43"/>
      <c r="CDB4" s="44"/>
      <c r="CDC4" s="44"/>
      <c r="CDD4" s="44"/>
      <c r="CDE4" s="44"/>
      <c r="CDF4" s="44"/>
      <c r="CDG4" s="44"/>
      <c r="CDH4" s="44"/>
      <c r="CDI4" s="44"/>
      <c r="CDJ4" s="44"/>
      <c r="CDK4" s="44"/>
      <c r="CDL4" s="44"/>
      <c r="CDM4" s="44"/>
      <c r="CDN4" s="44"/>
      <c r="CDO4" s="44"/>
      <c r="CDP4" s="43"/>
      <c r="CDQ4" s="44"/>
      <c r="CDR4" s="44"/>
      <c r="CDS4" s="44"/>
      <c r="CDT4" s="44"/>
      <c r="CDU4" s="44"/>
      <c r="CDV4" s="44"/>
      <c r="CDW4" s="44"/>
      <c r="CDX4" s="44"/>
      <c r="CDY4" s="44"/>
      <c r="CDZ4" s="44"/>
      <c r="CEA4" s="44"/>
      <c r="CEB4" s="44"/>
      <c r="CEC4" s="44"/>
      <c r="CED4" s="44"/>
      <c r="CEE4" s="43"/>
      <c r="CEF4" s="44"/>
      <c r="CEG4" s="44"/>
      <c r="CEH4" s="44"/>
      <c r="CEI4" s="44"/>
      <c r="CEJ4" s="44"/>
      <c r="CEK4" s="44"/>
      <c r="CEL4" s="44"/>
      <c r="CEM4" s="44"/>
      <c r="CEN4" s="44"/>
      <c r="CEO4" s="44"/>
      <c r="CEP4" s="44"/>
      <c r="CEQ4" s="44"/>
      <c r="CER4" s="44"/>
      <c r="CES4" s="44"/>
      <c r="CET4" s="43"/>
      <c r="CEU4" s="44"/>
      <c r="CEV4" s="44"/>
      <c r="CEW4" s="44"/>
      <c r="CEX4" s="44"/>
      <c r="CEY4" s="44"/>
      <c r="CEZ4" s="44"/>
      <c r="CFA4" s="44"/>
      <c r="CFB4" s="44"/>
      <c r="CFC4" s="44"/>
      <c r="CFD4" s="44"/>
      <c r="CFE4" s="44"/>
      <c r="CFF4" s="44"/>
      <c r="CFG4" s="44"/>
      <c r="CFH4" s="44"/>
      <c r="CFI4" s="43"/>
      <c r="CFJ4" s="44"/>
      <c r="CFK4" s="44"/>
      <c r="CFL4" s="44"/>
      <c r="CFM4" s="44"/>
      <c r="CFN4" s="44"/>
      <c r="CFO4" s="44"/>
      <c r="CFP4" s="44"/>
      <c r="CFQ4" s="44"/>
      <c r="CFR4" s="44"/>
      <c r="CFS4" s="44"/>
      <c r="CFT4" s="44"/>
      <c r="CFU4" s="44"/>
      <c r="CFV4" s="44"/>
      <c r="CFW4" s="44"/>
      <c r="CFX4" s="43"/>
      <c r="CFY4" s="44"/>
      <c r="CFZ4" s="44"/>
      <c r="CGA4" s="44"/>
      <c r="CGB4" s="44"/>
      <c r="CGC4" s="44"/>
      <c r="CGD4" s="44"/>
      <c r="CGE4" s="44"/>
      <c r="CGF4" s="44"/>
      <c r="CGG4" s="44"/>
      <c r="CGH4" s="44"/>
      <c r="CGI4" s="44"/>
      <c r="CGJ4" s="44"/>
      <c r="CGK4" s="44"/>
      <c r="CGL4" s="44"/>
      <c r="CGM4" s="43"/>
      <c r="CGN4" s="44"/>
      <c r="CGO4" s="44"/>
      <c r="CGP4" s="44"/>
      <c r="CGQ4" s="44"/>
      <c r="CGR4" s="44"/>
      <c r="CGS4" s="44"/>
      <c r="CGT4" s="44"/>
      <c r="CGU4" s="44"/>
      <c r="CGV4" s="44"/>
      <c r="CGW4" s="44"/>
      <c r="CGX4" s="44"/>
      <c r="CGY4" s="44"/>
      <c r="CGZ4" s="44"/>
      <c r="CHA4" s="44"/>
      <c r="CHB4" s="43"/>
      <c r="CHC4" s="44"/>
      <c r="CHD4" s="44"/>
      <c r="CHE4" s="44"/>
      <c r="CHF4" s="44"/>
      <c r="CHG4" s="44"/>
      <c r="CHH4" s="44"/>
      <c r="CHI4" s="44"/>
      <c r="CHJ4" s="44"/>
      <c r="CHK4" s="44"/>
      <c r="CHL4" s="44"/>
      <c r="CHM4" s="44"/>
      <c r="CHN4" s="44"/>
      <c r="CHO4" s="44"/>
      <c r="CHP4" s="44"/>
      <c r="CHQ4" s="43"/>
      <c r="CHR4" s="44"/>
      <c r="CHS4" s="44"/>
      <c r="CHT4" s="44"/>
      <c r="CHU4" s="44"/>
      <c r="CHV4" s="44"/>
      <c r="CHW4" s="44"/>
      <c r="CHX4" s="44"/>
      <c r="CHY4" s="44"/>
      <c r="CHZ4" s="44"/>
      <c r="CIA4" s="44"/>
      <c r="CIB4" s="44"/>
      <c r="CIC4" s="44"/>
      <c r="CID4" s="44"/>
      <c r="CIE4" s="44"/>
      <c r="CIF4" s="43"/>
      <c r="CIG4" s="44"/>
      <c r="CIH4" s="44"/>
      <c r="CII4" s="44"/>
      <c r="CIJ4" s="44"/>
      <c r="CIK4" s="44"/>
      <c r="CIL4" s="44"/>
      <c r="CIM4" s="44"/>
      <c r="CIN4" s="44"/>
      <c r="CIO4" s="44"/>
      <c r="CIP4" s="44"/>
      <c r="CIQ4" s="44"/>
      <c r="CIR4" s="44"/>
      <c r="CIS4" s="44"/>
      <c r="CIT4" s="44"/>
      <c r="CIU4" s="43"/>
      <c r="CIV4" s="44"/>
      <c r="CIW4" s="44"/>
      <c r="CIX4" s="44"/>
      <c r="CIY4" s="44"/>
      <c r="CIZ4" s="44"/>
      <c r="CJA4" s="44"/>
      <c r="CJB4" s="44"/>
      <c r="CJC4" s="44"/>
      <c r="CJD4" s="44"/>
      <c r="CJE4" s="44"/>
      <c r="CJF4" s="44"/>
      <c r="CJG4" s="44"/>
      <c r="CJH4" s="44"/>
      <c r="CJI4" s="44"/>
      <c r="CJJ4" s="43"/>
      <c r="CJK4" s="44"/>
      <c r="CJL4" s="44"/>
      <c r="CJM4" s="44"/>
      <c r="CJN4" s="44"/>
      <c r="CJO4" s="44"/>
      <c r="CJP4" s="44"/>
      <c r="CJQ4" s="44"/>
      <c r="CJR4" s="44"/>
      <c r="CJS4" s="44"/>
      <c r="CJT4" s="44"/>
      <c r="CJU4" s="44"/>
      <c r="CJV4" s="44"/>
      <c r="CJW4" s="44"/>
      <c r="CJX4" s="44"/>
      <c r="CJY4" s="43"/>
      <c r="CJZ4" s="44"/>
      <c r="CKA4" s="44"/>
      <c r="CKB4" s="44"/>
      <c r="CKC4" s="44"/>
      <c r="CKD4" s="44"/>
      <c r="CKE4" s="44"/>
      <c r="CKF4" s="44"/>
      <c r="CKG4" s="44"/>
      <c r="CKH4" s="44"/>
      <c r="CKI4" s="44"/>
      <c r="CKJ4" s="44"/>
      <c r="CKK4" s="44"/>
      <c r="CKL4" s="44"/>
      <c r="CKM4" s="44"/>
      <c r="CKN4" s="43"/>
      <c r="CKO4" s="44"/>
      <c r="CKP4" s="44"/>
      <c r="CKQ4" s="44"/>
      <c r="CKR4" s="44"/>
      <c r="CKS4" s="44"/>
      <c r="CKT4" s="44"/>
      <c r="CKU4" s="44"/>
      <c r="CKV4" s="44"/>
      <c r="CKW4" s="44"/>
      <c r="CKX4" s="44"/>
      <c r="CKY4" s="44"/>
      <c r="CKZ4" s="44"/>
      <c r="CLA4" s="44"/>
      <c r="CLB4" s="44"/>
      <c r="CLC4" s="43"/>
      <c r="CLD4" s="44"/>
      <c r="CLE4" s="44"/>
      <c r="CLF4" s="44"/>
      <c r="CLG4" s="44"/>
      <c r="CLH4" s="44"/>
      <c r="CLI4" s="44"/>
      <c r="CLJ4" s="44"/>
      <c r="CLK4" s="44"/>
      <c r="CLL4" s="44"/>
      <c r="CLM4" s="44"/>
      <c r="CLN4" s="44"/>
      <c r="CLO4" s="44"/>
      <c r="CLP4" s="44"/>
      <c r="CLQ4" s="44"/>
      <c r="CLR4" s="43"/>
      <c r="CLS4" s="44"/>
      <c r="CLT4" s="44"/>
      <c r="CLU4" s="44"/>
      <c r="CLV4" s="44"/>
      <c r="CLW4" s="44"/>
      <c r="CLX4" s="44"/>
      <c r="CLY4" s="44"/>
      <c r="CLZ4" s="44"/>
      <c r="CMA4" s="44"/>
      <c r="CMB4" s="44"/>
      <c r="CMC4" s="44"/>
      <c r="CMD4" s="44"/>
      <c r="CME4" s="44"/>
      <c r="CMF4" s="44"/>
      <c r="CMG4" s="43"/>
      <c r="CMH4" s="44"/>
      <c r="CMI4" s="44"/>
      <c r="CMJ4" s="44"/>
      <c r="CMK4" s="44"/>
      <c r="CML4" s="44"/>
      <c r="CMM4" s="44"/>
      <c r="CMN4" s="44"/>
      <c r="CMO4" s="44"/>
      <c r="CMP4" s="44"/>
      <c r="CMQ4" s="44"/>
      <c r="CMR4" s="44"/>
      <c r="CMS4" s="44"/>
      <c r="CMT4" s="44"/>
      <c r="CMU4" s="44"/>
      <c r="CMV4" s="43"/>
      <c r="CMW4" s="44"/>
      <c r="CMX4" s="44"/>
      <c r="CMY4" s="44"/>
      <c r="CMZ4" s="44"/>
      <c r="CNA4" s="44"/>
      <c r="CNB4" s="44"/>
      <c r="CNC4" s="44"/>
      <c r="CND4" s="44"/>
      <c r="CNE4" s="44"/>
      <c r="CNF4" s="44"/>
      <c r="CNG4" s="44"/>
      <c r="CNH4" s="44"/>
      <c r="CNI4" s="44"/>
      <c r="CNJ4" s="44"/>
      <c r="CNK4" s="43"/>
      <c r="CNL4" s="44"/>
      <c r="CNM4" s="44"/>
      <c r="CNN4" s="44"/>
      <c r="CNO4" s="44"/>
      <c r="CNP4" s="44"/>
      <c r="CNQ4" s="44"/>
      <c r="CNR4" s="44"/>
      <c r="CNS4" s="44"/>
      <c r="CNT4" s="44"/>
      <c r="CNU4" s="44"/>
      <c r="CNV4" s="44"/>
      <c r="CNW4" s="44"/>
      <c r="CNX4" s="44"/>
      <c r="CNY4" s="44"/>
      <c r="CNZ4" s="43"/>
      <c r="COA4" s="44"/>
      <c r="COB4" s="44"/>
      <c r="COC4" s="44"/>
      <c r="COD4" s="44"/>
      <c r="COE4" s="44"/>
      <c r="COF4" s="44"/>
      <c r="COG4" s="44"/>
      <c r="COH4" s="44"/>
      <c r="COI4" s="44"/>
      <c r="COJ4" s="44"/>
      <c r="COK4" s="44"/>
      <c r="COL4" s="44"/>
      <c r="COM4" s="44"/>
      <c r="CON4" s="44"/>
      <c r="COO4" s="43"/>
      <c r="COP4" s="44"/>
      <c r="COQ4" s="44"/>
      <c r="COR4" s="44"/>
      <c r="COS4" s="44"/>
      <c r="COT4" s="44"/>
      <c r="COU4" s="44"/>
      <c r="COV4" s="44"/>
      <c r="COW4" s="44"/>
      <c r="COX4" s="44"/>
      <c r="COY4" s="44"/>
      <c r="COZ4" s="44"/>
      <c r="CPA4" s="44"/>
      <c r="CPB4" s="44"/>
      <c r="CPC4" s="44"/>
      <c r="CPD4" s="43"/>
      <c r="CPE4" s="44"/>
      <c r="CPF4" s="44"/>
      <c r="CPG4" s="44"/>
      <c r="CPH4" s="44"/>
      <c r="CPI4" s="44"/>
      <c r="CPJ4" s="44"/>
      <c r="CPK4" s="44"/>
      <c r="CPL4" s="44"/>
      <c r="CPM4" s="44"/>
      <c r="CPN4" s="44"/>
      <c r="CPO4" s="44"/>
      <c r="CPP4" s="44"/>
      <c r="CPQ4" s="44"/>
      <c r="CPR4" s="44"/>
      <c r="CPS4" s="43"/>
      <c r="CPT4" s="44"/>
      <c r="CPU4" s="44"/>
      <c r="CPV4" s="44"/>
      <c r="CPW4" s="44"/>
      <c r="CPX4" s="44"/>
      <c r="CPY4" s="44"/>
      <c r="CPZ4" s="44"/>
      <c r="CQA4" s="44"/>
      <c r="CQB4" s="44"/>
      <c r="CQC4" s="44"/>
      <c r="CQD4" s="44"/>
      <c r="CQE4" s="44"/>
      <c r="CQF4" s="44"/>
      <c r="CQG4" s="44"/>
      <c r="CQH4" s="43"/>
      <c r="CQI4" s="44"/>
      <c r="CQJ4" s="44"/>
      <c r="CQK4" s="44"/>
      <c r="CQL4" s="44"/>
      <c r="CQM4" s="44"/>
      <c r="CQN4" s="44"/>
      <c r="CQO4" s="44"/>
      <c r="CQP4" s="44"/>
      <c r="CQQ4" s="44"/>
      <c r="CQR4" s="44"/>
      <c r="CQS4" s="44"/>
      <c r="CQT4" s="44"/>
      <c r="CQU4" s="44"/>
      <c r="CQV4" s="44"/>
      <c r="CQW4" s="43"/>
      <c r="CQX4" s="44"/>
      <c r="CQY4" s="44"/>
      <c r="CQZ4" s="44"/>
      <c r="CRA4" s="44"/>
      <c r="CRB4" s="44"/>
      <c r="CRC4" s="44"/>
      <c r="CRD4" s="44"/>
      <c r="CRE4" s="44"/>
      <c r="CRF4" s="44"/>
      <c r="CRG4" s="44"/>
      <c r="CRH4" s="44"/>
      <c r="CRI4" s="44"/>
      <c r="CRJ4" s="44"/>
      <c r="CRK4" s="44"/>
      <c r="CRL4" s="43"/>
      <c r="CRM4" s="44"/>
      <c r="CRN4" s="44"/>
      <c r="CRO4" s="44"/>
      <c r="CRP4" s="44"/>
      <c r="CRQ4" s="44"/>
      <c r="CRR4" s="44"/>
      <c r="CRS4" s="44"/>
      <c r="CRT4" s="44"/>
      <c r="CRU4" s="44"/>
      <c r="CRV4" s="44"/>
      <c r="CRW4" s="44"/>
      <c r="CRX4" s="44"/>
      <c r="CRY4" s="44"/>
      <c r="CRZ4" s="44"/>
      <c r="CSA4" s="43"/>
      <c r="CSB4" s="44"/>
      <c r="CSC4" s="44"/>
      <c r="CSD4" s="44"/>
      <c r="CSE4" s="44"/>
      <c r="CSF4" s="44"/>
      <c r="CSG4" s="44"/>
      <c r="CSH4" s="44"/>
      <c r="CSI4" s="44"/>
      <c r="CSJ4" s="44"/>
      <c r="CSK4" s="44"/>
      <c r="CSL4" s="44"/>
      <c r="CSM4" s="44"/>
      <c r="CSN4" s="44"/>
      <c r="CSO4" s="44"/>
      <c r="CSP4" s="43"/>
      <c r="CSQ4" s="44"/>
      <c r="CSR4" s="44"/>
      <c r="CSS4" s="44"/>
      <c r="CST4" s="44"/>
      <c r="CSU4" s="44"/>
      <c r="CSV4" s="44"/>
      <c r="CSW4" s="44"/>
      <c r="CSX4" s="44"/>
      <c r="CSY4" s="44"/>
      <c r="CSZ4" s="44"/>
      <c r="CTA4" s="44"/>
      <c r="CTB4" s="44"/>
      <c r="CTC4" s="44"/>
      <c r="CTD4" s="44"/>
      <c r="CTE4" s="43"/>
      <c r="CTF4" s="44"/>
      <c r="CTG4" s="44"/>
      <c r="CTH4" s="44"/>
      <c r="CTI4" s="44"/>
      <c r="CTJ4" s="44"/>
      <c r="CTK4" s="44"/>
      <c r="CTL4" s="44"/>
      <c r="CTM4" s="44"/>
      <c r="CTN4" s="44"/>
      <c r="CTO4" s="44"/>
      <c r="CTP4" s="44"/>
      <c r="CTQ4" s="44"/>
      <c r="CTR4" s="44"/>
      <c r="CTS4" s="44"/>
      <c r="CTT4" s="43"/>
      <c r="CTU4" s="44"/>
      <c r="CTV4" s="44"/>
      <c r="CTW4" s="44"/>
      <c r="CTX4" s="44"/>
      <c r="CTY4" s="44"/>
      <c r="CTZ4" s="44"/>
      <c r="CUA4" s="44"/>
      <c r="CUB4" s="44"/>
      <c r="CUC4" s="44"/>
      <c r="CUD4" s="44"/>
      <c r="CUE4" s="44"/>
      <c r="CUF4" s="44"/>
      <c r="CUG4" s="44"/>
      <c r="CUH4" s="44"/>
      <c r="CUI4" s="43"/>
      <c r="CUJ4" s="44"/>
      <c r="CUK4" s="44"/>
      <c r="CUL4" s="44"/>
      <c r="CUM4" s="44"/>
      <c r="CUN4" s="44"/>
      <c r="CUO4" s="44"/>
      <c r="CUP4" s="44"/>
      <c r="CUQ4" s="44"/>
      <c r="CUR4" s="44"/>
      <c r="CUS4" s="44"/>
      <c r="CUT4" s="44"/>
      <c r="CUU4" s="44"/>
      <c r="CUV4" s="44"/>
      <c r="CUW4" s="44"/>
      <c r="CUX4" s="43"/>
      <c r="CUY4" s="44"/>
      <c r="CUZ4" s="44"/>
      <c r="CVA4" s="44"/>
      <c r="CVB4" s="44"/>
      <c r="CVC4" s="44"/>
      <c r="CVD4" s="44"/>
      <c r="CVE4" s="44"/>
      <c r="CVF4" s="44"/>
      <c r="CVG4" s="44"/>
      <c r="CVH4" s="44"/>
      <c r="CVI4" s="44"/>
      <c r="CVJ4" s="44"/>
      <c r="CVK4" s="44"/>
      <c r="CVL4" s="44"/>
      <c r="CVM4" s="43"/>
      <c r="CVN4" s="44"/>
      <c r="CVO4" s="44"/>
      <c r="CVP4" s="44"/>
      <c r="CVQ4" s="44"/>
      <c r="CVR4" s="44"/>
      <c r="CVS4" s="44"/>
      <c r="CVT4" s="44"/>
      <c r="CVU4" s="44"/>
      <c r="CVV4" s="44"/>
      <c r="CVW4" s="44"/>
      <c r="CVX4" s="44"/>
      <c r="CVY4" s="44"/>
      <c r="CVZ4" s="44"/>
      <c r="CWA4" s="44"/>
      <c r="CWB4" s="43"/>
      <c r="CWC4" s="44"/>
      <c r="CWD4" s="44"/>
      <c r="CWE4" s="44"/>
      <c r="CWF4" s="44"/>
      <c r="CWG4" s="44"/>
      <c r="CWH4" s="44"/>
      <c r="CWI4" s="44"/>
      <c r="CWJ4" s="44"/>
      <c r="CWK4" s="44"/>
      <c r="CWL4" s="44"/>
      <c r="CWM4" s="44"/>
      <c r="CWN4" s="44"/>
      <c r="CWO4" s="44"/>
      <c r="CWP4" s="44"/>
      <c r="CWQ4" s="43"/>
      <c r="CWR4" s="44"/>
      <c r="CWS4" s="44"/>
      <c r="CWT4" s="44"/>
      <c r="CWU4" s="44"/>
      <c r="CWV4" s="44"/>
      <c r="CWW4" s="44"/>
      <c r="CWX4" s="44"/>
      <c r="CWY4" s="44"/>
      <c r="CWZ4" s="44"/>
      <c r="CXA4" s="44"/>
      <c r="CXB4" s="44"/>
      <c r="CXC4" s="44"/>
      <c r="CXD4" s="44"/>
      <c r="CXE4" s="44"/>
      <c r="CXF4" s="43"/>
      <c r="CXG4" s="44"/>
      <c r="CXH4" s="44"/>
      <c r="CXI4" s="44"/>
      <c r="CXJ4" s="44"/>
      <c r="CXK4" s="44"/>
      <c r="CXL4" s="44"/>
      <c r="CXM4" s="44"/>
      <c r="CXN4" s="44"/>
      <c r="CXO4" s="44"/>
      <c r="CXP4" s="44"/>
      <c r="CXQ4" s="44"/>
      <c r="CXR4" s="44"/>
      <c r="CXS4" s="44"/>
      <c r="CXT4" s="44"/>
      <c r="CXU4" s="43"/>
      <c r="CXV4" s="44"/>
      <c r="CXW4" s="44"/>
      <c r="CXX4" s="44"/>
      <c r="CXY4" s="44"/>
      <c r="CXZ4" s="44"/>
      <c r="CYA4" s="44"/>
      <c r="CYB4" s="44"/>
      <c r="CYC4" s="44"/>
      <c r="CYD4" s="44"/>
      <c r="CYE4" s="44"/>
      <c r="CYF4" s="44"/>
      <c r="CYG4" s="44"/>
      <c r="CYH4" s="44"/>
      <c r="CYI4" s="44"/>
      <c r="CYJ4" s="43"/>
      <c r="CYK4" s="44"/>
      <c r="CYL4" s="44"/>
      <c r="CYM4" s="44"/>
      <c r="CYN4" s="44"/>
      <c r="CYO4" s="44"/>
      <c r="CYP4" s="44"/>
      <c r="CYQ4" s="44"/>
      <c r="CYR4" s="44"/>
      <c r="CYS4" s="44"/>
      <c r="CYT4" s="44"/>
      <c r="CYU4" s="44"/>
      <c r="CYV4" s="44"/>
      <c r="CYW4" s="44"/>
      <c r="CYX4" s="44"/>
      <c r="CYY4" s="43"/>
      <c r="CYZ4" s="44"/>
      <c r="CZA4" s="44"/>
      <c r="CZB4" s="44"/>
      <c r="CZC4" s="44"/>
      <c r="CZD4" s="44"/>
      <c r="CZE4" s="44"/>
      <c r="CZF4" s="44"/>
      <c r="CZG4" s="44"/>
      <c r="CZH4" s="44"/>
      <c r="CZI4" s="44"/>
      <c r="CZJ4" s="44"/>
      <c r="CZK4" s="44"/>
      <c r="CZL4" s="44"/>
      <c r="CZM4" s="44"/>
      <c r="CZN4" s="43"/>
      <c r="CZO4" s="44"/>
      <c r="CZP4" s="44"/>
      <c r="CZQ4" s="44"/>
      <c r="CZR4" s="44"/>
      <c r="CZS4" s="44"/>
      <c r="CZT4" s="44"/>
      <c r="CZU4" s="44"/>
      <c r="CZV4" s="44"/>
      <c r="CZW4" s="44"/>
      <c r="CZX4" s="44"/>
      <c r="CZY4" s="44"/>
      <c r="CZZ4" s="44"/>
      <c r="DAA4" s="44"/>
      <c r="DAB4" s="44"/>
      <c r="DAC4" s="43"/>
      <c r="DAD4" s="44"/>
      <c r="DAE4" s="44"/>
      <c r="DAF4" s="44"/>
      <c r="DAG4" s="44"/>
      <c r="DAH4" s="44"/>
      <c r="DAI4" s="44"/>
      <c r="DAJ4" s="44"/>
      <c r="DAK4" s="44"/>
      <c r="DAL4" s="44"/>
      <c r="DAM4" s="44"/>
      <c r="DAN4" s="44"/>
      <c r="DAO4" s="44"/>
      <c r="DAP4" s="44"/>
      <c r="DAQ4" s="44"/>
      <c r="DAR4" s="43"/>
      <c r="DAS4" s="44"/>
      <c r="DAT4" s="44"/>
      <c r="DAU4" s="44"/>
      <c r="DAV4" s="44"/>
      <c r="DAW4" s="44"/>
      <c r="DAX4" s="44"/>
      <c r="DAY4" s="44"/>
      <c r="DAZ4" s="44"/>
      <c r="DBA4" s="44"/>
      <c r="DBB4" s="44"/>
      <c r="DBC4" s="44"/>
      <c r="DBD4" s="44"/>
      <c r="DBE4" s="44"/>
      <c r="DBF4" s="44"/>
      <c r="DBG4" s="43"/>
      <c r="DBH4" s="44"/>
      <c r="DBI4" s="44"/>
      <c r="DBJ4" s="44"/>
      <c r="DBK4" s="44"/>
      <c r="DBL4" s="44"/>
      <c r="DBM4" s="44"/>
      <c r="DBN4" s="44"/>
      <c r="DBO4" s="44"/>
      <c r="DBP4" s="44"/>
      <c r="DBQ4" s="44"/>
      <c r="DBR4" s="44"/>
      <c r="DBS4" s="44"/>
      <c r="DBT4" s="44"/>
      <c r="DBU4" s="44"/>
      <c r="DBV4" s="43"/>
      <c r="DBW4" s="44"/>
      <c r="DBX4" s="44"/>
      <c r="DBY4" s="44"/>
      <c r="DBZ4" s="44"/>
      <c r="DCA4" s="44"/>
      <c r="DCB4" s="44"/>
      <c r="DCC4" s="44"/>
      <c r="DCD4" s="44"/>
      <c r="DCE4" s="44"/>
      <c r="DCF4" s="44"/>
      <c r="DCG4" s="44"/>
      <c r="DCH4" s="44"/>
      <c r="DCI4" s="44"/>
      <c r="DCJ4" s="44"/>
      <c r="DCK4" s="43"/>
      <c r="DCL4" s="44"/>
      <c r="DCM4" s="44"/>
      <c r="DCN4" s="44"/>
      <c r="DCO4" s="44"/>
      <c r="DCP4" s="44"/>
      <c r="DCQ4" s="44"/>
      <c r="DCR4" s="44"/>
      <c r="DCS4" s="44"/>
      <c r="DCT4" s="44"/>
      <c r="DCU4" s="44"/>
      <c r="DCV4" s="44"/>
      <c r="DCW4" s="44"/>
      <c r="DCX4" s="44"/>
      <c r="DCY4" s="44"/>
      <c r="DCZ4" s="43"/>
      <c r="DDA4" s="44"/>
      <c r="DDB4" s="44"/>
      <c r="DDC4" s="44"/>
      <c r="DDD4" s="44"/>
      <c r="DDE4" s="44"/>
      <c r="DDF4" s="44"/>
      <c r="DDG4" s="44"/>
      <c r="DDH4" s="44"/>
      <c r="DDI4" s="44"/>
      <c r="DDJ4" s="44"/>
      <c r="DDK4" s="44"/>
      <c r="DDL4" s="44"/>
      <c r="DDM4" s="44"/>
      <c r="DDN4" s="44"/>
      <c r="DDO4" s="43"/>
      <c r="DDP4" s="44"/>
      <c r="DDQ4" s="44"/>
      <c r="DDR4" s="44"/>
      <c r="DDS4" s="44"/>
      <c r="DDT4" s="44"/>
      <c r="DDU4" s="44"/>
      <c r="DDV4" s="44"/>
      <c r="DDW4" s="44"/>
      <c r="DDX4" s="44"/>
      <c r="DDY4" s="44"/>
      <c r="DDZ4" s="44"/>
      <c r="DEA4" s="44"/>
      <c r="DEB4" s="44"/>
      <c r="DEC4" s="44"/>
      <c r="DED4" s="43"/>
      <c r="DEE4" s="44"/>
      <c r="DEF4" s="44"/>
      <c r="DEG4" s="44"/>
      <c r="DEH4" s="44"/>
      <c r="DEI4" s="44"/>
      <c r="DEJ4" s="44"/>
      <c r="DEK4" s="44"/>
      <c r="DEL4" s="44"/>
      <c r="DEM4" s="44"/>
      <c r="DEN4" s="44"/>
      <c r="DEO4" s="44"/>
      <c r="DEP4" s="44"/>
      <c r="DEQ4" s="44"/>
      <c r="DER4" s="44"/>
      <c r="DES4" s="43"/>
      <c r="DET4" s="44"/>
      <c r="DEU4" s="44"/>
      <c r="DEV4" s="44"/>
      <c r="DEW4" s="44"/>
      <c r="DEX4" s="44"/>
      <c r="DEY4" s="44"/>
      <c r="DEZ4" s="44"/>
      <c r="DFA4" s="44"/>
      <c r="DFB4" s="44"/>
      <c r="DFC4" s="44"/>
      <c r="DFD4" s="44"/>
      <c r="DFE4" s="44"/>
      <c r="DFF4" s="44"/>
      <c r="DFG4" s="44"/>
      <c r="DFH4" s="43"/>
      <c r="DFI4" s="44"/>
      <c r="DFJ4" s="44"/>
      <c r="DFK4" s="44"/>
      <c r="DFL4" s="44"/>
      <c r="DFM4" s="44"/>
      <c r="DFN4" s="44"/>
      <c r="DFO4" s="44"/>
      <c r="DFP4" s="44"/>
      <c r="DFQ4" s="44"/>
      <c r="DFR4" s="44"/>
      <c r="DFS4" s="44"/>
      <c r="DFT4" s="44"/>
      <c r="DFU4" s="44"/>
      <c r="DFV4" s="44"/>
      <c r="DFW4" s="43"/>
      <c r="DFX4" s="44"/>
      <c r="DFY4" s="44"/>
      <c r="DFZ4" s="44"/>
      <c r="DGA4" s="44"/>
      <c r="DGB4" s="44"/>
      <c r="DGC4" s="44"/>
      <c r="DGD4" s="44"/>
      <c r="DGE4" s="44"/>
      <c r="DGF4" s="44"/>
      <c r="DGG4" s="44"/>
      <c r="DGH4" s="44"/>
      <c r="DGI4" s="44"/>
      <c r="DGJ4" s="44"/>
      <c r="DGK4" s="44"/>
      <c r="DGL4" s="43"/>
      <c r="DGM4" s="44"/>
      <c r="DGN4" s="44"/>
      <c r="DGO4" s="44"/>
      <c r="DGP4" s="44"/>
      <c r="DGQ4" s="44"/>
      <c r="DGR4" s="44"/>
      <c r="DGS4" s="44"/>
      <c r="DGT4" s="44"/>
      <c r="DGU4" s="44"/>
      <c r="DGV4" s="44"/>
      <c r="DGW4" s="44"/>
      <c r="DGX4" s="44"/>
      <c r="DGY4" s="44"/>
      <c r="DGZ4" s="44"/>
      <c r="DHA4" s="43"/>
      <c r="DHB4" s="44"/>
      <c r="DHC4" s="44"/>
      <c r="DHD4" s="44"/>
      <c r="DHE4" s="44"/>
      <c r="DHF4" s="44"/>
      <c r="DHG4" s="44"/>
      <c r="DHH4" s="44"/>
      <c r="DHI4" s="44"/>
      <c r="DHJ4" s="44"/>
      <c r="DHK4" s="44"/>
      <c r="DHL4" s="44"/>
      <c r="DHM4" s="44"/>
      <c r="DHN4" s="44"/>
      <c r="DHO4" s="44"/>
      <c r="DHP4" s="43"/>
      <c r="DHQ4" s="44"/>
      <c r="DHR4" s="44"/>
      <c r="DHS4" s="44"/>
      <c r="DHT4" s="44"/>
      <c r="DHU4" s="44"/>
      <c r="DHV4" s="44"/>
      <c r="DHW4" s="44"/>
      <c r="DHX4" s="44"/>
      <c r="DHY4" s="44"/>
      <c r="DHZ4" s="44"/>
      <c r="DIA4" s="44"/>
      <c r="DIB4" s="44"/>
      <c r="DIC4" s="44"/>
      <c r="DID4" s="44"/>
      <c r="DIE4" s="43"/>
      <c r="DIF4" s="44"/>
      <c r="DIG4" s="44"/>
      <c r="DIH4" s="44"/>
      <c r="DII4" s="44"/>
      <c r="DIJ4" s="44"/>
      <c r="DIK4" s="44"/>
      <c r="DIL4" s="44"/>
      <c r="DIM4" s="44"/>
      <c r="DIN4" s="44"/>
      <c r="DIO4" s="44"/>
      <c r="DIP4" s="44"/>
      <c r="DIQ4" s="44"/>
      <c r="DIR4" s="44"/>
      <c r="DIS4" s="44"/>
      <c r="DIT4" s="43"/>
      <c r="DIU4" s="44"/>
      <c r="DIV4" s="44"/>
      <c r="DIW4" s="44"/>
      <c r="DIX4" s="44"/>
      <c r="DIY4" s="44"/>
      <c r="DIZ4" s="44"/>
      <c r="DJA4" s="44"/>
      <c r="DJB4" s="44"/>
      <c r="DJC4" s="44"/>
      <c r="DJD4" s="44"/>
      <c r="DJE4" s="44"/>
      <c r="DJF4" s="44"/>
      <c r="DJG4" s="44"/>
      <c r="DJH4" s="44"/>
      <c r="DJI4" s="43"/>
      <c r="DJJ4" s="44"/>
      <c r="DJK4" s="44"/>
      <c r="DJL4" s="44"/>
      <c r="DJM4" s="44"/>
      <c r="DJN4" s="44"/>
      <c r="DJO4" s="44"/>
      <c r="DJP4" s="44"/>
      <c r="DJQ4" s="44"/>
      <c r="DJR4" s="44"/>
      <c r="DJS4" s="44"/>
      <c r="DJT4" s="44"/>
      <c r="DJU4" s="44"/>
      <c r="DJV4" s="44"/>
      <c r="DJW4" s="44"/>
      <c r="DJX4" s="43"/>
      <c r="DJY4" s="44"/>
      <c r="DJZ4" s="44"/>
      <c r="DKA4" s="44"/>
      <c r="DKB4" s="44"/>
      <c r="DKC4" s="44"/>
      <c r="DKD4" s="44"/>
      <c r="DKE4" s="44"/>
      <c r="DKF4" s="44"/>
      <c r="DKG4" s="44"/>
      <c r="DKH4" s="44"/>
      <c r="DKI4" s="44"/>
      <c r="DKJ4" s="44"/>
      <c r="DKK4" s="44"/>
      <c r="DKL4" s="44"/>
      <c r="DKM4" s="43"/>
      <c r="DKN4" s="44"/>
      <c r="DKO4" s="44"/>
      <c r="DKP4" s="44"/>
      <c r="DKQ4" s="44"/>
      <c r="DKR4" s="44"/>
      <c r="DKS4" s="44"/>
      <c r="DKT4" s="44"/>
      <c r="DKU4" s="44"/>
      <c r="DKV4" s="44"/>
      <c r="DKW4" s="44"/>
      <c r="DKX4" s="44"/>
      <c r="DKY4" s="44"/>
      <c r="DKZ4" s="44"/>
      <c r="DLA4" s="44"/>
      <c r="DLB4" s="43"/>
      <c r="DLC4" s="44"/>
      <c r="DLD4" s="44"/>
      <c r="DLE4" s="44"/>
      <c r="DLF4" s="44"/>
      <c r="DLG4" s="44"/>
      <c r="DLH4" s="44"/>
      <c r="DLI4" s="44"/>
      <c r="DLJ4" s="44"/>
      <c r="DLK4" s="44"/>
      <c r="DLL4" s="44"/>
      <c r="DLM4" s="44"/>
      <c r="DLN4" s="44"/>
      <c r="DLO4" s="44"/>
      <c r="DLP4" s="44"/>
      <c r="DLQ4" s="43"/>
      <c r="DLR4" s="44"/>
      <c r="DLS4" s="44"/>
      <c r="DLT4" s="44"/>
      <c r="DLU4" s="44"/>
      <c r="DLV4" s="44"/>
      <c r="DLW4" s="44"/>
      <c r="DLX4" s="44"/>
      <c r="DLY4" s="44"/>
      <c r="DLZ4" s="44"/>
      <c r="DMA4" s="44"/>
      <c r="DMB4" s="44"/>
      <c r="DMC4" s="44"/>
      <c r="DMD4" s="44"/>
      <c r="DME4" s="44"/>
      <c r="DMF4" s="43"/>
      <c r="DMG4" s="44"/>
      <c r="DMH4" s="44"/>
      <c r="DMI4" s="44"/>
      <c r="DMJ4" s="44"/>
      <c r="DMK4" s="44"/>
      <c r="DML4" s="44"/>
      <c r="DMM4" s="44"/>
      <c r="DMN4" s="44"/>
      <c r="DMO4" s="44"/>
      <c r="DMP4" s="44"/>
      <c r="DMQ4" s="44"/>
      <c r="DMR4" s="44"/>
      <c r="DMS4" s="44"/>
      <c r="DMT4" s="44"/>
      <c r="DMU4" s="43"/>
      <c r="DMV4" s="44"/>
      <c r="DMW4" s="44"/>
      <c r="DMX4" s="44"/>
      <c r="DMY4" s="44"/>
      <c r="DMZ4" s="44"/>
      <c r="DNA4" s="44"/>
      <c r="DNB4" s="44"/>
      <c r="DNC4" s="44"/>
      <c r="DND4" s="44"/>
      <c r="DNE4" s="44"/>
      <c r="DNF4" s="44"/>
      <c r="DNG4" s="44"/>
      <c r="DNH4" s="44"/>
      <c r="DNI4" s="44"/>
      <c r="DNJ4" s="43"/>
      <c r="DNK4" s="44"/>
      <c r="DNL4" s="44"/>
      <c r="DNM4" s="44"/>
      <c r="DNN4" s="44"/>
      <c r="DNO4" s="44"/>
      <c r="DNP4" s="44"/>
      <c r="DNQ4" s="44"/>
      <c r="DNR4" s="44"/>
      <c r="DNS4" s="44"/>
      <c r="DNT4" s="44"/>
      <c r="DNU4" s="44"/>
      <c r="DNV4" s="44"/>
      <c r="DNW4" s="44"/>
      <c r="DNX4" s="44"/>
      <c r="DNY4" s="43"/>
      <c r="DNZ4" s="44"/>
      <c r="DOA4" s="44"/>
      <c r="DOB4" s="44"/>
      <c r="DOC4" s="44"/>
      <c r="DOD4" s="44"/>
      <c r="DOE4" s="44"/>
      <c r="DOF4" s="44"/>
      <c r="DOG4" s="44"/>
      <c r="DOH4" s="44"/>
      <c r="DOI4" s="44"/>
      <c r="DOJ4" s="44"/>
      <c r="DOK4" s="44"/>
      <c r="DOL4" s="44"/>
      <c r="DOM4" s="44"/>
      <c r="DON4" s="43"/>
      <c r="DOO4" s="44"/>
      <c r="DOP4" s="44"/>
      <c r="DOQ4" s="44"/>
      <c r="DOR4" s="44"/>
      <c r="DOS4" s="44"/>
      <c r="DOT4" s="44"/>
      <c r="DOU4" s="44"/>
      <c r="DOV4" s="44"/>
      <c r="DOW4" s="44"/>
      <c r="DOX4" s="44"/>
      <c r="DOY4" s="44"/>
      <c r="DOZ4" s="44"/>
      <c r="DPA4" s="44"/>
      <c r="DPB4" s="44"/>
      <c r="DPC4" s="43"/>
      <c r="DPD4" s="44"/>
      <c r="DPE4" s="44"/>
      <c r="DPF4" s="44"/>
      <c r="DPG4" s="44"/>
      <c r="DPH4" s="44"/>
      <c r="DPI4" s="44"/>
      <c r="DPJ4" s="44"/>
      <c r="DPK4" s="44"/>
      <c r="DPL4" s="44"/>
      <c r="DPM4" s="44"/>
      <c r="DPN4" s="44"/>
      <c r="DPO4" s="44"/>
      <c r="DPP4" s="44"/>
      <c r="DPQ4" s="44"/>
      <c r="DPR4" s="43"/>
      <c r="DPS4" s="44"/>
      <c r="DPT4" s="44"/>
      <c r="DPU4" s="44"/>
      <c r="DPV4" s="44"/>
      <c r="DPW4" s="44"/>
      <c r="DPX4" s="44"/>
      <c r="DPY4" s="44"/>
      <c r="DPZ4" s="44"/>
      <c r="DQA4" s="44"/>
      <c r="DQB4" s="44"/>
      <c r="DQC4" s="44"/>
      <c r="DQD4" s="44"/>
      <c r="DQE4" s="44"/>
      <c r="DQF4" s="44"/>
      <c r="DQG4" s="43"/>
      <c r="DQH4" s="44"/>
      <c r="DQI4" s="44"/>
      <c r="DQJ4" s="44"/>
      <c r="DQK4" s="44"/>
      <c r="DQL4" s="44"/>
      <c r="DQM4" s="44"/>
      <c r="DQN4" s="44"/>
      <c r="DQO4" s="44"/>
      <c r="DQP4" s="44"/>
      <c r="DQQ4" s="44"/>
      <c r="DQR4" s="44"/>
      <c r="DQS4" s="44"/>
      <c r="DQT4" s="44"/>
      <c r="DQU4" s="44"/>
      <c r="DQV4" s="43"/>
      <c r="DQW4" s="44"/>
      <c r="DQX4" s="44"/>
      <c r="DQY4" s="44"/>
      <c r="DQZ4" s="44"/>
      <c r="DRA4" s="44"/>
      <c r="DRB4" s="44"/>
      <c r="DRC4" s="44"/>
      <c r="DRD4" s="44"/>
      <c r="DRE4" s="44"/>
      <c r="DRF4" s="44"/>
      <c r="DRG4" s="44"/>
      <c r="DRH4" s="44"/>
      <c r="DRI4" s="44"/>
      <c r="DRJ4" s="44"/>
      <c r="DRK4" s="43"/>
      <c r="DRL4" s="44"/>
      <c r="DRM4" s="44"/>
      <c r="DRN4" s="44"/>
      <c r="DRO4" s="44"/>
      <c r="DRP4" s="44"/>
      <c r="DRQ4" s="44"/>
      <c r="DRR4" s="44"/>
      <c r="DRS4" s="44"/>
      <c r="DRT4" s="44"/>
      <c r="DRU4" s="44"/>
      <c r="DRV4" s="44"/>
      <c r="DRW4" s="44"/>
      <c r="DRX4" s="44"/>
      <c r="DRY4" s="44"/>
      <c r="DRZ4" s="43"/>
      <c r="DSA4" s="44"/>
      <c r="DSB4" s="44"/>
      <c r="DSC4" s="44"/>
      <c r="DSD4" s="44"/>
      <c r="DSE4" s="44"/>
      <c r="DSF4" s="44"/>
      <c r="DSG4" s="44"/>
      <c r="DSH4" s="44"/>
      <c r="DSI4" s="44"/>
      <c r="DSJ4" s="44"/>
      <c r="DSK4" s="44"/>
      <c r="DSL4" s="44"/>
      <c r="DSM4" s="44"/>
      <c r="DSN4" s="44"/>
      <c r="DSO4" s="43"/>
      <c r="DSP4" s="44"/>
      <c r="DSQ4" s="44"/>
      <c r="DSR4" s="44"/>
      <c r="DSS4" s="44"/>
      <c r="DST4" s="44"/>
      <c r="DSU4" s="44"/>
      <c r="DSV4" s="44"/>
      <c r="DSW4" s="44"/>
      <c r="DSX4" s="44"/>
      <c r="DSY4" s="44"/>
      <c r="DSZ4" s="44"/>
      <c r="DTA4" s="44"/>
      <c r="DTB4" s="44"/>
      <c r="DTC4" s="44"/>
      <c r="DTD4" s="43"/>
      <c r="DTE4" s="44"/>
      <c r="DTF4" s="44"/>
      <c r="DTG4" s="44"/>
      <c r="DTH4" s="44"/>
      <c r="DTI4" s="44"/>
      <c r="DTJ4" s="44"/>
      <c r="DTK4" s="44"/>
      <c r="DTL4" s="44"/>
      <c r="DTM4" s="44"/>
      <c r="DTN4" s="44"/>
      <c r="DTO4" s="44"/>
      <c r="DTP4" s="44"/>
      <c r="DTQ4" s="44"/>
      <c r="DTR4" s="44"/>
      <c r="DTS4" s="43"/>
      <c r="DTT4" s="44"/>
      <c r="DTU4" s="44"/>
      <c r="DTV4" s="44"/>
      <c r="DTW4" s="44"/>
      <c r="DTX4" s="44"/>
      <c r="DTY4" s="44"/>
      <c r="DTZ4" s="44"/>
      <c r="DUA4" s="44"/>
      <c r="DUB4" s="44"/>
      <c r="DUC4" s="44"/>
      <c r="DUD4" s="44"/>
      <c r="DUE4" s="44"/>
      <c r="DUF4" s="44"/>
      <c r="DUG4" s="44"/>
      <c r="DUH4" s="43"/>
      <c r="DUI4" s="44"/>
      <c r="DUJ4" s="44"/>
      <c r="DUK4" s="44"/>
      <c r="DUL4" s="44"/>
      <c r="DUM4" s="44"/>
      <c r="DUN4" s="44"/>
      <c r="DUO4" s="44"/>
      <c r="DUP4" s="44"/>
      <c r="DUQ4" s="44"/>
      <c r="DUR4" s="44"/>
      <c r="DUS4" s="44"/>
      <c r="DUT4" s="44"/>
      <c r="DUU4" s="44"/>
      <c r="DUV4" s="44"/>
      <c r="DUW4" s="43"/>
      <c r="DUX4" s="44"/>
      <c r="DUY4" s="44"/>
      <c r="DUZ4" s="44"/>
      <c r="DVA4" s="44"/>
      <c r="DVB4" s="44"/>
      <c r="DVC4" s="44"/>
      <c r="DVD4" s="44"/>
      <c r="DVE4" s="44"/>
      <c r="DVF4" s="44"/>
      <c r="DVG4" s="44"/>
      <c r="DVH4" s="44"/>
      <c r="DVI4" s="44"/>
      <c r="DVJ4" s="44"/>
      <c r="DVK4" s="44"/>
      <c r="DVL4" s="43"/>
      <c r="DVM4" s="44"/>
      <c r="DVN4" s="44"/>
      <c r="DVO4" s="44"/>
      <c r="DVP4" s="44"/>
      <c r="DVQ4" s="44"/>
      <c r="DVR4" s="44"/>
      <c r="DVS4" s="44"/>
      <c r="DVT4" s="44"/>
      <c r="DVU4" s="44"/>
      <c r="DVV4" s="44"/>
      <c r="DVW4" s="44"/>
      <c r="DVX4" s="44"/>
      <c r="DVY4" s="44"/>
      <c r="DVZ4" s="44"/>
      <c r="DWA4" s="43"/>
      <c r="DWB4" s="44"/>
      <c r="DWC4" s="44"/>
      <c r="DWD4" s="44"/>
      <c r="DWE4" s="44"/>
      <c r="DWF4" s="44"/>
      <c r="DWG4" s="44"/>
      <c r="DWH4" s="44"/>
      <c r="DWI4" s="44"/>
      <c r="DWJ4" s="44"/>
      <c r="DWK4" s="44"/>
      <c r="DWL4" s="44"/>
      <c r="DWM4" s="44"/>
      <c r="DWN4" s="44"/>
      <c r="DWO4" s="44"/>
      <c r="DWP4" s="43"/>
      <c r="DWQ4" s="44"/>
      <c r="DWR4" s="44"/>
      <c r="DWS4" s="44"/>
      <c r="DWT4" s="44"/>
      <c r="DWU4" s="44"/>
      <c r="DWV4" s="44"/>
      <c r="DWW4" s="44"/>
      <c r="DWX4" s="44"/>
      <c r="DWY4" s="44"/>
      <c r="DWZ4" s="44"/>
      <c r="DXA4" s="44"/>
      <c r="DXB4" s="44"/>
      <c r="DXC4" s="44"/>
      <c r="DXD4" s="44"/>
      <c r="DXE4" s="43"/>
      <c r="DXF4" s="44"/>
      <c r="DXG4" s="44"/>
      <c r="DXH4" s="44"/>
      <c r="DXI4" s="44"/>
      <c r="DXJ4" s="44"/>
      <c r="DXK4" s="44"/>
      <c r="DXL4" s="44"/>
      <c r="DXM4" s="44"/>
      <c r="DXN4" s="44"/>
      <c r="DXO4" s="44"/>
      <c r="DXP4" s="44"/>
      <c r="DXQ4" s="44"/>
      <c r="DXR4" s="44"/>
      <c r="DXS4" s="44"/>
      <c r="DXT4" s="43"/>
      <c r="DXU4" s="44"/>
      <c r="DXV4" s="44"/>
      <c r="DXW4" s="44"/>
      <c r="DXX4" s="44"/>
      <c r="DXY4" s="44"/>
      <c r="DXZ4" s="44"/>
      <c r="DYA4" s="44"/>
      <c r="DYB4" s="44"/>
      <c r="DYC4" s="44"/>
      <c r="DYD4" s="44"/>
      <c r="DYE4" s="44"/>
      <c r="DYF4" s="44"/>
      <c r="DYG4" s="44"/>
      <c r="DYH4" s="44"/>
      <c r="DYI4" s="43"/>
      <c r="DYJ4" s="44"/>
      <c r="DYK4" s="44"/>
      <c r="DYL4" s="44"/>
      <c r="DYM4" s="44"/>
      <c r="DYN4" s="44"/>
      <c r="DYO4" s="44"/>
      <c r="DYP4" s="44"/>
      <c r="DYQ4" s="44"/>
      <c r="DYR4" s="44"/>
      <c r="DYS4" s="44"/>
      <c r="DYT4" s="44"/>
      <c r="DYU4" s="44"/>
      <c r="DYV4" s="44"/>
      <c r="DYW4" s="44"/>
      <c r="DYX4" s="43"/>
      <c r="DYY4" s="44"/>
      <c r="DYZ4" s="44"/>
      <c r="DZA4" s="44"/>
      <c r="DZB4" s="44"/>
      <c r="DZC4" s="44"/>
      <c r="DZD4" s="44"/>
      <c r="DZE4" s="44"/>
      <c r="DZF4" s="44"/>
      <c r="DZG4" s="44"/>
      <c r="DZH4" s="44"/>
      <c r="DZI4" s="44"/>
      <c r="DZJ4" s="44"/>
      <c r="DZK4" s="44"/>
      <c r="DZL4" s="44"/>
      <c r="DZM4" s="43"/>
      <c r="DZN4" s="44"/>
      <c r="DZO4" s="44"/>
      <c r="DZP4" s="44"/>
      <c r="DZQ4" s="44"/>
      <c r="DZR4" s="44"/>
      <c r="DZS4" s="44"/>
      <c r="DZT4" s="44"/>
      <c r="DZU4" s="44"/>
      <c r="DZV4" s="44"/>
      <c r="DZW4" s="44"/>
      <c r="DZX4" s="44"/>
      <c r="DZY4" s="44"/>
      <c r="DZZ4" s="44"/>
      <c r="EAA4" s="44"/>
      <c r="EAB4" s="43"/>
      <c r="EAC4" s="44"/>
      <c r="EAD4" s="44"/>
      <c r="EAE4" s="44"/>
      <c r="EAF4" s="44"/>
      <c r="EAG4" s="44"/>
      <c r="EAH4" s="44"/>
      <c r="EAI4" s="44"/>
      <c r="EAJ4" s="44"/>
      <c r="EAK4" s="44"/>
      <c r="EAL4" s="44"/>
      <c r="EAM4" s="44"/>
      <c r="EAN4" s="44"/>
      <c r="EAO4" s="44"/>
      <c r="EAP4" s="44"/>
      <c r="EAQ4" s="43"/>
      <c r="EAR4" s="44"/>
      <c r="EAS4" s="44"/>
      <c r="EAT4" s="44"/>
      <c r="EAU4" s="44"/>
      <c r="EAV4" s="44"/>
      <c r="EAW4" s="44"/>
      <c r="EAX4" s="44"/>
      <c r="EAY4" s="44"/>
      <c r="EAZ4" s="44"/>
      <c r="EBA4" s="44"/>
      <c r="EBB4" s="44"/>
      <c r="EBC4" s="44"/>
      <c r="EBD4" s="44"/>
      <c r="EBE4" s="44"/>
      <c r="EBF4" s="43"/>
      <c r="EBG4" s="44"/>
      <c r="EBH4" s="44"/>
      <c r="EBI4" s="44"/>
      <c r="EBJ4" s="44"/>
      <c r="EBK4" s="44"/>
      <c r="EBL4" s="44"/>
      <c r="EBM4" s="44"/>
      <c r="EBN4" s="44"/>
      <c r="EBO4" s="44"/>
      <c r="EBP4" s="44"/>
      <c r="EBQ4" s="44"/>
      <c r="EBR4" s="44"/>
      <c r="EBS4" s="44"/>
      <c r="EBT4" s="44"/>
      <c r="EBU4" s="43"/>
      <c r="EBV4" s="44"/>
      <c r="EBW4" s="44"/>
      <c r="EBX4" s="44"/>
      <c r="EBY4" s="44"/>
      <c r="EBZ4" s="44"/>
      <c r="ECA4" s="44"/>
      <c r="ECB4" s="44"/>
      <c r="ECC4" s="44"/>
      <c r="ECD4" s="44"/>
      <c r="ECE4" s="44"/>
      <c r="ECF4" s="44"/>
      <c r="ECG4" s="44"/>
      <c r="ECH4" s="44"/>
      <c r="ECI4" s="44"/>
      <c r="ECJ4" s="43"/>
      <c r="ECK4" s="44"/>
      <c r="ECL4" s="44"/>
      <c r="ECM4" s="44"/>
      <c r="ECN4" s="44"/>
      <c r="ECO4" s="44"/>
      <c r="ECP4" s="44"/>
      <c r="ECQ4" s="44"/>
      <c r="ECR4" s="44"/>
      <c r="ECS4" s="44"/>
      <c r="ECT4" s="44"/>
      <c r="ECU4" s="44"/>
      <c r="ECV4" s="44"/>
      <c r="ECW4" s="44"/>
      <c r="ECX4" s="44"/>
      <c r="ECY4" s="43"/>
      <c r="ECZ4" s="44"/>
      <c r="EDA4" s="44"/>
      <c r="EDB4" s="44"/>
      <c r="EDC4" s="44"/>
      <c r="EDD4" s="44"/>
      <c r="EDE4" s="44"/>
      <c r="EDF4" s="44"/>
      <c r="EDG4" s="44"/>
      <c r="EDH4" s="44"/>
      <c r="EDI4" s="44"/>
      <c r="EDJ4" s="44"/>
      <c r="EDK4" s="44"/>
      <c r="EDL4" s="44"/>
      <c r="EDM4" s="44"/>
      <c r="EDN4" s="43"/>
      <c r="EDO4" s="44"/>
      <c r="EDP4" s="44"/>
      <c r="EDQ4" s="44"/>
      <c r="EDR4" s="44"/>
      <c r="EDS4" s="44"/>
      <c r="EDT4" s="44"/>
      <c r="EDU4" s="44"/>
      <c r="EDV4" s="44"/>
      <c r="EDW4" s="44"/>
      <c r="EDX4" s="44"/>
      <c r="EDY4" s="44"/>
      <c r="EDZ4" s="44"/>
      <c r="EEA4" s="44"/>
      <c r="EEB4" s="44"/>
      <c r="EEC4" s="43"/>
      <c r="EED4" s="44"/>
      <c r="EEE4" s="44"/>
      <c r="EEF4" s="44"/>
      <c r="EEG4" s="44"/>
      <c r="EEH4" s="44"/>
      <c r="EEI4" s="44"/>
      <c r="EEJ4" s="44"/>
      <c r="EEK4" s="44"/>
      <c r="EEL4" s="44"/>
      <c r="EEM4" s="44"/>
      <c r="EEN4" s="44"/>
      <c r="EEO4" s="44"/>
      <c r="EEP4" s="44"/>
      <c r="EEQ4" s="44"/>
      <c r="EER4" s="43"/>
      <c r="EES4" s="44"/>
      <c r="EET4" s="44"/>
      <c r="EEU4" s="44"/>
      <c r="EEV4" s="44"/>
      <c r="EEW4" s="44"/>
      <c r="EEX4" s="44"/>
      <c r="EEY4" s="44"/>
      <c r="EEZ4" s="44"/>
      <c r="EFA4" s="44"/>
      <c r="EFB4" s="44"/>
      <c r="EFC4" s="44"/>
      <c r="EFD4" s="44"/>
      <c r="EFE4" s="44"/>
      <c r="EFF4" s="44"/>
      <c r="EFG4" s="43"/>
      <c r="EFH4" s="44"/>
      <c r="EFI4" s="44"/>
      <c r="EFJ4" s="44"/>
      <c r="EFK4" s="44"/>
      <c r="EFL4" s="44"/>
      <c r="EFM4" s="44"/>
      <c r="EFN4" s="44"/>
      <c r="EFO4" s="44"/>
      <c r="EFP4" s="44"/>
      <c r="EFQ4" s="44"/>
      <c r="EFR4" s="44"/>
      <c r="EFS4" s="44"/>
      <c r="EFT4" s="44"/>
      <c r="EFU4" s="44"/>
      <c r="EFV4" s="43"/>
      <c r="EFW4" s="44"/>
      <c r="EFX4" s="44"/>
      <c r="EFY4" s="44"/>
      <c r="EFZ4" s="44"/>
      <c r="EGA4" s="44"/>
      <c r="EGB4" s="44"/>
      <c r="EGC4" s="44"/>
      <c r="EGD4" s="44"/>
      <c r="EGE4" s="44"/>
      <c r="EGF4" s="44"/>
      <c r="EGG4" s="44"/>
      <c r="EGH4" s="44"/>
      <c r="EGI4" s="44"/>
      <c r="EGJ4" s="44"/>
      <c r="EGK4" s="43"/>
      <c r="EGL4" s="44"/>
      <c r="EGM4" s="44"/>
      <c r="EGN4" s="44"/>
      <c r="EGO4" s="44"/>
      <c r="EGP4" s="44"/>
      <c r="EGQ4" s="44"/>
      <c r="EGR4" s="44"/>
      <c r="EGS4" s="44"/>
      <c r="EGT4" s="44"/>
      <c r="EGU4" s="44"/>
      <c r="EGV4" s="44"/>
      <c r="EGW4" s="44"/>
      <c r="EGX4" s="44"/>
      <c r="EGY4" s="44"/>
      <c r="EGZ4" s="43"/>
      <c r="EHA4" s="44"/>
      <c r="EHB4" s="44"/>
      <c r="EHC4" s="44"/>
      <c r="EHD4" s="44"/>
      <c r="EHE4" s="44"/>
      <c r="EHF4" s="44"/>
      <c r="EHG4" s="44"/>
      <c r="EHH4" s="44"/>
      <c r="EHI4" s="44"/>
      <c r="EHJ4" s="44"/>
      <c r="EHK4" s="44"/>
      <c r="EHL4" s="44"/>
      <c r="EHM4" s="44"/>
      <c r="EHN4" s="44"/>
      <c r="EHO4" s="43"/>
      <c r="EHP4" s="44"/>
      <c r="EHQ4" s="44"/>
      <c r="EHR4" s="44"/>
      <c r="EHS4" s="44"/>
      <c r="EHT4" s="44"/>
      <c r="EHU4" s="44"/>
      <c r="EHV4" s="44"/>
      <c r="EHW4" s="44"/>
      <c r="EHX4" s="44"/>
      <c r="EHY4" s="44"/>
      <c r="EHZ4" s="44"/>
      <c r="EIA4" s="44"/>
      <c r="EIB4" s="44"/>
      <c r="EIC4" s="44"/>
      <c r="EID4" s="43"/>
      <c r="EIE4" s="44"/>
      <c r="EIF4" s="44"/>
      <c r="EIG4" s="44"/>
      <c r="EIH4" s="44"/>
      <c r="EII4" s="44"/>
      <c r="EIJ4" s="44"/>
      <c r="EIK4" s="44"/>
      <c r="EIL4" s="44"/>
      <c r="EIM4" s="44"/>
      <c r="EIN4" s="44"/>
      <c r="EIO4" s="44"/>
      <c r="EIP4" s="44"/>
      <c r="EIQ4" s="44"/>
      <c r="EIR4" s="44"/>
      <c r="EIS4" s="43"/>
      <c r="EIT4" s="44"/>
      <c r="EIU4" s="44"/>
      <c r="EIV4" s="44"/>
      <c r="EIW4" s="44"/>
      <c r="EIX4" s="44"/>
      <c r="EIY4" s="44"/>
      <c r="EIZ4" s="44"/>
      <c r="EJA4" s="44"/>
      <c r="EJB4" s="44"/>
      <c r="EJC4" s="44"/>
      <c r="EJD4" s="44"/>
      <c r="EJE4" s="44"/>
      <c r="EJF4" s="44"/>
      <c r="EJG4" s="44"/>
      <c r="EJH4" s="43"/>
      <c r="EJI4" s="44"/>
      <c r="EJJ4" s="44"/>
      <c r="EJK4" s="44"/>
      <c r="EJL4" s="44"/>
      <c r="EJM4" s="44"/>
      <c r="EJN4" s="44"/>
      <c r="EJO4" s="44"/>
      <c r="EJP4" s="44"/>
      <c r="EJQ4" s="44"/>
      <c r="EJR4" s="44"/>
      <c r="EJS4" s="44"/>
      <c r="EJT4" s="44"/>
      <c r="EJU4" s="44"/>
      <c r="EJV4" s="44"/>
      <c r="EJW4" s="43"/>
      <c r="EJX4" s="44"/>
      <c r="EJY4" s="44"/>
      <c r="EJZ4" s="44"/>
      <c r="EKA4" s="44"/>
      <c r="EKB4" s="44"/>
      <c r="EKC4" s="44"/>
      <c r="EKD4" s="44"/>
      <c r="EKE4" s="44"/>
      <c r="EKF4" s="44"/>
      <c r="EKG4" s="44"/>
      <c r="EKH4" s="44"/>
      <c r="EKI4" s="44"/>
      <c r="EKJ4" s="44"/>
      <c r="EKK4" s="44"/>
      <c r="EKL4" s="43"/>
      <c r="EKM4" s="44"/>
      <c r="EKN4" s="44"/>
      <c r="EKO4" s="44"/>
      <c r="EKP4" s="44"/>
      <c r="EKQ4" s="44"/>
      <c r="EKR4" s="44"/>
      <c r="EKS4" s="44"/>
      <c r="EKT4" s="44"/>
      <c r="EKU4" s="44"/>
      <c r="EKV4" s="44"/>
      <c r="EKW4" s="44"/>
      <c r="EKX4" s="44"/>
      <c r="EKY4" s="44"/>
      <c r="EKZ4" s="44"/>
      <c r="ELA4" s="43"/>
      <c r="ELB4" s="44"/>
      <c r="ELC4" s="44"/>
      <c r="ELD4" s="44"/>
      <c r="ELE4" s="44"/>
      <c r="ELF4" s="44"/>
      <c r="ELG4" s="44"/>
      <c r="ELH4" s="44"/>
      <c r="ELI4" s="44"/>
      <c r="ELJ4" s="44"/>
      <c r="ELK4" s="44"/>
      <c r="ELL4" s="44"/>
      <c r="ELM4" s="44"/>
      <c r="ELN4" s="44"/>
      <c r="ELO4" s="44"/>
      <c r="ELP4" s="43"/>
      <c r="ELQ4" s="44"/>
      <c r="ELR4" s="44"/>
      <c r="ELS4" s="44"/>
      <c r="ELT4" s="44"/>
      <c r="ELU4" s="44"/>
      <c r="ELV4" s="44"/>
      <c r="ELW4" s="44"/>
      <c r="ELX4" s="44"/>
      <c r="ELY4" s="44"/>
      <c r="ELZ4" s="44"/>
      <c r="EMA4" s="44"/>
      <c r="EMB4" s="44"/>
      <c r="EMC4" s="44"/>
      <c r="EMD4" s="44"/>
      <c r="EME4" s="43"/>
      <c r="EMF4" s="44"/>
      <c r="EMG4" s="44"/>
      <c r="EMH4" s="44"/>
      <c r="EMI4" s="44"/>
      <c r="EMJ4" s="44"/>
      <c r="EMK4" s="44"/>
      <c r="EML4" s="44"/>
      <c r="EMM4" s="44"/>
      <c r="EMN4" s="44"/>
      <c r="EMO4" s="44"/>
      <c r="EMP4" s="44"/>
      <c r="EMQ4" s="44"/>
      <c r="EMR4" s="44"/>
      <c r="EMS4" s="44"/>
      <c r="EMT4" s="43"/>
      <c r="EMU4" s="44"/>
      <c r="EMV4" s="44"/>
      <c r="EMW4" s="44"/>
      <c r="EMX4" s="44"/>
      <c r="EMY4" s="44"/>
      <c r="EMZ4" s="44"/>
      <c r="ENA4" s="44"/>
      <c r="ENB4" s="44"/>
      <c r="ENC4" s="44"/>
      <c r="END4" s="44"/>
      <c r="ENE4" s="44"/>
      <c r="ENF4" s="44"/>
      <c r="ENG4" s="44"/>
      <c r="ENH4" s="44"/>
      <c r="ENI4" s="43"/>
      <c r="ENJ4" s="44"/>
      <c r="ENK4" s="44"/>
      <c r="ENL4" s="44"/>
      <c r="ENM4" s="44"/>
      <c r="ENN4" s="44"/>
      <c r="ENO4" s="44"/>
      <c r="ENP4" s="44"/>
      <c r="ENQ4" s="44"/>
      <c r="ENR4" s="44"/>
      <c r="ENS4" s="44"/>
      <c r="ENT4" s="44"/>
      <c r="ENU4" s="44"/>
      <c r="ENV4" s="44"/>
      <c r="ENW4" s="44"/>
      <c r="ENX4" s="43"/>
      <c r="ENY4" s="44"/>
      <c r="ENZ4" s="44"/>
      <c r="EOA4" s="44"/>
      <c r="EOB4" s="44"/>
      <c r="EOC4" s="44"/>
      <c r="EOD4" s="44"/>
      <c r="EOE4" s="44"/>
      <c r="EOF4" s="44"/>
      <c r="EOG4" s="44"/>
      <c r="EOH4" s="44"/>
      <c r="EOI4" s="44"/>
      <c r="EOJ4" s="44"/>
      <c r="EOK4" s="44"/>
      <c r="EOL4" s="44"/>
      <c r="EOM4" s="43"/>
      <c r="EON4" s="44"/>
      <c r="EOO4" s="44"/>
      <c r="EOP4" s="44"/>
      <c r="EOQ4" s="44"/>
      <c r="EOR4" s="44"/>
      <c r="EOS4" s="44"/>
      <c r="EOT4" s="44"/>
      <c r="EOU4" s="44"/>
      <c r="EOV4" s="44"/>
      <c r="EOW4" s="44"/>
      <c r="EOX4" s="44"/>
      <c r="EOY4" s="44"/>
      <c r="EOZ4" s="44"/>
      <c r="EPA4" s="44"/>
      <c r="EPB4" s="43"/>
      <c r="EPC4" s="44"/>
      <c r="EPD4" s="44"/>
      <c r="EPE4" s="44"/>
      <c r="EPF4" s="44"/>
      <c r="EPG4" s="44"/>
      <c r="EPH4" s="44"/>
      <c r="EPI4" s="44"/>
      <c r="EPJ4" s="44"/>
      <c r="EPK4" s="44"/>
      <c r="EPL4" s="44"/>
      <c r="EPM4" s="44"/>
      <c r="EPN4" s="44"/>
      <c r="EPO4" s="44"/>
      <c r="EPP4" s="44"/>
      <c r="EPQ4" s="43"/>
      <c r="EPR4" s="44"/>
      <c r="EPS4" s="44"/>
      <c r="EPT4" s="44"/>
      <c r="EPU4" s="44"/>
      <c r="EPV4" s="44"/>
      <c r="EPW4" s="44"/>
      <c r="EPX4" s="44"/>
      <c r="EPY4" s="44"/>
      <c r="EPZ4" s="44"/>
      <c r="EQA4" s="44"/>
      <c r="EQB4" s="44"/>
      <c r="EQC4" s="44"/>
      <c r="EQD4" s="44"/>
      <c r="EQE4" s="44"/>
      <c r="EQF4" s="43"/>
      <c r="EQG4" s="44"/>
      <c r="EQH4" s="44"/>
      <c r="EQI4" s="44"/>
      <c r="EQJ4" s="44"/>
      <c r="EQK4" s="44"/>
      <c r="EQL4" s="44"/>
      <c r="EQM4" s="44"/>
      <c r="EQN4" s="44"/>
      <c r="EQO4" s="44"/>
      <c r="EQP4" s="44"/>
      <c r="EQQ4" s="44"/>
      <c r="EQR4" s="44"/>
      <c r="EQS4" s="44"/>
      <c r="EQT4" s="44"/>
      <c r="EQU4" s="43"/>
      <c r="EQV4" s="44"/>
      <c r="EQW4" s="44"/>
      <c r="EQX4" s="44"/>
      <c r="EQY4" s="44"/>
      <c r="EQZ4" s="44"/>
      <c r="ERA4" s="44"/>
      <c r="ERB4" s="44"/>
      <c r="ERC4" s="44"/>
      <c r="ERD4" s="44"/>
      <c r="ERE4" s="44"/>
      <c r="ERF4" s="44"/>
      <c r="ERG4" s="44"/>
      <c r="ERH4" s="44"/>
      <c r="ERI4" s="44"/>
      <c r="ERJ4" s="43"/>
      <c r="ERK4" s="44"/>
      <c r="ERL4" s="44"/>
      <c r="ERM4" s="44"/>
      <c r="ERN4" s="44"/>
      <c r="ERO4" s="44"/>
      <c r="ERP4" s="44"/>
      <c r="ERQ4" s="44"/>
      <c r="ERR4" s="44"/>
      <c r="ERS4" s="44"/>
      <c r="ERT4" s="44"/>
      <c r="ERU4" s="44"/>
      <c r="ERV4" s="44"/>
      <c r="ERW4" s="44"/>
      <c r="ERX4" s="44"/>
      <c r="ERY4" s="43"/>
      <c r="ERZ4" s="44"/>
      <c r="ESA4" s="44"/>
      <c r="ESB4" s="44"/>
      <c r="ESC4" s="44"/>
      <c r="ESD4" s="44"/>
      <c r="ESE4" s="44"/>
      <c r="ESF4" s="44"/>
      <c r="ESG4" s="44"/>
      <c r="ESH4" s="44"/>
      <c r="ESI4" s="44"/>
      <c r="ESJ4" s="44"/>
      <c r="ESK4" s="44"/>
      <c r="ESL4" s="44"/>
      <c r="ESM4" s="44"/>
      <c r="ESN4" s="43"/>
      <c r="ESO4" s="44"/>
      <c r="ESP4" s="44"/>
      <c r="ESQ4" s="44"/>
      <c r="ESR4" s="44"/>
      <c r="ESS4" s="44"/>
      <c r="EST4" s="44"/>
      <c r="ESU4" s="44"/>
      <c r="ESV4" s="44"/>
      <c r="ESW4" s="44"/>
      <c r="ESX4" s="44"/>
      <c r="ESY4" s="44"/>
      <c r="ESZ4" s="44"/>
      <c r="ETA4" s="44"/>
      <c r="ETB4" s="44"/>
      <c r="ETC4" s="43"/>
      <c r="ETD4" s="44"/>
      <c r="ETE4" s="44"/>
      <c r="ETF4" s="44"/>
      <c r="ETG4" s="44"/>
      <c r="ETH4" s="44"/>
      <c r="ETI4" s="44"/>
      <c r="ETJ4" s="44"/>
      <c r="ETK4" s="44"/>
      <c r="ETL4" s="44"/>
      <c r="ETM4" s="44"/>
      <c r="ETN4" s="44"/>
      <c r="ETO4" s="44"/>
      <c r="ETP4" s="44"/>
      <c r="ETQ4" s="44"/>
      <c r="ETR4" s="43"/>
      <c r="ETS4" s="44"/>
      <c r="ETT4" s="44"/>
      <c r="ETU4" s="44"/>
      <c r="ETV4" s="44"/>
      <c r="ETW4" s="44"/>
      <c r="ETX4" s="44"/>
      <c r="ETY4" s="44"/>
      <c r="ETZ4" s="44"/>
      <c r="EUA4" s="44"/>
      <c r="EUB4" s="44"/>
      <c r="EUC4" s="44"/>
      <c r="EUD4" s="44"/>
      <c r="EUE4" s="44"/>
      <c r="EUF4" s="44"/>
      <c r="EUG4" s="43"/>
      <c r="EUH4" s="44"/>
      <c r="EUI4" s="44"/>
      <c r="EUJ4" s="44"/>
      <c r="EUK4" s="44"/>
      <c r="EUL4" s="44"/>
      <c r="EUM4" s="44"/>
      <c r="EUN4" s="44"/>
      <c r="EUO4" s="44"/>
      <c r="EUP4" s="44"/>
      <c r="EUQ4" s="44"/>
      <c r="EUR4" s="44"/>
      <c r="EUS4" s="44"/>
      <c r="EUT4" s="44"/>
      <c r="EUU4" s="44"/>
      <c r="EUV4" s="43"/>
      <c r="EUW4" s="44"/>
      <c r="EUX4" s="44"/>
      <c r="EUY4" s="44"/>
      <c r="EUZ4" s="44"/>
      <c r="EVA4" s="44"/>
      <c r="EVB4" s="44"/>
      <c r="EVC4" s="44"/>
      <c r="EVD4" s="44"/>
      <c r="EVE4" s="44"/>
      <c r="EVF4" s="44"/>
      <c r="EVG4" s="44"/>
      <c r="EVH4" s="44"/>
      <c r="EVI4" s="44"/>
      <c r="EVJ4" s="44"/>
      <c r="EVK4" s="43"/>
      <c r="EVL4" s="44"/>
      <c r="EVM4" s="44"/>
      <c r="EVN4" s="44"/>
      <c r="EVO4" s="44"/>
      <c r="EVP4" s="44"/>
      <c r="EVQ4" s="44"/>
      <c r="EVR4" s="44"/>
      <c r="EVS4" s="44"/>
      <c r="EVT4" s="44"/>
      <c r="EVU4" s="44"/>
      <c r="EVV4" s="44"/>
      <c r="EVW4" s="44"/>
      <c r="EVX4" s="44"/>
      <c r="EVY4" s="44"/>
      <c r="EVZ4" s="43"/>
      <c r="EWA4" s="44"/>
      <c r="EWB4" s="44"/>
      <c r="EWC4" s="44"/>
      <c r="EWD4" s="44"/>
      <c r="EWE4" s="44"/>
      <c r="EWF4" s="44"/>
      <c r="EWG4" s="44"/>
      <c r="EWH4" s="44"/>
      <c r="EWI4" s="44"/>
      <c r="EWJ4" s="44"/>
      <c r="EWK4" s="44"/>
      <c r="EWL4" s="44"/>
      <c r="EWM4" s="44"/>
      <c r="EWN4" s="44"/>
      <c r="EWO4" s="43"/>
      <c r="EWP4" s="44"/>
      <c r="EWQ4" s="44"/>
      <c r="EWR4" s="44"/>
      <c r="EWS4" s="44"/>
      <c r="EWT4" s="44"/>
      <c r="EWU4" s="44"/>
      <c r="EWV4" s="44"/>
      <c r="EWW4" s="44"/>
      <c r="EWX4" s="44"/>
      <c r="EWY4" s="44"/>
      <c r="EWZ4" s="44"/>
      <c r="EXA4" s="44"/>
      <c r="EXB4" s="44"/>
      <c r="EXC4" s="44"/>
      <c r="EXD4" s="43"/>
      <c r="EXE4" s="44"/>
      <c r="EXF4" s="44"/>
      <c r="EXG4" s="44"/>
      <c r="EXH4" s="44"/>
      <c r="EXI4" s="44"/>
      <c r="EXJ4" s="44"/>
      <c r="EXK4" s="44"/>
      <c r="EXL4" s="44"/>
      <c r="EXM4" s="44"/>
      <c r="EXN4" s="44"/>
      <c r="EXO4" s="44"/>
      <c r="EXP4" s="44"/>
      <c r="EXQ4" s="44"/>
      <c r="EXR4" s="44"/>
      <c r="EXS4" s="43"/>
      <c r="EXT4" s="44"/>
      <c r="EXU4" s="44"/>
      <c r="EXV4" s="44"/>
      <c r="EXW4" s="44"/>
      <c r="EXX4" s="44"/>
      <c r="EXY4" s="44"/>
      <c r="EXZ4" s="44"/>
      <c r="EYA4" s="44"/>
      <c r="EYB4" s="44"/>
      <c r="EYC4" s="44"/>
      <c r="EYD4" s="44"/>
      <c r="EYE4" s="44"/>
      <c r="EYF4" s="44"/>
      <c r="EYG4" s="44"/>
      <c r="EYH4" s="43"/>
      <c r="EYI4" s="44"/>
      <c r="EYJ4" s="44"/>
      <c r="EYK4" s="44"/>
      <c r="EYL4" s="44"/>
      <c r="EYM4" s="44"/>
      <c r="EYN4" s="44"/>
      <c r="EYO4" s="44"/>
      <c r="EYP4" s="44"/>
      <c r="EYQ4" s="44"/>
      <c r="EYR4" s="44"/>
      <c r="EYS4" s="44"/>
      <c r="EYT4" s="44"/>
      <c r="EYU4" s="44"/>
      <c r="EYV4" s="44"/>
      <c r="EYW4" s="43"/>
      <c r="EYX4" s="44"/>
      <c r="EYY4" s="44"/>
      <c r="EYZ4" s="44"/>
      <c r="EZA4" s="44"/>
      <c r="EZB4" s="44"/>
      <c r="EZC4" s="44"/>
      <c r="EZD4" s="44"/>
      <c r="EZE4" s="44"/>
      <c r="EZF4" s="44"/>
      <c r="EZG4" s="44"/>
      <c r="EZH4" s="44"/>
      <c r="EZI4" s="44"/>
      <c r="EZJ4" s="44"/>
      <c r="EZK4" s="44"/>
      <c r="EZL4" s="43"/>
      <c r="EZM4" s="44"/>
      <c r="EZN4" s="44"/>
      <c r="EZO4" s="44"/>
      <c r="EZP4" s="44"/>
      <c r="EZQ4" s="44"/>
      <c r="EZR4" s="44"/>
      <c r="EZS4" s="44"/>
      <c r="EZT4" s="44"/>
      <c r="EZU4" s="44"/>
      <c r="EZV4" s="44"/>
      <c r="EZW4" s="44"/>
      <c r="EZX4" s="44"/>
      <c r="EZY4" s="44"/>
      <c r="EZZ4" s="44"/>
      <c r="FAA4" s="43"/>
      <c r="FAB4" s="44"/>
      <c r="FAC4" s="44"/>
      <c r="FAD4" s="44"/>
      <c r="FAE4" s="44"/>
      <c r="FAF4" s="44"/>
      <c r="FAG4" s="44"/>
      <c r="FAH4" s="44"/>
      <c r="FAI4" s="44"/>
      <c r="FAJ4" s="44"/>
      <c r="FAK4" s="44"/>
      <c r="FAL4" s="44"/>
      <c r="FAM4" s="44"/>
      <c r="FAN4" s="44"/>
      <c r="FAO4" s="44"/>
      <c r="FAP4" s="43"/>
      <c r="FAQ4" s="44"/>
      <c r="FAR4" s="44"/>
      <c r="FAS4" s="44"/>
      <c r="FAT4" s="44"/>
      <c r="FAU4" s="44"/>
      <c r="FAV4" s="44"/>
      <c r="FAW4" s="44"/>
      <c r="FAX4" s="44"/>
      <c r="FAY4" s="44"/>
      <c r="FAZ4" s="44"/>
      <c r="FBA4" s="44"/>
      <c r="FBB4" s="44"/>
      <c r="FBC4" s="44"/>
      <c r="FBD4" s="44"/>
      <c r="FBE4" s="43"/>
      <c r="FBF4" s="44"/>
      <c r="FBG4" s="44"/>
      <c r="FBH4" s="44"/>
      <c r="FBI4" s="44"/>
      <c r="FBJ4" s="44"/>
      <c r="FBK4" s="44"/>
      <c r="FBL4" s="44"/>
      <c r="FBM4" s="44"/>
      <c r="FBN4" s="44"/>
      <c r="FBO4" s="44"/>
      <c r="FBP4" s="44"/>
      <c r="FBQ4" s="44"/>
      <c r="FBR4" s="44"/>
      <c r="FBS4" s="44"/>
      <c r="FBT4" s="43"/>
      <c r="FBU4" s="44"/>
      <c r="FBV4" s="44"/>
      <c r="FBW4" s="44"/>
      <c r="FBX4" s="44"/>
      <c r="FBY4" s="44"/>
      <c r="FBZ4" s="44"/>
      <c r="FCA4" s="44"/>
      <c r="FCB4" s="44"/>
      <c r="FCC4" s="44"/>
      <c r="FCD4" s="44"/>
      <c r="FCE4" s="44"/>
      <c r="FCF4" s="44"/>
      <c r="FCG4" s="44"/>
      <c r="FCH4" s="44"/>
      <c r="FCI4" s="43"/>
      <c r="FCJ4" s="44"/>
      <c r="FCK4" s="44"/>
      <c r="FCL4" s="44"/>
      <c r="FCM4" s="44"/>
      <c r="FCN4" s="44"/>
      <c r="FCO4" s="44"/>
      <c r="FCP4" s="44"/>
      <c r="FCQ4" s="44"/>
      <c r="FCR4" s="44"/>
      <c r="FCS4" s="44"/>
      <c r="FCT4" s="44"/>
      <c r="FCU4" s="44"/>
      <c r="FCV4" s="44"/>
      <c r="FCW4" s="44"/>
      <c r="FCX4" s="43"/>
      <c r="FCY4" s="44"/>
      <c r="FCZ4" s="44"/>
      <c r="FDA4" s="44"/>
      <c r="FDB4" s="44"/>
      <c r="FDC4" s="44"/>
      <c r="FDD4" s="44"/>
      <c r="FDE4" s="44"/>
      <c r="FDF4" s="44"/>
      <c r="FDG4" s="44"/>
      <c r="FDH4" s="44"/>
      <c r="FDI4" s="44"/>
      <c r="FDJ4" s="44"/>
      <c r="FDK4" s="44"/>
      <c r="FDL4" s="44"/>
      <c r="FDM4" s="43"/>
      <c r="FDN4" s="44"/>
      <c r="FDO4" s="44"/>
      <c r="FDP4" s="44"/>
      <c r="FDQ4" s="44"/>
      <c r="FDR4" s="44"/>
      <c r="FDS4" s="44"/>
      <c r="FDT4" s="44"/>
      <c r="FDU4" s="44"/>
      <c r="FDV4" s="44"/>
      <c r="FDW4" s="44"/>
      <c r="FDX4" s="44"/>
      <c r="FDY4" s="44"/>
      <c r="FDZ4" s="44"/>
      <c r="FEA4" s="44"/>
      <c r="FEB4" s="43"/>
      <c r="FEC4" s="44"/>
      <c r="FED4" s="44"/>
      <c r="FEE4" s="44"/>
      <c r="FEF4" s="44"/>
      <c r="FEG4" s="44"/>
      <c r="FEH4" s="44"/>
      <c r="FEI4" s="44"/>
      <c r="FEJ4" s="44"/>
      <c r="FEK4" s="44"/>
      <c r="FEL4" s="44"/>
      <c r="FEM4" s="44"/>
      <c r="FEN4" s="44"/>
      <c r="FEO4" s="44"/>
      <c r="FEP4" s="44"/>
      <c r="FEQ4" s="43"/>
      <c r="FER4" s="44"/>
      <c r="FES4" s="44"/>
      <c r="FET4" s="44"/>
      <c r="FEU4" s="44"/>
      <c r="FEV4" s="44"/>
      <c r="FEW4" s="44"/>
      <c r="FEX4" s="44"/>
      <c r="FEY4" s="44"/>
      <c r="FEZ4" s="44"/>
      <c r="FFA4" s="44"/>
      <c r="FFB4" s="44"/>
      <c r="FFC4" s="44"/>
      <c r="FFD4" s="44"/>
      <c r="FFE4" s="44"/>
      <c r="FFF4" s="43"/>
      <c r="FFG4" s="44"/>
      <c r="FFH4" s="44"/>
      <c r="FFI4" s="44"/>
      <c r="FFJ4" s="44"/>
      <c r="FFK4" s="44"/>
      <c r="FFL4" s="44"/>
      <c r="FFM4" s="44"/>
      <c r="FFN4" s="44"/>
      <c r="FFO4" s="44"/>
      <c r="FFP4" s="44"/>
      <c r="FFQ4" s="44"/>
      <c r="FFR4" s="44"/>
      <c r="FFS4" s="44"/>
      <c r="FFT4" s="44"/>
      <c r="FFU4" s="43"/>
      <c r="FFV4" s="44"/>
      <c r="FFW4" s="44"/>
      <c r="FFX4" s="44"/>
      <c r="FFY4" s="44"/>
      <c r="FFZ4" s="44"/>
      <c r="FGA4" s="44"/>
      <c r="FGB4" s="44"/>
      <c r="FGC4" s="44"/>
      <c r="FGD4" s="44"/>
      <c r="FGE4" s="44"/>
      <c r="FGF4" s="44"/>
      <c r="FGG4" s="44"/>
      <c r="FGH4" s="44"/>
      <c r="FGI4" s="44"/>
      <c r="FGJ4" s="43"/>
      <c r="FGK4" s="44"/>
      <c r="FGL4" s="44"/>
      <c r="FGM4" s="44"/>
      <c r="FGN4" s="44"/>
      <c r="FGO4" s="44"/>
      <c r="FGP4" s="44"/>
      <c r="FGQ4" s="44"/>
      <c r="FGR4" s="44"/>
      <c r="FGS4" s="44"/>
      <c r="FGT4" s="44"/>
      <c r="FGU4" s="44"/>
      <c r="FGV4" s="44"/>
      <c r="FGW4" s="44"/>
      <c r="FGX4" s="44"/>
      <c r="FGY4" s="43"/>
      <c r="FGZ4" s="44"/>
      <c r="FHA4" s="44"/>
      <c r="FHB4" s="44"/>
      <c r="FHC4" s="44"/>
      <c r="FHD4" s="44"/>
      <c r="FHE4" s="44"/>
      <c r="FHF4" s="44"/>
      <c r="FHG4" s="44"/>
      <c r="FHH4" s="44"/>
      <c r="FHI4" s="44"/>
      <c r="FHJ4" s="44"/>
      <c r="FHK4" s="44"/>
      <c r="FHL4" s="44"/>
      <c r="FHM4" s="44"/>
      <c r="FHN4" s="43"/>
      <c r="FHO4" s="44"/>
      <c r="FHP4" s="44"/>
      <c r="FHQ4" s="44"/>
      <c r="FHR4" s="44"/>
      <c r="FHS4" s="44"/>
      <c r="FHT4" s="44"/>
      <c r="FHU4" s="44"/>
      <c r="FHV4" s="44"/>
      <c r="FHW4" s="44"/>
      <c r="FHX4" s="44"/>
      <c r="FHY4" s="44"/>
      <c r="FHZ4" s="44"/>
      <c r="FIA4" s="44"/>
      <c r="FIB4" s="44"/>
      <c r="FIC4" s="43"/>
      <c r="FID4" s="44"/>
      <c r="FIE4" s="44"/>
      <c r="FIF4" s="44"/>
      <c r="FIG4" s="44"/>
      <c r="FIH4" s="44"/>
      <c r="FII4" s="44"/>
      <c r="FIJ4" s="44"/>
      <c r="FIK4" s="44"/>
      <c r="FIL4" s="44"/>
      <c r="FIM4" s="44"/>
      <c r="FIN4" s="44"/>
      <c r="FIO4" s="44"/>
      <c r="FIP4" s="44"/>
      <c r="FIQ4" s="44"/>
      <c r="FIR4" s="43"/>
      <c r="FIS4" s="44"/>
      <c r="FIT4" s="44"/>
      <c r="FIU4" s="44"/>
      <c r="FIV4" s="44"/>
      <c r="FIW4" s="44"/>
      <c r="FIX4" s="44"/>
      <c r="FIY4" s="44"/>
      <c r="FIZ4" s="44"/>
      <c r="FJA4" s="44"/>
      <c r="FJB4" s="44"/>
      <c r="FJC4" s="44"/>
      <c r="FJD4" s="44"/>
      <c r="FJE4" s="44"/>
      <c r="FJF4" s="44"/>
      <c r="FJG4" s="43"/>
      <c r="FJH4" s="44"/>
      <c r="FJI4" s="44"/>
      <c r="FJJ4" s="44"/>
      <c r="FJK4" s="44"/>
      <c r="FJL4" s="44"/>
      <c r="FJM4" s="44"/>
      <c r="FJN4" s="44"/>
      <c r="FJO4" s="44"/>
      <c r="FJP4" s="44"/>
      <c r="FJQ4" s="44"/>
      <c r="FJR4" s="44"/>
      <c r="FJS4" s="44"/>
      <c r="FJT4" s="44"/>
      <c r="FJU4" s="44"/>
      <c r="FJV4" s="43"/>
      <c r="FJW4" s="44"/>
      <c r="FJX4" s="44"/>
      <c r="FJY4" s="44"/>
      <c r="FJZ4" s="44"/>
      <c r="FKA4" s="44"/>
      <c r="FKB4" s="44"/>
      <c r="FKC4" s="44"/>
      <c r="FKD4" s="44"/>
      <c r="FKE4" s="44"/>
      <c r="FKF4" s="44"/>
      <c r="FKG4" s="44"/>
      <c r="FKH4" s="44"/>
      <c r="FKI4" s="44"/>
      <c r="FKJ4" s="44"/>
      <c r="FKK4" s="43"/>
      <c r="FKL4" s="44"/>
      <c r="FKM4" s="44"/>
      <c r="FKN4" s="44"/>
      <c r="FKO4" s="44"/>
      <c r="FKP4" s="44"/>
      <c r="FKQ4" s="44"/>
      <c r="FKR4" s="44"/>
      <c r="FKS4" s="44"/>
      <c r="FKT4" s="44"/>
      <c r="FKU4" s="44"/>
      <c r="FKV4" s="44"/>
      <c r="FKW4" s="44"/>
      <c r="FKX4" s="44"/>
      <c r="FKY4" s="44"/>
      <c r="FKZ4" s="43"/>
      <c r="FLA4" s="44"/>
      <c r="FLB4" s="44"/>
      <c r="FLC4" s="44"/>
      <c r="FLD4" s="44"/>
      <c r="FLE4" s="44"/>
      <c r="FLF4" s="44"/>
      <c r="FLG4" s="44"/>
      <c r="FLH4" s="44"/>
      <c r="FLI4" s="44"/>
      <c r="FLJ4" s="44"/>
      <c r="FLK4" s="44"/>
      <c r="FLL4" s="44"/>
      <c r="FLM4" s="44"/>
      <c r="FLN4" s="44"/>
      <c r="FLO4" s="43"/>
      <c r="FLP4" s="44"/>
      <c r="FLQ4" s="44"/>
      <c r="FLR4" s="44"/>
      <c r="FLS4" s="44"/>
      <c r="FLT4" s="44"/>
      <c r="FLU4" s="44"/>
      <c r="FLV4" s="44"/>
      <c r="FLW4" s="44"/>
      <c r="FLX4" s="44"/>
      <c r="FLY4" s="44"/>
      <c r="FLZ4" s="44"/>
      <c r="FMA4" s="44"/>
      <c r="FMB4" s="44"/>
      <c r="FMC4" s="44"/>
      <c r="FMD4" s="43"/>
      <c r="FME4" s="44"/>
      <c r="FMF4" s="44"/>
      <c r="FMG4" s="44"/>
      <c r="FMH4" s="44"/>
      <c r="FMI4" s="44"/>
      <c r="FMJ4" s="44"/>
      <c r="FMK4" s="44"/>
      <c r="FML4" s="44"/>
      <c r="FMM4" s="44"/>
      <c r="FMN4" s="44"/>
      <c r="FMO4" s="44"/>
      <c r="FMP4" s="44"/>
      <c r="FMQ4" s="44"/>
      <c r="FMR4" s="44"/>
      <c r="FMS4" s="43"/>
      <c r="FMT4" s="44"/>
      <c r="FMU4" s="44"/>
      <c r="FMV4" s="44"/>
      <c r="FMW4" s="44"/>
      <c r="FMX4" s="44"/>
      <c r="FMY4" s="44"/>
      <c r="FMZ4" s="44"/>
      <c r="FNA4" s="44"/>
      <c r="FNB4" s="44"/>
      <c r="FNC4" s="44"/>
      <c r="FND4" s="44"/>
      <c r="FNE4" s="44"/>
      <c r="FNF4" s="44"/>
      <c r="FNG4" s="44"/>
      <c r="FNH4" s="43"/>
      <c r="FNI4" s="44"/>
      <c r="FNJ4" s="44"/>
      <c r="FNK4" s="44"/>
      <c r="FNL4" s="44"/>
      <c r="FNM4" s="44"/>
      <c r="FNN4" s="44"/>
      <c r="FNO4" s="44"/>
      <c r="FNP4" s="44"/>
      <c r="FNQ4" s="44"/>
      <c r="FNR4" s="44"/>
      <c r="FNS4" s="44"/>
      <c r="FNT4" s="44"/>
      <c r="FNU4" s="44"/>
      <c r="FNV4" s="44"/>
      <c r="FNW4" s="43"/>
      <c r="FNX4" s="44"/>
      <c r="FNY4" s="44"/>
      <c r="FNZ4" s="44"/>
      <c r="FOA4" s="44"/>
      <c r="FOB4" s="44"/>
      <c r="FOC4" s="44"/>
      <c r="FOD4" s="44"/>
      <c r="FOE4" s="44"/>
      <c r="FOF4" s="44"/>
      <c r="FOG4" s="44"/>
      <c r="FOH4" s="44"/>
      <c r="FOI4" s="44"/>
      <c r="FOJ4" s="44"/>
      <c r="FOK4" s="44"/>
      <c r="FOL4" s="43"/>
      <c r="FOM4" s="44"/>
      <c r="FON4" s="44"/>
      <c r="FOO4" s="44"/>
      <c r="FOP4" s="44"/>
      <c r="FOQ4" s="44"/>
      <c r="FOR4" s="44"/>
      <c r="FOS4" s="44"/>
      <c r="FOT4" s="44"/>
      <c r="FOU4" s="44"/>
      <c r="FOV4" s="44"/>
      <c r="FOW4" s="44"/>
      <c r="FOX4" s="44"/>
      <c r="FOY4" s="44"/>
      <c r="FOZ4" s="44"/>
      <c r="FPA4" s="43"/>
      <c r="FPB4" s="44"/>
      <c r="FPC4" s="44"/>
      <c r="FPD4" s="44"/>
      <c r="FPE4" s="44"/>
      <c r="FPF4" s="44"/>
      <c r="FPG4" s="44"/>
      <c r="FPH4" s="44"/>
      <c r="FPI4" s="44"/>
      <c r="FPJ4" s="44"/>
      <c r="FPK4" s="44"/>
      <c r="FPL4" s="44"/>
      <c r="FPM4" s="44"/>
      <c r="FPN4" s="44"/>
      <c r="FPO4" s="44"/>
      <c r="FPP4" s="43"/>
      <c r="FPQ4" s="44"/>
      <c r="FPR4" s="44"/>
      <c r="FPS4" s="44"/>
      <c r="FPT4" s="44"/>
      <c r="FPU4" s="44"/>
      <c r="FPV4" s="44"/>
      <c r="FPW4" s="44"/>
      <c r="FPX4" s="44"/>
      <c r="FPY4" s="44"/>
      <c r="FPZ4" s="44"/>
      <c r="FQA4" s="44"/>
      <c r="FQB4" s="44"/>
      <c r="FQC4" s="44"/>
      <c r="FQD4" s="44"/>
      <c r="FQE4" s="43"/>
      <c r="FQF4" s="44"/>
      <c r="FQG4" s="44"/>
      <c r="FQH4" s="44"/>
      <c r="FQI4" s="44"/>
      <c r="FQJ4" s="44"/>
      <c r="FQK4" s="44"/>
      <c r="FQL4" s="44"/>
      <c r="FQM4" s="44"/>
      <c r="FQN4" s="44"/>
      <c r="FQO4" s="44"/>
      <c r="FQP4" s="44"/>
      <c r="FQQ4" s="44"/>
      <c r="FQR4" s="44"/>
      <c r="FQS4" s="44"/>
      <c r="FQT4" s="43"/>
      <c r="FQU4" s="44"/>
      <c r="FQV4" s="44"/>
      <c r="FQW4" s="44"/>
      <c r="FQX4" s="44"/>
      <c r="FQY4" s="44"/>
      <c r="FQZ4" s="44"/>
      <c r="FRA4" s="44"/>
      <c r="FRB4" s="44"/>
      <c r="FRC4" s="44"/>
      <c r="FRD4" s="44"/>
      <c r="FRE4" s="44"/>
      <c r="FRF4" s="44"/>
      <c r="FRG4" s="44"/>
      <c r="FRH4" s="44"/>
      <c r="FRI4" s="43"/>
      <c r="FRJ4" s="44"/>
      <c r="FRK4" s="44"/>
      <c r="FRL4" s="44"/>
      <c r="FRM4" s="44"/>
      <c r="FRN4" s="44"/>
      <c r="FRO4" s="44"/>
      <c r="FRP4" s="44"/>
      <c r="FRQ4" s="44"/>
      <c r="FRR4" s="44"/>
      <c r="FRS4" s="44"/>
      <c r="FRT4" s="44"/>
      <c r="FRU4" s="44"/>
      <c r="FRV4" s="44"/>
      <c r="FRW4" s="44"/>
      <c r="FRX4" s="43"/>
      <c r="FRY4" s="44"/>
      <c r="FRZ4" s="44"/>
      <c r="FSA4" s="44"/>
      <c r="FSB4" s="44"/>
      <c r="FSC4" s="44"/>
      <c r="FSD4" s="44"/>
      <c r="FSE4" s="44"/>
      <c r="FSF4" s="44"/>
      <c r="FSG4" s="44"/>
      <c r="FSH4" s="44"/>
      <c r="FSI4" s="44"/>
      <c r="FSJ4" s="44"/>
      <c r="FSK4" s="44"/>
      <c r="FSL4" s="44"/>
      <c r="FSM4" s="43"/>
      <c r="FSN4" s="44"/>
      <c r="FSO4" s="44"/>
      <c r="FSP4" s="44"/>
      <c r="FSQ4" s="44"/>
      <c r="FSR4" s="44"/>
      <c r="FSS4" s="44"/>
      <c r="FST4" s="44"/>
      <c r="FSU4" s="44"/>
      <c r="FSV4" s="44"/>
      <c r="FSW4" s="44"/>
      <c r="FSX4" s="44"/>
      <c r="FSY4" s="44"/>
      <c r="FSZ4" s="44"/>
      <c r="FTA4" s="44"/>
      <c r="FTB4" s="43"/>
      <c r="FTC4" s="44"/>
      <c r="FTD4" s="44"/>
      <c r="FTE4" s="44"/>
      <c r="FTF4" s="44"/>
      <c r="FTG4" s="44"/>
      <c r="FTH4" s="44"/>
      <c r="FTI4" s="44"/>
      <c r="FTJ4" s="44"/>
      <c r="FTK4" s="44"/>
      <c r="FTL4" s="44"/>
      <c r="FTM4" s="44"/>
      <c r="FTN4" s="44"/>
      <c r="FTO4" s="44"/>
      <c r="FTP4" s="44"/>
      <c r="FTQ4" s="43"/>
      <c r="FTR4" s="44"/>
      <c r="FTS4" s="44"/>
      <c r="FTT4" s="44"/>
      <c r="FTU4" s="44"/>
      <c r="FTV4" s="44"/>
      <c r="FTW4" s="44"/>
      <c r="FTX4" s="44"/>
      <c r="FTY4" s="44"/>
      <c r="FTZ4" s="44"/>
      <c r="FUA4" s="44"/>
      <c r="FUB4" s="44"/>
      <c r="FUC4" s="44"/>
      <c r="FUD4" s="44"/>
      <c r="FUE4" s="44"/>
      <c r="FUF4" s="43"/>
      <c r="FUG4" s="44"/>
      <c r="FUH4" s="44"/>
      <c r="FUI4" s="44"/>
      <c r="FUJ4" s="44"/>
      <c r="FUK4" s="44"/>
      <c r="FUL4" s="44"/>
      <c r="FUM4" s="44"/>
      <c r="FUN4" s="44"/>
      <c r="FUO4" s="44"/>
      <c r="FUP4" s="44"/>
      <c r="FUQ4" s="44"/>
      <c r="FUR4" s="44"/>
      <c r="FUS4" s="44"/>
      <c r="FUT4" s="44"/>
      <c r="FUU4" s="43"/>
      <c r="FUV4" s="44"/>
      <c r="FUW4" s="44"/>
      <c r="FUX4" s="44"/>
      <c r="FUY4" s="44"/>
      <c r="FUZ4" s="44"/>
      <c r="FVA4" s="44"/>
      <c r="FVB4" s="44"/>
      <c r="FVC4" s="44"/>
      <c r="FVD4" s="44"/>
      <c r="FVE4" s="44"/>
      <c r="FVF4" s="44"/>
      <c r="FVG4" s="44"/>
      <c r="FVH4" s="44"/>
      <c r="FVI4" s="44"/>
      <c r="FVJ4" s="43"/>
      <c r="FVK4" s="44"/>
      <c r="FVL4" s="44"/>
      <c r="FVM4" s="44"/>
      <c r="FVN4" s="44"/>
      <c r="FVO4" s="44"/>
      <c r="FVP4" s="44"/>
      <c r="FVQ4" s="44"/>
      <c r="FVR4" s="44"/>
      <c r="FVS4" s="44"/>
      <c r="FVT4" s="44"/>
      <c r="FVU4" s="44"/>
      <c r="FVV4" s="44"/>
      <c r="FVW4" s="44"/>
      <c r="FVX4" s="44"/>
      <c r="FVY4" s="43"/>
      <c r="FVZ4" s="44"/>
      <c r="FWA4" s="44"/>
      <c r="FWB4" s="44"/>
      <c r="FWC4" s="44"/>
      <c r="FWD4" s="44"/>
      <c r="FWE4" s="44"/>
      <c r="FWF4" s="44"/>
      <c r="FWG4" s="44"/>
      <c r="FWH4" s="44"/>
      <c r="FWI4" s="44"/>
      <c r="FWJ4" s="44"/>
      <c r="FWK4" s="44"/>
      <c r="FWL4" s="44"/>
      <c r="FWM4" s="44"/>
      <c r="FWN4" s="43"/>
      <c r="FWO4" s="44"/>
      <c r="FWP4" s="44"/>
      <c r="FWQ4" s="44"/>
      <c r="FWR4" s="44"/>
      <c r="FWS4" s="44"/>
      <c r="FWT4" s="44"/>
      <c r="FWU4" s="44"/>
      <c r="FWV4" s="44"/>
      <c r="FWW4" s="44"/>
      <c r="FWX4" s="44"/>
      <c r="FWY4" s="44"/>
      <c r="FWZ4" s="44"/>
      <c r="FXA4" s="44"/>
      <c r="FXB4" s="44"/>
      <c r="FXC4" s="43"/>
      <c r="FXD4" s="44"/>
      <c r="FXE4" s="44"/>
      <c r="FXF4" s="44"/>
      <c r="FXG4" s="44"/>
      <c r="FXH4" s="44"/>
      <c r="FXI4" s="44"/>
      <c r="FXJ4" s="44"/>
      <c r="FXK4" s="44"/>
      <c r="FXL4" s="44"/>
      <c r="FXM4" s="44"/>
      <c r="FXN4" s="44"/>
      <c r="FXO4" s="44"/>
      <c r="FXP4" s="44"/>
      <c r="FXQ4" s="44"/>
      <c r="FXR4" s="43"/>
      <c r="FXS4" s="44"/>
      <c r="FXT4" s="44"/>
      <c r="FXU4" s="44"/>
      <c r="FXV4" s="44"/>
      <c r="FXW4" s="44"/>
      <c r="FXX4" s="44"/>
      <c r="FXY4" s="44"/>
      <c r="FXZ4" s="44"/>
      <c r="FYA4" s="44"/>
      <c r="FYB4" s="44"/>
      <c r="FYC4" s="44"/>
      <c r="FYD4" s="44"/>
      <c r="FYE4" s="44"/>
      <c r="FYF4" s="44"/>
      <c r="FYG4" s="43"/>
      <c r="FYH4" s="44"/>
      <c r="FYI4" s="44"/>
      <c r="FYJ4" s="44"/>
      <c r="FYK4" s="44"/>
      <c r="FYL4" s="44"/>
      <c r="FYM4" s="44"/>
      <c r="FYN4" s="44"/>
      <c r="FYO4" s="44"/>
      <c r="FYP4" s="44"/>
      <c r="FYQ4" s="44"/>
      <c r="FYR4" s="44"/>
      <c r="FYS4" s="44"/>
      <c r="FYT4" s="44"/>
      <c r="FYU4" s="44"/>
      <c r="FYV4" s="43"/>
      <c r="FYW4" s="44"/>
      <c r="FYX4" s="44"/>
      <c r="FYY4" s="44"/>
      <c r="FYZ4" s="44"/>
      <c r="FZA4" s="44"/>
      <c r="FZB4" s="44"/>
      <c r="FZC4" s="44"/>
      <c r="FZD4" s="44"/>
      <c r="FZE4" s="44"/>
      <c r="FZF4" s="44"/>
      <c r="FZG4" s="44"/>
      <c r="FZH4" s="44"/>
      <c r="FZI4" s="44"/>
      <c r="FZJ4" s="44"/>
      <c r="FZK4" s="43"/>
      <c r="FZL4" s="44"/>
      <c r="FZM4" s="44"/>
      <c r="FZN4" s="44"/>
      <c r="FZO4" s="44"/>
      <c r="FZP4" s="44"/>
      <c r="FZQ4" s="44"/>
      <c r="FZR4" s="44"/>
      <c r="FZS4" s="44"/>
      <c r="FZT4" s="44"/>
      <c r="FZU4" s="44"/>
      <c r="FZV4" s="44"/>
      <c r="FZW4" s="44"/>
      <c r="FZX4" s="44"/>
      <c r="FZY4" s="44"/>
      <c r="FZZ4" s="43"/>
      <c r="GAA4" s="44"/>
      <c r="GAB4" s="44"/>
      <c r="GAC4" s="44"/>
      <c r="GAD4" s="44"/>
      <c r="GAE4" s="44"/>
      <c r="GAF4" s="44"/>
      <c r="GAG4" s="44"/>
      <c r="GAH4" s="44"/>
      <c r="GAI4" s="44"/>
      <c r="GAJ4" s="44"/>
      <c r="GAK4" s="44"/>
      <c r="GAL4" s="44"/>
      <c r="GAM4" s="44"/>
      <c r="GAN4" s="44"/>
      <c r="GAO4" s="43"/>
      <c r="GAP4" s="44"/>
      <c r="GAQ4" s="44"/>
      <c r="GAR4" s="44"/>
      <c r="GAS4" s="44"/>
      <c r="GAT4" s="44"/>
      <c r="GAU4" s="44"/>
      <c r="GAV4" s="44"/>
      <c r="GAW4" s="44"/>
      <c r="GAX4" s="44"/>
      <c r="GAY4" s="44"/>
      <c r="GAZ4" s="44"/>
      <c r="GBA4" s="44"/>
      <c r="GBB4" s="44"/>
      <c r="GBC4" s="44"/>
      <c r="GBD4" s="43"/>
      <c r="GBE4" s="44"/>
      <c r="GBF4" s="44"/>
      <c r="GBG4" s="44"/>
      <c r="GBH4" s="44"/>
      <c r="GBI4" s="44"/>
      <c r="GBJ4" s="44"/>
      <c r="GBK4" s="44"/>
      <c r="GBL4" s="44"/>
      <c r="GBM4" s="44"/>
      <c r="GBN4" s="44"/>
      <c r="GBO4" s="44"/>
      <c r="GBP4" s="44"/>
      <c r="GBQ4" s="44"/>
      <c r="GBR4" s="44"/>
      <c r="GBS4" s="43"/>
      <c r="GBT4" s="44"/>
      <c r="GBU4" s="44"/>
      <c r="GBV4" s="44"/>
      <c r="GBW4" s="44"/>
      <c r="GBX4" s="44"/>
      <c r="GBY4" s="44"/>
      <c r="GBZ4" s="44"/>
      <c r="GCA4" s="44"/>
      <c r="GCB4" s="44"/>
      <c r="GCC4" s="44"/>
      <c r="GCD4" s="44"/>
      <c r="GCE4" s="44"/>
      <c r="GCF4" s="44"/>
      <c r="GCG4" s="44"/>
      <c r="GCH4" s="43"/>
      <c r="GCI4" s="44"/>
      <c r="GCJ4" s="44"/>
      <c r="GCK4" s="44"/>
      <c r="GCL4" s="44"/>
      <c r="GCM4" s="44"/>
      <c r="GCN4" s="44"/>
      <c r="GCO4" s="44"/>
      <c r="GCP4" s="44"/>
      <c r="GCQ4" s="44"/>
      <c r="GCR4" s="44"/>
      <c r="GCS4" s="44"/>
      <c r="GCT4" s="44"/>
      <c r="GCU4" s="44"/>
      <c r="GCV4" s="44"/>
      <c r="GCW4" s="43"/>
      <c r="GCX4" s="44"/>
      <c r="GCY4" s="44"/>
      <c r="GCZ4" s="44"/>
      <c r="GDA4" s="44"/>
      <c r="GDB4" s="44"/>
      <c r="GDC4" s="44"/>
      <c r="GDD4" s="44"/>
      <c r="GDE4" s="44"/>
      <c r="GDF4" s="44"/>
      <c r="GDG4" s="44"/>
      <c r="GDH4" s="44"/>
      <c r="GDI4" s="44"/>
      <c r="GDJ4" s="44"/>
      <c r="GDK4" s="44"/>
      <c r="GDL4" s="43"/>
      <c r="GDM4" s="44"/>
      <c r="GDN4" s="44"/>
      <c r="GDO4" s="44"/>
      <c r="GDP4" s="44"/>
      <c r="GDQ4" s="44"/>
      <c r="GDR4" s="44"/>
      <c r="GDS4" s="44"/>
      <c r="GDT4" s="44"/>
      <c r="GDU4" s="44"/>
      <c r="GDV4" s="44"/>
      <c r="GDW4" s="44"/>
      <c r="GDX4" s="44"/>
      <c r="GDY4" s="44"/>
      <c r="GDZ4" s="44"/>
      <c r="GEA4" s="43"/>
      <c r="GEB4" s="44"/>
      <c r="GEC4" s="44"/>
      <c r="GED4" s="44"/>
      <c r="GEE4" s="44"/>
      <c r="GEF4" s="44"/>
      <c r="GEG4" s="44"/>
      <c r="GEH4" s="44"/>
      <c r="GEI4" s="44"/>
      <c r="GEJ4" s="44"/>
      <c r="GEK4" s="44"/>
      <c r="GEL4" s="44"/>
      <c r="GEM4" s="44"/>
      <c r="GEN4" s="44"/>
      <c r="GEO4" s="44"/>
      <c r="GEP4" s="43"/>
      <c r="GEQ4" s="44"/>
      <c r="GER4" s="44"/>
      <c r="GES4" s="44"/>
      <c r="GET4" s="44"/>
      <c r="GEU4" s="44"/>
      <c r="GEV4" s="44"/>
      <c r="GEW4" s="44"/>
      <c r="GEX4" s="44"/>
      <c r="GEY4" s="44"/>
      <c r="GEZ4" s="44"/>
      <c r="GFA4" s="44"/>
      <c r="GFB4" s="44"/>
      <c r="GFC4" s="44"/>
      <c r="GFD4" s="44"/>
      <c r="GFE4" s="43"/>
      <c r="GFF4" s="44"/>
      <c r="GFG4" s="44"/>
      <c r="GFH4" s="44"/>
      <c r="GFI4" s="44"/>
      <c r="GFJ4" s="44"/>
      <c r="GFK4" s="44"/>
      <c r="GFL4" s="44"/>
      <c r="GFM4" s="44"/>
      <c r="GFN4" s="44"/>
      <c r="GFO4" s="44"/>
      <c r="GFP4" s="44"/>
      <c r="GFQ4" s="44"/>
      <c r="GFR4" s="44"/>
      <c r="GFS4" s="44"/>
      <c r="GFT4" s="43"/>
      <c r="GFU4" s="44"/>
      <c r="GFV4" s="44"/>
      <c r="GFW4" s="44"/>
      <c r="GFX4" s="44"/>
      <c r="GFY4" s="44"/>
      <c r="GFZ4" s="44"/>
      <c r="GGA4" s="44"/>
      <c r="GGB4" s="44"/>
      <c r="GGC4" s="44"/>
      <c r="GGD4" s="44"/>
      <c r="GGE4" s="44"/>
      <c r="GGF4" s="44"/>
      <c r="GGG4" s="44"/>
      <c r="GGH4" s="44"/>
      <c r="GGI4" s="43"/>
      <c r="GGJ4" s="44"/>
      <c r="GGK4" s="44"/>
      <c r="GGL4" s="44"/>
      <c r="GGM4" s="44"/>
      <c r="GGN4" s="44"/>
      <c r="GGO4" s="44"/>
      <c r="GGP4" s="44"/>
      <c r="GGQ4" s="44"/>
      <c r="GGR4" s="44"/>
      <c r="GGS4" s="44"/>
      <c r="GGT4" s="44"/>
      <c r="GGU4" s="44"/>
      <c r="GGV4" s="44"/>
      <c r="GGW4" s="44"/>
      <c r="GGX4" s="43"/>
      <c r="GGY4" s="44"/>
      <c r="GGZ4" s="44"/>
      <c r="GHA4" s="44"/>
      <c r="GHB4" s="44"/>
      <c r="GHC4" s="44"/>
      <c r="GHD4" s="44"/>
      <c r="GHE4" s="44"/>
      <c r="GHF4" s="44"/>
      <c r="GHG4" s="44"/>
      <c r="GHH4" s="44"/>
      <c r="GHI4" s="44"/>
      <c r="GHJ4" s="44"/>
      <c r="GHK4" s="44"/>
      <c r="GHL4" s="44"/>
      <c r="GHM4" s="43"/>
      <c r="GHN4" s="44"/>
      <c r="GHO4" s="44"/>
      <c r="GHP4" s="44"/>
      <c r="GHQ4" s="44"/>
      <c r="GHR4" s="44"/>
      <c r="GHS4" s="44"/>
      <c r="GHT4" s="44"/>
      <c r="GHU4" s="44"/>
      <c r="GHV4" s="44"/>
      <c r="GHW4" s="44"/>
      <c r="GHX4" s="44"/>
      <c r="GHY4" s="44"/>
      <c r="GHZ4" s="44"/>
      <c r="GIA4" s="44"/>
      <c r="GIB4" s="43"/>
      <c r="GIC4" s="44"/>
      <c r="GID4" s="44"/>
      <c r="GIE4" s="44"/>
      <c r="GIF4" s="44"/>
      <c r="GIG4" s="44"/>
      <c r="GIH4" s="44"/>
      <c r="GII4" s="44"/>
      <c r="GIJ4" s="44"/>
      <c r="GIK4" s="44"/>
      <c r="GIL4" s="44"/>
      <c r="GIM4" s="44"/>
      <c r="GIN4" s="44"/>
      <c r="GIO4" s="44"/>
      <c r="GIP4" s="44"/>
      <c r="GIQ4" s="43"/>
      <c r="GIR4" s="44"/>
      <c r="GIS4" s="44"/>
      <c r="GIT4" s="44"/>
      <c r="GIU4" s="44"/>
      <c r="GIV4" s="44"/>
      <c r="GIW4" s="44"/>
      <c r="GIX4" s="44"/>
      <c r="GIY4" s="44"/>
      <c r="GIZ4" s="44"/>
      <c r="GJA4" s="44"/>
      <c r="GJB4" s="44"/>
      <c r="GJC4" s="44"/>
      <c r="GJD4" s="44"/>
      <c r="GJE4" s="44"/>
      <c r="GJF4" s="43"/>
      <c r="GJG4" s="44"/>
      <c r="GJH4" s="44"/>
      <c r="GJI4" s="44"/>
      <c r="GJJ4" s="44"/>
      <c r="GJK4" s="44"/>
      <c r="GJL4" s="44"/>
      <c r="GJM4" s="44"/>
      <c r="GJN4" s="44"/>
      <c r="GJO4" s="44"/>
      <c r="GJP4" s="44"/>
      <c r="GJQ4" s="44"/>
      <c r="GJR4" s="44"/>
      <c r="GJS4" s="44"/>
      <c r="GJT4" s="44"/>
      <c r="GJU4" s="43"/>
      <c r="GJV4" s="44"/>
      <c r="GJW4" s="44"/>
      <c r="GJX4" s="44"/>
      <c r="GJY4" s="44"/>
      <c r="GJZ4" s="44"/>
      <c r="GKA4" s="44"/>
      <c r="GKB4" s="44"/>
      <c r="GKC4" s="44"/>
      <c r="GKD4" s="44"/>
      <c r="GKE4" s="44"/>
      <c r="GKF4" s="44"/>
      <c r="GKG4" s="44"/>
      <c r="GKH4" s="44"/>
      <c r="GKI4" s="44"/>
      <c r="GKJ4" s="43"/>
      <c r="GKK4" s="44"/>
      <c r="GKL4" s="44"/>
      <c r="GKM4" s="44"/>
      <c r="GKN4" s="44"/>
      <c r="GKO4" s="44"/>
      <c r="GKP4" s="44"/>
      <c r="GKQ4" s="44"/>
      <c r="GKR4" s="44"/>
      <c r="GKS4" s="44"/>
      <c r="GKT4" s="44"/>
      <c r="GKU4" s="44"/>
      <c r="GKV4" s="44"/>
      <c r="GKW4" s="44"/>
      <c r="GKX4" s="44"/>
      <c r="GKY4" s="43"/>
      <c r="GKZ4" s="44"/>
      <c r="GLA4" s="44"/>
      <c r="GLB4" s="44"/>
      <c r="GLC4" s="44"/>
      <c r="GLD4" s="44"/>
      <c r="GLE4" s="44"/>
      <c r="GLF4" s="44"/>
      <c r="GLG4" s="44"/>
      <c r="GLH4" s="44"/>
      <c r="GLI4" s="44"/>
      <c r="GLJ4" s="44"/>
      <c r="GLK4" s="44"/>
      <c r="GLL4" s="44"/>
      <c r="GLM4" s="44"/>
      <c r="GLN4" s="43"/>
      <c r="GLO4" s="44"/>
      <c r="GLP4" s="44"/>
      <c r="GLQ4" s="44"/>
      <c r="GLR4" s="44"/>
      <c r="GLS4" s="44"/>
      <c r="GLT4" s="44"/>
      <c r="GLU4" s="44"/>
      <c r="GLV4" s="44"/>
      <c r="GLW4" s="44"/>
      <c r="GLX4" s="44"/>
      <c r="GLY4" s="44"/>
      <c r="GLZ4" s="44"/>
      <c r="GMA4" s="44"/>
      <c r="GMB4" s="44"/>
      <c r="GMC4" s="43"/>
      <c r="GMD4" s="44"/>
      <c r="GME4" s="44"/>
      <c r="GMF4" s="44"/>
      <c r="GMG4" s="44"/>
      <c r="GMH4" s="44"/>
      <c r="GMI4" s="44"/>
      <c r="GMJ4" s="44"/>
      <c r="GMK4" s="44"/>
      <c r="GML4" s="44"/>
      <c r="GMM4" s="44"/>
      <c r="GMN4" s="44"/>
      <c r="GMO4" s="44"/>
      <c r="GMP4" s="44"/>
      <c r="GMQ4" s="44"/>
      <c r="GMR4" s="43"/>
      <c r="GMS4" s="44"/>
      <c r="GMT4" s="44"/>
      <c r="GMU4" s="44"/>
      <c r="GMV4" s="44"/>
      <c r="GMW4" s="44"/>
      <c r="GMX4" s="44"/>
      <c r="GMY4" s="44"/>
      <c r="GMZ4" s="44"/>
      <c r="GNA4" s="44"/>
      <c r="GNB4" s="44"/>
      <c r="GNC4" s="44"/>
      <c r="GND4" s="44"/>
      <c r="GNE4" s="44"/>
      <c r="GNF4" s="44"/>
      <c r="GNG4" s="43"/>
      <c r="GNH4" s="44"/>
      <c r="GNI4" s="44"/>
      <c r="GNJ4" s="44"/>
      <c r="GNK4" s="44"/>
      <c r="GNL4" s="44"/>
      <c r="GNM4" s="44"/>
      <c r="GNN4" s="44"/>
      <c r="GNO4" s="44"/>
      <c r="GNP4" s="44"/>
      <c r="GNQ4" s="44"/>
      <c r="GNR4" s="44"/>
      <c r="GNS4" s="44"/>
      <c r="GNT4" s="44"/>
      <c r="GNU4" s="44"/>
      <c r="GNV4" s="43"/>
      <c r="GNW4" s="44"/>
      <c r="GNX4" s="44"/>
      <c r="GNY4" s="44"/>
      <c r="GNZ4" s="44"/>
      <c r="GOA4" s="44"/>
      <c r="GOB4" s="44"/>
      <c r="GOC4" s="44"/>
      <c r="GOD4" s="44"/>
      <c r="GOE4" s="44"/>
      <c r="GOF4" s="44"/>
      <c r="GOG4" s="44"/>
      <c r="GOH4" s="44"/>
      <c r="GOI4" s="44"/>
      <c r="GOJ4" s="44"/>
      <c r="GOK4" s="43"/>
      <c r="GOL4" s="44"/>
      <c r="GOM4" s="44"/>
      <c r="GON4" s="44"/>
      <c r="GOO4" s="44"/>
      <c r="GOP4" s="44"/>
      <c r="GOQ4" s="44"/>
      <c r="GOR4" s="44"/>
      <c r="GOS4" s="44"/>
      <c r="GOT4" s="44"/>
      <c r="GOU4" s="44"/>
      <c r="GOV4" s="44"/>
      <c r="GOW4" s="44"/>
      <c r="GOX4" s="44"/>
      <c r="GOY4" s="44"/>
      <c r="GOZ4" s="43"/>
      <c r="GPA4" s="44"/>
      <c r="GPB4" s="44"/>
      <c r="GPC4" s="44"/>
      <c r="GPD4" s="44"/>
      <c r="GPE4" s="44"/>
      <c r="GPF4" s="44"/>
      <c r="GPG4" s="44"/>
      <c r="GPH4" s="44"/>
      <c r="GPI4" s="44"/>
      <c r="GPJ4" s="44"/>
      <c r="GPK4" s="44"/>
      <c r="GPL4" s="44"/>
      <c r="GPM4" s="44"/>
      <c r="GPN4" s="44"/>
      <c r="GPO4" s="43"/>
      <c r="GPP4" s="44"/>
      <c r="GPQ4" s="44"/>
      <c r="GPR4" s="44"/>
      <c r="GPS4" s="44"/>
      <c r="GPT4" s="44"/>
      <c r="GPU4" s="44"/>
      <c r="GPV4" s="44"/>
      <c r="GPW4" s="44"/>
      <c r="GPX4" s="44"/>
      <c r="GPY4" s="44"/>
      <c r="GPZ4" s="44"/>
      <c r="GQA4" s="44"/>
      <c r="GQB4" s="44"/>
      <c r="GQC4" s="44"/>
      <c r="GQD4" s="43"/>
      <c r="GQE4" s="44"/>
      <c r="GQF4" s="44"/>
      <c r="GQG4" s="44"/>
      <c r="GQH4" s="44"/>
      <c r="GQI4" s="44"/>
      <c r="GQJ4" s="44"/>
      <c r="GQK4" s="44"/>
      <c r="GQL4" s="44"/>
      <c r="GQM4" s="44"/>
      <c r="GQN4" s="44"/>
      <c r="GQO4" s="44"/>
      <c r="GQP4" s="44"/>
      <c r="GQQ4" s="44"/>
      <c r="GQR4" s="44"/>
      <c r="GQS4" s="43"/>
      <c r="GQT4" s="44"/>
      <c r="GQU4" s="44"/>
      <c r="GQV4" s="44"/>
      <c r="GQW4" s="44"/>
      <c r="GQX4" s="44"/>
      <c r="GQY4" s="44"/>
      <c r="GQZ4" s="44"/>
      <c r="GRA4" s="44"/>
      <c r="GRB4" s="44"/>
      <c r="GRC4" s="44"/>
      <c r="GRD4" s="44"/>
      <c r="GRE4" s="44"/>
      <c r="GRF4" s="44"/>
      <c r="GRG4" s="44"/>
      <c r="GRH4" s="43"/>
      <c r="GRI4" s="44"/>
      <c r="GRJ4" s="44"/>
      <c r="GRK4" s="44"/>
      <c r="GRL4" s="44"/>
      <c r="GRM4" s="44"/>
      <c r="GRN4" s="44"/>
      <c r="GRO4" s="44"/>
      <c r="GRP4" s="44"/>
      <c r="GRQ4" s="44"/>
      <c r="GRR4" s="44"/>
      <c r="GRS4" s="44"/>
      <c r="GRT4" s="44"/>
      <c r="GRU4" s="44"/>
      <c r="GRV4" s="44"/>
      <c r="GRW4" s="43"/>
      <c r="GRX4" s="44"/>
      <c r="GRY4" s="44"/>
      <c r="GRZ4" s="44"/>
      <c r="GSA4" s="44"/>
      <c r="GSB4" s="44"/>
      <c r="GSC4" s="44"/>
      <c r="GSD4" s="44"/>
      <c r="GSE4" s="44"/>
      <c r="GSF4" s="44"/>
      <c r="GSG4" s="44"/>
      <c r="GSH4" s="44"/>
      <c r="GSI4" s="44"/>
      <c r="GSJ4" s="44"/>
      <c r="GSK4" s="44"/>
      <c r="GSL4" s="43"/>
      <c r="GSM4" s="44"/>
      <c r="GSN4" s="44"/>
      <c r="GSO4" s="44"/>
      <c r="GSP4" s="44"/>
      <c r="GSQ4" s="44"/>
      <c r="GSR4" s="44"/>
      <c r="GSS4" s="44"/>
      <c r="GST4" s="44"/>
      <c r="GSU4" s="44"/>
      <c r="GSV4" s="44"/>
      <c r="GSW4" s="44"/>
      <c r="GSX4" s="44"/>
      <c r="GSY4" s="44"/>
      <c r="GSZ4" s="44"/>
      <c r="GTA4" s="43"/>
      <c r="GTB4" s="44"/>
      <c r="GTC4" s="44"/>
      <c r="GTD4" s="44"/>
      <c r="GTE4" s="44"/>
      <c r="GTF4" s="44"/>
      <c r="GTG4" s="44"/>
      <c r="GTH4" s="44"/>
      <c r="GTI4" s="44"/>
      <c r="GTJ4" s="44"/>
      <c r="GTK4" s="44"/>
      <c r="GTL4" s="44"/>
      <c r="GTM4" s="44"/>
      <c r="GTN4" s="44"/>
      <c r="GTO4" s="44"/>
      <c r="GTP4" s="43"/>
      <c r="GTQ4" s="44"/>
      <c r="GTR4" s="44"/>
      <c r="GTS4" s="44"/>
      <c r="GTT4" s="44"/>
      <c r="GTU4" s="44"/>
      <c r="GTV4" s="44"/>
      <c r="GTW4" s="44"/>
      <c r="GTX4" s="44"/>
      <c r="GTY4" s="44"/>
      <c r="GTZ4" s="44"/>
      <c r="GUA4" s="44"/>
      <c r="GUB4" s="44"/>
      <c r="GUC4" s="44"/>
      <c r="GUD4" s="44"/>
      <c r="GUE4" s="43"/>
      <c r="GUF4" s="44"/>
      <c r="GUG4" s="44"/>
      <c r="GUH4" s="44"/>
      <c r="GUI4" s="44"/>
      <c r="GUJ4" s="44"/>
      <c r="GUK4" s="44"/>
      <c r="GUL4" s="44"/>
      <c r="GUM4" s="44"/>
      <c r="GUN4" s="44"/>
      <c r="GUO4" s="44"/>
      <c r="GUP4" s="44"/>
      <c r="GUQ4" s="44"/>
      <c r="GUR4" s="44"/>
      <c r="GUS4" s="44"/>
      <c r="GUT4" s="43"/>
      <c r="GUU4" s="44"/>
      <c r="GUV4" s="44"/>
      <c r="GUW4" s="44"/>
      <c r="GUX4" s="44"/>
      <c r="GUY4" s="44"/>
      <c r="GUZ4" s="44"/>
      <c r="GVA4" s="44"/>
      <c r="GVB4" s="44"/>
      <c r="GVC4" s="44"/>
      <c r="GVD4" s="44"/>
      <c r="GVE4" s="44"/>
      <c r="GVF4" s="44"/>
      <c r="GVG4" s="44"/>
      <c r="GVH4" s="44"/>
      <c r="GVI4" s="43"/>
      <c r="GVJ4" s="44"/>
      <c r="GVK4" s="44"/>
      <c r="GVL4" s="44"/>
      <c r="GVM4" s="44"/>
      <c r="GVN4" s="44"/>
      <c r="GVO4" s="44"/>
      <c r="GVP4" s="44"/>
      <c r="GVQ4" s="44"/>
      <c r="GVR4" s="44"/>
      <c r="GVS4" s="44"/>
      <c r="GVT4" s="44"/>
      <c r="GVU4" s="44"/>
      <c r="GVV4" s="44"/>
      <c r="GVW4" s="44"/>
      <c r="GVX4" s="43"/>
      <c r="GVY4" s="44"/>
      <c r="GVZ4" s="44"/>
      <c r="GWA4" s="44"/>
      <c r="GWB4" s="44"/>
      <c r="GWC4" s="44"/>
      <c r="GWD4" s="44"/>
      <c r="GWE4" s="44"/>
      <c r="GWF4" s="44"/>
      <c r="GWG4" s="44"/>
      <c r="GWH4" s="44"/>
      <c r="GWI4" s="44"/>
      <c r="GWJ4" s="44"/>
      <c r="GWK4" s="44"/>
      <c r="GWL4" s="44"/>
      <c r="GWM4" s="43"/>
      <c r="GWN4" s="44"/>
      <c r="GWO4" s="44"/>
      <c r="GWP4" s="44"/>
      <c r="GWQ4" s="44"/>
      <c r="GWR4" s="44"/>
      <c r="GWS4" s="44"/>
      <c r="GWT4" s="44"/>
      <c r="GWU4" s="44"/>
      <c r="GWV4" s="44"/>
      <c r="GWW4" s="44"/>
      <c r="GWX4" s="44"/>
      <c r="GWY4" s="44"/>
      <c r="GWZ4" s="44"/>
      <c r="GXA4" s="44"/>
      <c r="GXB4" s="43"/>
      <c r="GXC4" s="44"/>
      <c r="GXD4" s="44"/>
      <c r="GXE4" s="44"/>
      <c r="GXF4" s="44"/>
      <c r="GXG4" s="44"/>
      <c r="GXH4" s="44"/>
      <c r="GXI4" s="44"/>
      <c r="GXJ4" s="44"/>
      <c r="GXK4" s="44"/>
      <c r="GXL4" s="44"/>
      <c r="GXM4" s="44"/>
      <c r="GXN4" s="44"/>
      <c r="GXO4" s="44"/>
      <c r="GXP4" s="44"/>
      <c r="GXQ4" s="43"/>
      <c r="GXR4" s="44"/>
      <c r="GXS4" s="44"/>
      <c r="GXT4" s="44"/>
      <c r="GXU4" s="44"/>
      <c r="GXV4" s="44"/>
      <c r="GXW4" s="44"/>
      <c r="GXX4" s="44"/>
      <c r="GXY4" s="44"/>
      <c r="GXZ4" s="44"/>
      <c r="GYA4" s="44"/>
      <c r="GYB4" s="44"/>
      <c r="GYC4" s="44"/>
      <c r="GYD4" s="44"/>
      <c r="GYE4" s="44"/>
      <c r="GYF4" s="43"/>
      <c r="GYG4" s="44"/>
      <c r="GYH4" s="44"/>
      <c r="GYI4" s="44"/>
      <c r="GYJ4" s="44"/>
      <c r="GYK4" s="44"/>
      <c r="GYL4" s="44"/>
      <c r="GYM4" s="44"/>
      <c r="GYN4" s="44"/>
      <c r="GYO4" s="44"/>
      <c r="GYP4" s="44"/>
      <c r="GYQ4" s="44"/>
      <c r="GYR4" s="44"/>
      <c r="GYS4" s="44"/>
      <c r="GYT4" s="44"/>
      <c r="GYU4" s="43"/>
      <c r="GYV4" s="44"/>
      <c r="GYW4" s="44"/>
      <c r="GYX4" s="44"/>
      <c r="GYY4" s="44"/>
      <c r="GYZ4" s="44"/>
      <c r="GZA4" s="44"/>
      <c r="GZB4" s="44"/>
      <c r="GZC4" s="44"/>
      <c r="GZD4" s="44"/>
      <c r="GZE4" s="44"/>
      <c r="GZF4" s="44"/>
      <c r="GZG4" s="44"/>
      <c r="GZH4" s="44"/>
      <c r="GZI4" s="44"/>
      <c r="GZJ4" s="43"/>
      <c r="GZK4" s="44"/>
      <c r="GZL4" s="44"/>
      <c r="GZM4" s="44"/>
      <c r="GZN4" s="44"/>
      <c r="GZO4" s="44"/>
      <c r="GZP4" s="44"/>
      <c r="GZQ4" s="44"/>
      <c r="GZR4" s="44"/>
      <c r="GZS4" s="44"/>
      <c r="GZT4" s="44"/>
      <c r="GZU4" s="44"/>
      <c r="GZV4" s="44"/>
      <c r="GZW4" s="44"/>
      <c r="GZX4" s="44"/>
      <c r="GZY4" s="43"/>
      <c r="GZZ4" s="44"/>
      <c r="HAA4" s="44"/>
      <c r="HAB4" s="44"/>
      <c r="HAC4" s="44"/>
      <c r="HAD4" s="44"/>
      <c r="HAE4" s="44"/>
      <c r="HAF4" s="44"/>
      <c r="HAG4" s="44"/>
      <c r="HAH4" s="44"/>
      <c r="HAI4" s="44"/>
      <c r="HAJ4" s="44"/>
      <c r="HAK4" s="44"/>
      <c r="HAL4" s="44"/>
      <c r="HAM4" s="44"/>
      <c r="HAN4" s="43"/>
      <c r="HAO4" s="44"/>
      <c r="HAP4" s="44"/>
      <c r="HAQ4" s="44"/>
      <c r="HAR4" s="44"/>
      <c r="HAS4" s="44"/>
      <c r="HAT4" s="44"/>
      <c r="HAU4" s="44"/>
      <c r="HAV4" s="44"/>
      <c r="HAW4" s="44"/>
      <c r="HAX4" s="44"/>
      <c r="HAY4" s="44"/>
      <c r="HAZ4" s="44"/>
      <c r="HBA4" s="44"/>
      <c r="HBB4" s="44"/>
      <c r="HBC4" s="43"/>
      <c r="HBD4" s="44"/>
      <c r="HBE4" s="44"/>
      <c r="HBF4" s="44"/>
      <c r="HBG4" s="44"/>
      <c r="HBH4" s="44"/>
      <c r="HBI4" s="44"/>
      <c r="HBJ4" s="44"/>
      <c r="HBK4" s="44"/>
      <c r="HBL4" s="44"/>
      <c r="HBM4" s="44"/>
      <c r="HBN4" s="44"/>
      <c r="HBO4" s="44"/>
      <c r="HBP4" s="44"/>
      <c r="HBQ4" s="44"/>
      <c r="HBR4" s="43"/>
      <c r="HBS4" s="44"/>
      <c r="HBT4" s="44"/>
      <c r="HBU4" s="44"/>
      <c r="HBV4" s="44"/>
      <c r="HBW4" s="44"/>
      <c r="HBX4" s="44"/>
      <c r="HBY4" s="44"/>
      <c r="HBZ4" s="44"/>
      <c r="HCA4" s="44"/>
      <c r="HCB4" s="44"/>
      <c r="HCC4" s="44"/>
      <c r="HCD4" s="44"/>
      <c r="HCE4" s="44"/>
      <c r="HCF4" s="44"/>
      <c r="HCG4" s="43"/>
      <c r="HCH4" s="44"/>
      <c r="HCI4" s="44"/>
      <c r="HCJ4" s="44"/>
      <c r="HCK4" s="44"/>
      <c r="HCL4" s="44"/>
      <c r="HCM4" s="44"/>
      <c r="HCN4" s="44"/>
      <c r="HCO4" s="44"/>
      <c r="HCP4" s="44"/>
      <c r="HCQ4" s="44"/>
      <c r="HCR4" s="44"/>
      <c r="HCS4" s="44"/>
      <c r="HCT4" s="44"/>
      <c r="HCU4" s="44"/>
      <c r="HCV4" s="43"/>
      <c r="HCW4" s="44"/>
      <c r="HCX4" s="44"/>
      <c r="HCY4" s="44"/>
      <c r="HCZ4" s="44"/>
      <c r="HDA4" s="44"/>
      <c r="HDB4" s="44"/>
      <c r="HDC4" s="44"/>
      <c r="HDD4" s="44"/>
      <c r="HDE4" s="44"/>
      <c r="HDF4" s="44"/>
      <c r="HDG4" s="44"/>
      <c r="HDH4" s="44"/>
      <c r="HDI4" s="44"/>
      <c r="HDJ4" s="44"/>
      <c r="HDK4" s="43"/>
      <c r="HDL4" s="44"/>
      <c r="HDM4" s="44"/>
      <c r="HDN4" s="44"/>
      <c r="HDO4" s="44"/>
      <c r="HDP4" s="44"/>
      <c r="HDQ4" s="44"/>
      <c r="HDR4" s="44"/>
      <c r="HDS4" s="44"/>
      <c r="HDT4" s="44"/>
      <c r="HDU4" s="44"/>
      <c r="HDV4" s="44"/>
      <c r="HDW4" s="44"/>
      <c r="HDX4" s="44"/>
      <c r="HDY4" s="44"/>
      <c r="HDZ4" s="43"/>
      <c r="HEA4" s="44"/>
      <c r="HEB4" s="44"/>
      <c r="HEC4" s="44"/>
      <c r="HED4" s="44"/>
      <c r="HEE4" s="44"/>
      <c r="HEF4" s="44"/>
      <c r="HEG4" s="44"/>
      <c r="HEH4" s="44"/>
      <c r="HEI4" s="44"/>
      <c r="HEJ4" s="44"/>
      <c r="HEK4" s="44"/>
      <c r="HEL4" s="44"/>
      <c r="HEM4" s="44"/>
      <c r="HEN4" s="44"/>
      <c r="HEO4" s="43"/>
      <c r="HEP4" s="44"/>
      <c r="HEQ4" s="44"/>
      <c r="HER4" s="44"/>
      <c r="HES4" s="44"/>
      <c r="HET4" s="44"/>
      <c r="HEU4" s="44"/>
      <c r="HEV4" s="44"/>
      <c r="HEW4" s="44"/>
      <c r="HEX4" s="44"/>
      <c r="HEY4" s="44"/>
      <c r="HEZ4" s="44"/>
      <c r="HFA4" s="44"/>
      <c r="HFB4" s="44"/>
      <c r="HFC4" s="44"/>
      <c r="HFD4" s="43"/>
      <c r="HFE4" s="44"/>
      <c r="HFF4" s="44"/>
      <c r="HFG4" s="44"/>
      <c r="HFH4" s="44"/>
      <c r="HFI4" s="44"/>
      <c r="HFJ4" s="44"/>
      <c r="HFK4" s="44"/>
      <c r="HFL4" s="44"/>
      <c r="HFM4" s="44"/>
      <c r="HFN4" s="44"/>
      <c r="HFO4" s="44"/>
      <c r="HFP4" s="44"/>
      <c r="HFQ4" s="44"/>
      <c r="HFR4" s="44"/>
      <c r="HFS4" s="43"/>
      <c r="HFT4" s="44"/>
      <c r="HFU4" s="44"/>
      <c r="HFV4" s="44"/>
      <c r="HFW4" s="44"/>
      <c r="HFX4" s="44"/>
      <c r="HFY4" s="44"/>
      <c r="HFZ4" s="44"/>
      <c r="HGA4" s="44"/>
      <c r="HGB4" s="44"/>
      <c r="HGC4" s="44"/>
      <c r="HGD4" s="44"/>
      <c r="HGE4" s="44"/>
      <c r="HGF4" s="44"/>
      <c r="HGG4" s="44"/>
      <c r="HGH4" s="43"/>
      <c r="HGI4" s="44"/>
      <c r="HGJ4" s="44"/>
      <c r="HGK4" s="44"/>
      <c r="HGL4" s="44"/>
      <c r="HGM4" s="44"/>
      <c r="HGN4" s="44"/>
      <c r="HGO4" s="44"/>
      <c r="HGP4" s="44"/>
      <c r="HGQ4" s="44"/>
      <c r="HGR4" s="44"/>
      <c r="HGS4" s="44"/>
      <c r="HGT4" s="44"/>
      <c r="HGU4" s="44"/>
      <c r="HGV4" s="44"/>
      <c r="HGW4" s="43"/>
      <c r="HGX4" s="44"/>
      <c r="HGY4" s="44"/>
      <c r="HGZ4" s="44"/>
      <c r="HHA4" s="44"/>
      <c r="HHB4" s="44"/>
      <c r="HHC4" s="44"/>
      <c r="HHD4" s="44"/>
      <c r="HHE4" s="44"/>
      <c r="HHF4" s="44"/>
      <c r="HHG4" s="44"/>
      <c r="HHH4" s="44"/>
      <c r="HHI4" s="44"/>
      <c r="HHJ4" s="44"/>
      <c r="HHK4" s="44"/>
      <c r="HHL4" s="43"/>
      <c r="HHM4" s="44"/>
      <c r="HHN4" s="44"/>
      <c r="HHO4" s="44"/>
      <c r="HHP4" s="44"/>
      <c r="HHQ4" s="44"/>
      <c r="HHR4" s="44"/>
      <c r="HHS4" s="44"/>
      <c r="HHT4" s="44"/>
      <c r="HHU4" s="44"/>
      <c r="HHV4" s="44"/>
      <c r="HHW4" s="44"/>
      <c r="HHX4" s="44"/>
      <c r="HHY4" s="44"/>
      <c r="HHZ4" s="44"/>
      <c r="HIA4" s="43"/>
      <c r="HIB4" s="44"/>
      <c r="HIC4" s="44"/>
      <c r="HID4" s="44"/>
      <c r="HIE4" s="44"/>
      <c r="HIF4" s="44"/>
      <c r="HIG4" s="44"/>
      <c r="HIH4" s="44"/>
      <c r="HII4" s="44"/>
      <c r="HIJ4" s="44"/>
      <c r="HIK4" s="44"/>
      <c r="HIL4" s="44"/>
      <c r="HIM4" s="44"/>
      <c r="HIN4" s="44"/>
      <c r="HIO4" s="44"/>
      <c r="HIP4" s="43"/>
      <c r="HIQ4" s="44"/>
      <c r="HIR4" s="44"/>
      <c r="HIS4" s="44"/>
      <c r="HIT4" s="44"/>
      <c r="HIU4" s="44"/>
      <c r="HIV4" s="44"/>
      <c r="HIW4" s="44"/>
      <c r="HIX4" s="44"/>
      <c r="HIY4" s="44"/>
      <c r="HIZ4" s="44"/>
      <c r="HJA4" s="44"/>
      <c r="HJB4" s="44"/>
      <c r="HJC4" s="44"/>
      <c r="HJD4" s="44"/>
      <c r="HJE4" s="43"/>
      <c r="HJF4" s="44"/>
      <c r="HJG4" s="44"/>
      <c r="HJH4" s="44"/>
      <c r="HJI4" s="44"/>
      <c r="HJJ4" s="44"/>
      <c r="HJK4" s="44"/>
      <c r="HJL4" s="44"/>
      <c r="HJM4" s="44"/>
      <c r="HJN4" s="44"/>
      <c r="HJO4" s="44"/>
      <c r="HJP4" s="44"/>
      <c r="HJQ4" s="44"/>
      <c r="HJR4" s="44"/>
      <c r="HJS4" s="44"/>
      <c r="HJT4" s="43"/>
      <c r="HJU4" s="44"/>
      <c r="HJV4" s="44"/>
      <c r="HJW4" s="44"/>
      <c r="HJX4" s="44"/>
      <c r="HJY4" s="44"/>
      <c r="HJZ4" s="44"/>
      <c r="HKA4" s="44"/>
      <c r="HKB4" s="44"/>
      <c r="HKC4" s="44"/>
      <c r="HKD4" s="44"/>
      <c r="HKE4" s="44"/>
      <c r="HKF4" s="44"/>
      <c r="HKG4" s="44"/>
      <c r="HKH4" s="44"/>
      <c r="HKI4" s="43"/>
      <c r="HKJ4" s="44"/>
      <c r="HKK4" s="44"/>
      <c r="HKL4" s="44"/>
      <c r="HKM4" s="44"/>
      <c r="HKN4" s="44"/>
      <c r="HKO4" s="44"/>
      <c r="HKP4" s="44"/>
      <c r="HKQ4" s="44"/>
      <c r="HKR4" s="44"/>
      <c r="HKS4" s="44"/>
      <c r="HKT4" s="44"/>
      <c r="HKU4" s="44"/>
      <c r="HKV4" s="44"/>
      <c r="HKW4" s="44"/>
      <c r="HKX4" s="43"/>
      <c r="HKY4" s="44"/>
      <c r="HKZ4" s="44"/>
      <c r="HLA4" s="44"/>
      <c r="HLB4" s="44"/>
      <c r="HLC4" s="44"/>
      <c r="HLD4" s="44"/>
      <c r="HLE4" s="44"/>
      <c r="HLF4" s="44"/>
      <c r="HLG4" s="44"/>
      <c r="HLH4" s="44"/>
      <c r="HLI4" s="44"/>
      <c r="HLJ4" s="44"/>
      <c r="HLK4" s="44"/>
      <c r="HLL4" s="44"/>
      <c r="HLM4" s="43"/>
      <c r="HLN4" s="44"/>
      <c r="HLO4" s="44"/>
      <c r="HLP4" s="44"/>
      <c r="HLQ4" s="44"/>
      <c r="HLR4" s="44"/>
      <c r="HLS4" s="44"/>
      <c r="HLT4" s="44"/>
      <c r="HLU4" s="44"/>
      <c r="HLV4" s="44"/>
      <c r="HLW4" s="44"/>
      <c r="HLX4" s="44"/>
      <c r="HLY4" s="44"/>
      <c r="HLZ4" s="44"/>
      <c r="HMA4" s="44"/>
      <c r="HMB4" s="43"/>
      <c r="HMC4" s="44"/>
      <c r="HMD4" s="44"/>
      <c r="HME4" s="44"/>
      <c r="HMF4" s="44"/>
      <c r="HMG4" s="44"/>
      <c r="HMH4" s="44"/>
      <c r="HMI4" s="44"/>
      <c r="HMJ4" s="44"/>
      <c r="HMK4" s="44"/>
      <c r="HML4" s="44"/>
      <c r="HMM4" s="44"/>
      <c r="HMN4" s="44"/>
      <c r="HMO4" s="44"/>
      <c r="HMP4" s="44"/>
      <c r="HMQ4" s="43"/>
      <c r="HMR4" s="44"/>
      <c r="HMS4" s="44"/>
      <c r="HMT4" s="44"/>
      <c r="HMU4" s="44"/>
      <c r="HMV4" s="44"/>
      <c r="HMW4" s="44"/>
      <c r="HMX4" s="44"/>
      <c r="HMY4" s="44"/>
      <c r="HMZ4" s="44"/>
      <c r="HNA4" s="44"/>
      <c r="HNB4" s="44"/>
      <c r="HNC4" s="44"/>
      <c r="HND4" s="44"/>
      <c r="HNE4" s="44"/>
      <c r="HNF4" s="43"/>
      <c r="HNG4" s="44"/>
      <c r="HNH4" s="44"/>
      <c r="HNI4" s="44"/>
      <c r="HNJ4" s="44"/>
      <c r="HNK4" s="44"/>
      <c r="HNL4" s="44"/>
      <c r="HNM4" s="44"/>
      <c r="HNN4" s="44"/>
      <c r="HNO4" s="44"/>
      <c r="HNP4" s="44"/>
      <c r="HNQ4" s="44"/>
      <c r="HNR4" s="44"/>
      <c r="HNS4" s="44"/>
      <c r="HNT4" s="44"/>
      <c r="HNU4" s="43"/>
      <c r="HNV4" s="44"/>
      <c r="HNW4" s="44"/>
      <c r="HNX4" s="44"/>
      <c r="HNY4" s="44"/>
      <c r="HNZ4" s="44"/>
      <c r="HOA4" s="44"/>
      <c r="HOB4" s="44"/>
      <c r="HOC4" s="44"/>
      <c r="HOD4" s="44"/>
      <c r="HOE4" s="44"/>
      <c r="HOF4" s="44"/>
      <c r="HOG4" s="44"/>
      <c r="HOH4" s="44"/>
      <c r="HOI4" s="44"/>
      <c r="HOJ4" s="43"/>
      <c r="HOK4" s="44"/>
      <c r="HOL4" s="44"/>
      <c r="HOM4" s="44"/>
      <c r="HON4" s="44"/>
      <c r="HOO4" s="44"/>
      <c r="HOP4" s="44"/>
      <c r="HOQ4" s="44"/>
      <c r="HOR4" s="44"/>
      <c r="HOS4" s="44"/>
      <c r="HOT4" s="44"/>
      <c r="HOU4" s="44"/>
      <c r="HOV4" s="44"/>
      <c r="HOW4" s="44"/>
      <c r="HOX4" s="44"/>
      <c r="HOY4" s="43"/>
      <c r="HOZ4" s="44"/>
      <c r="HPA4" s="44"/>
      <c r="HPB4" s="44"/>
      <c r="HPC4" s="44"/>
      <c r="HPD4" s="44"/>
      <c r="HPE4" s="44"/>
      <c r="HPF4" s="44"/>
      <c r="HPG4" s="44"/>
      <c r="HPH4" s="44"/>
      <c r="HPI4" s="44"/>
      <c r="HPJ4" s="44"/>
      <c r="HPK4" s="44"/>
      <c r="HPL4" s="44"/>
      <c r="HPM4" s="44"/>
      <c r="HPN4" s="43"/>
      <c r="HPO4" s="44"/>
      <c r="HPP4" s="44"/>
      <c r="HPQ4" s="44"/>
      <c r="HPR4" s="44"/>
      <c r="HPS4" s="44"/>
      <c r="HPT4" s="44"/>
      <c r="HPU4" s="44"/>
      <c r="HPV4" s="44"/>
      <c r="HPW4" s="44"/>
      <c r="HPX4" s="44"/>
      <c r="HPY4" s="44"/>
      <c r="HPZ4" s="44"/>
      <c r="HQA4" s="44"/>
      <c r="HQB4" s="44"/>
      <c r="HQC4" s="43"/>
      <c r="HQD4" s="44"/>
      <c r="HQE4" s="44"/>
      <c r="HQF4" s="44"/>
      <c r="HQG4" s="44"/>
      <c r="HQH4" s="44"/>
      <c r="HQI4" s="44"/>
      <c r="HQJ4" s="44"/>
      <c r="HQK4" s="44"/>
      <c r="HQL4" s="44"/>
      <c r="HQM4" s="44"/>
      <c r="HQN4" s="44"/>
      <c r="HQO4" s="44"/>
      <c r="HQP4" s="44"/>
      <c r="HQQ4" s="44"/>
      <c r="HQR4" s="43"/>
      <c r="HQS4" s="44"/>
      <c r="HQT4" s="44"/>
      <c r="HQU4" s="44"/>
      <c r="HQV4" s="44"/>
      <c r="HQW4" s="44"/>
      <c r="HQX4" s="44"/>
      <c r="HQY4" s="44"/>
      <c r="HQZ4" s="44"/>
      <c r="HRA4" s="44"/>
      <c r="HRB4" s="44"/>
      <c r="HRC4" s="44"/>
      <c r="HRD4" s="44"/>
      <c r="HRE4" s="44"/>
      <c r="HRF4" s="44"/>
      <c r="HRG4" s="43"/>
      <c r="HRH4" s="44"/>
      <c r="HRI4" s="44"/>
      <c r="HRJ4" s="44"/>
      <c r="HRK4" s="44"/>
      <c r="HRL4" s="44"/>
      <c r="HRM4" s="44"/>
      <c r="HRN4" s="44"/>
      <c r="HRO4" s="44"/>
      <c r="HRP4" s="44"/>
      <c r="HRQ4" s="44"/>
      <c r="HRR4" s="44"/>
      <c r="HRS4" s="44"/>
      <c r="HRT4" s="44"/>
      <c r="HRU4" s="44"/>
      <c r="HRV4" s="43"/>
      <c r="HRW4" s="44"/>
      <c r="HRX4" s="44"/>
      <c r="HRY4" s="44"/>
      <c r="HRZ4" s="44"/>
      <c r="HSA4" s="44"/>
      <c r="HSB4" s="44"/>
      <c r="HSC4" s="44"/>
      <c r="HSD4" s="44"/>
      <c r="HSE4" s="44"/>
      <c r="HSF4" s="44"/>
      <c r="HSG4" s="44"/>
      <c r="HSH4" s="44"/>
      <c r="HSI4" s="44"/>
      <c r="HSJ4" s="44"/>
      <c r="HSK4" s="43"/>
      <c r="HSL4" s="44"/>
      <c r="HSM4" s="44"/>
      <c r="HSN4" s="44"/>
      <c r="HSO4" s="44"/>
      <c r="HSP4" s="44"/>
      <c r="HSQ4" s="44"/>
      <c r="HSR4" s="44"/>
      <c r="HSS4" s="44"/>
      <c r="HST4" s="44"/>
      <c r="HSU4" s="44"/>
      <c r="HSV4" s="44"/>
      <c r="HSW4" s="44"/>
      <c r="HSX4" s="44"/>
      <c r="HSY4" s="44"/>
      <c r="HSZ4" s="43"/>
      <c r="HTA4" s="44"/>
      <c r="HTB4" s="44"/>
      <c r="HTC4" s="44"/>
      <c r="HTD4" s="44"/>
      <c r="HTE4" s="44"/>
      <c r="HTF4" s="44"/>
      <c r="HTG4" s="44"/>
      <c r="HTH4" s="44"/>
      <c r="HTI4" s="44"/>
      <c r="HTJ4" s="44"/>
      <c r="HTK4" s="44"/>
      <c r="HTL4" s="44"/>
      <c r="HTM4" s="44"/>
      <c r="HTN4" s="44"/>
      <c r="HTO4" s="43"/>
      <c r="HTP4" s="44"/>
      <c r="HTQ4" s="44"/>
      <c r="HTR4" s="44"/>
      <c r="HTS4" s="44"/>
      <c r="HTT4" s="44"/>
      <c r="HTU4" s="44"/>
      <c r="HTV4" s="44"/>
      <c r="HTW4" s="44"/>
      <c r="HTX4" s="44"/>
      <c r="HTY4" s="44"/>
      <c r="HTZ4" s="44"/>
      <c r="HUA4" s="44"/>
      <c r="HUB4" s="44"/>
      <c r="HUC4" s="44"/>
      <c r="HUD4" s="43"/>
      <c r="HUE4" s="44"/>
      <c r="HUF4" s="44"/>
      <c r="HUG4" s="44"/>
      <c r="HUH4" s="44"/>
      <c r="HUI4" s="44"/>
      <c r="HUJ4" s="44"/>
      <c r="HUK4" s="44"/>
      <c r="HUL4" s="44"/>
      <c r="HUM4" s="44"/>
      <c r="HUN4" s="44"/>
      <c r="HUO4" s="44"/>
      <c r="HUP4" s="44"/>
      <c r="HUQ4" s="44"/>
      <c r="HUR4" s="44"/>
      <c r="HUS4" s="43"/>
      <c r="HUT4" s="44"/>
      <c r="HUU4" s="44"/>
      <c r="HUV4" s="44"/>
      <c r="HUW4" s="44"/>
      <c r="HUX4" s="44"/>
      <c r="HUY4" s="44"/>
      <c r="HUZ4" s="44"/>
      <c r="HVA4" s="44"/>
      <c r="HVB4" s="44"/>
      <c r="HVC4" s="44"/>
      <c r="HVD4" s="44"/>
      <c r="HVE4" s="44"/>
      <c r="HVF4" s="44"/>
      <c r="HVG4" s="44"/>
      <c r="HVH4" s="43"/>
      <c r="HVI4" s="44"/>
      <c r="HVJ4" s="44"/>
      <c r="HVK4" s="44"/>
      <c r="HVL4" s="44"/>
      <c r="HVM4" s="44"/>
      <c r="HVN4" s="44"/>
      <c r="HVO4" s="44"/>
      <c r="HVP4" s="44"/>
      <c r="HVQ4" s="44"/>
      <c r="HVR4" s="44"/>
      <c r="HVS4" s="44"/>
      <c r="HVT4" s="44"/>
      <c r="HVU4" s="44"/>
      <c r="HVV4" s="44"/>
      <c r="HVW4" s="43"/>
      <c r="HVX4" s="44"/>
      <c r="HVY4" s="44"/>
      <c r="HVZ4" s="44"/>
      <c r="HWA4" s="44"/>
      <c r="HWB4" s="44"/>
      <c r="HWC4" s="44"/>
      <c r="HWD4" s="44"/>
      <c r="HWE4" s="44"/>
      <c r="HWF4" s="44"/>
      <c r="HWG4" s="44"/>
      <c r="HWH4" s="44"/>
      <c r="HWI4" s="44"/>
      <c r="HWJ4" s="44"/>
      <c r="HWK4" s="44"/>
      <c r="HWL4" s="43"/>
      <c r="HWM4" s="44"/>
      <c r="HWN4" s="44"/>
      <c r="HWO4" s="44"/>
      <c r="HWP4" s="44"/>
      <c r="HWQ4" s="44"/>
      <c r="HWR4" s="44"/>
      <c r="HWS4" s="44"/>
      <c r="HWT4" s="44"/>
      <c r="HWU4" s="44"/>
      <c r="HWV4" s="44"/>
      <c r="HWW4" s="44"/>
      <c r="HWX4" s="44"/>
      <c r="HWY4" s="44"/>
      <c r="HWZ4" s="44"/>
      <c r="HXA4" s="43"/>
      <c r="HXB4" s="44"/>
      <c r="HXC4" s="44"/>
      <c r="HXD4" s="44"/>
      <c r="HXE4" s="44"/>
      <c r="HXF4" s="44"/>
      <c r="HXG4" s="44"/>
      <c r="HXH4" s="44"/>
      <c r="HXI4" s="44"/>
      <c r="HXJ4" s="44"/>
      <c r="HXK4" s="44"/>
      <c r="HXL4" s="44"/>
      <c r="HXM4" s="44"/>
      <c r="HXN4" s="44"/>
      <c r="HXO4" s="44"/>
      <c r="HXP4" s="43"/>
      <c r="HXQ4" s="44"/>
      <c r="HXR4" s="44"/>
      <c r="HXS4" s="44"/>
      <c r="HXT4" s="44"/>
      <c r="HXU4" s="44"/>
      <c r="HXV4" s="44"/>
      <c r="HXW4" s="44"/>
      <c r="HXX4" s="44"/>
      <c r="HXY4" s="44"/>
      <c r="HXZ4" s="44"/>
      <c r="HYA4" s="44"/>
      <c r="HYB4" s="44"/>
      <c r="HYC4" s="44"/>
      <c r="HYD4" s="44"/>
      <c r="HYE4" s="43"/>
      <c r="HYF4" s="44"/>
      <c r="HYG4" s="44"/>
      <c r="HYH4" s="44"/>
      <c r="HYI4" s="44"/>
      <c r="HYJ4" s="44"/>
      <c r="HYK4" s="44"/>
      <c r="HYL4" s="44"/>
      <c r="HYM4" s="44"/>
      <c r="HYN4" s="44"/>
      <c r="HYO4" s="44"/>
      <c r="HYP4" s="44"/>
      <c r="HYQ4" s="44"/>
      <c r="HYR4" s="44"/>
      <c r="HYS4" s="44"/>
      <c r="HYT4" s="43"/>
      <c r="HYU4" s="44"/>
      <c r="HYV4" s="44"/>
      <c r="HYW4" s="44"/>
      <c r="HYX4" s="44"/>
      <c r="HYY4" s="44"/>
      <c r="HYZ4" s="44"/>
      <c r="HZA4" s="44"/>
      <c r="HZB4" s="44"/>
      <c r="HZC4" s="44"/>
      <c r="HZD4" s="44"/>
      <c r="HZE4" s="44"/>
      <c r="HZF4" s="44"/>
      <c r="HZG4" s="44"/>
      <c r="HZH4" s="44"/>
      <c r="HZI4" s="43"/>
      <c r="HZJ4" s="44"/>
      <c r="HZK4" s="44"/>
      <c r="HZL4" s="44"/>
      <c r="HZM4" s="44"/>
      <c r="HZN4" s="44"/>
      <c r="HZO4" s="44"/>
      <c r="HZP4" s="44"/>
      <c r="HZQ4" s="44"/>
      <c r="HZR4" s="44"/>
      <c r="HZS4" s="44"/>
      <c r="HZT4" s="44"/>
      <c r="HZU4" s="44"/>
      <c r="HZV4" s="44"/>
      <c r="HZW4" s="44"/>
      <c r="HZX4" s="43"/>
      <c r="HZY4" s="44"/>
      <c r="HZZ4" s="44"/>
      <c r="IAA4" s="44"/>
      <c r="IAB4" s="44"/>
      <c r="IAC4" s="44"/>
      <c r="IAD4" s="44"/>
      <c r="IAE4" s="44"/>
      <c r="IAF4" s="44"/>
      <c r="IAG4" s="44"/>
      <c r="IAH4" s="44"/>
      <c r="IAI4" s="44"/>
      <c r="IAJ4" s="44"/>
      <c r="IAK4" s="44"/>
      <c r="IAL4" s="44"/>
      <c r="IAM4" s="43"/>
      <c r="IAN4" s="44"/>
      <c r="IAO4" s="44"/>
      <c r="IAP4" s="44"/>
      <c r="IAQ4" s="44"/>
      <c r="IAR4" s="44"/>
      <c r="IAS4" s="44"/>
      <c r="IAT4" s="44"/>
      <c r="IAU4" s="44"/>
      <c r="IAV4" s="44"/>
      <c r="IAW4" s="44"/>
      <c r="IAX4" s="44"/>
      <c r="IAY4" s="44"/>
      <c r="IAZ4" s="44"/>
      <c r="IBA4" s="44"/>
      <c r="IBB4" s="43"/>
      <c r="IBC4" s="44"/>
      <c r="IBD4" s="44"/>
      <c r="IBE4" s="44"/>
      <c r="IBF4" s="44"/>
      <c r="IBG4" s="44"/>
      <c r="IBH4" s="44"/>
      <c r="IBI4" s="44"/>
      <c r="IBJ4" s="44"/>
      <c r="IBK4" s="44"/>
      <c r="IBL4" s="44"/>
      <c r="IBM4" s="44"/>
      <c r="IBN4" s="44"/>
      <c r="IBO4" s="44"/>
      <c r="IBP4" s="44"/>
      <c r="IBQ4" s="43"/>
      <c r="IBR4" s="44"/>
      <c r="IBS4" s="44"/>
      <c r="IBT4" s="44"/>
      <c r="IBU4" s="44"/>
      <c r="IBV4" s="44"/>
      <c r="IBW4" s="44"/>
      <c r="IBX4" s="44"/>
      <c r="IBY4" s="44"/>
      <c r="IBZ4" s="44"/>
      <c r="ICA4" s="44"/>
      <c r="ICB4" s="44"/>
      <c r="ICC4" s="44"/>
      <c r="ICD4" s="44"/>
      <c r="ICE4" s="44"/>
      <c r="ICF4" s="43"/>
      <c r="ICG4" s="44"/>
      <c r="ICH4" s="44"/>
      <c r="ICI4" s="44"/>
      <c r="ICJ4" s="44"/>
      <c r="ICK4" s="44"/>
      <c r="ICL4" s="44"/>
      <c r="ICM4" s="44"/>
      <c r="ICN4" s="44"/>
      <c r="ICO4" s="44"/>
      <c r="ICP4" s="44"/>
      <c r="ICQ4" s="44"/>
      <c r="ICR4" s="44"/>
      <c r="ICS4" s="44"/>
      <c r="ICT4" s="44"/>
      <c r="ICU4" s="43"/>
      <c r="ICV4" s="44"/>
      <c r="ICW4" s="44"/>
      <c r="ICX4" s="44"/>
      <c r="ICY4" s="44"/>
      <c r="ICZ4" s="44"/>
      <c r="IDA4" s="44"/>
      <c r="IDB4" s="44"/>
      <c r="IDC4" s="44"/>
      <c r="IDD4" s="44"/>
      <c r="IDE4" s="44"/>
      <c r="IDF4" s="44"/>
      <c r="IDG4" s="44"/>
      <c r="IDH4" s="44"/>
      <c r="IDI4" s="44"/>
      <c r="IDJ4" s="43"/>
      <c r="IDK4" s="44"/>
      <c r="IDL4" s="44"/>
      <c r="IDM4" s="44"/>
      <c r="IDN4" s="44"/>
      <c r="IDO4" s="44"/>
      <c r="IDP4" s="44"/>
      <c r="IDQ4" s="44"/>
      <c r="IDR4" s="44"/>
      <c r="IDS4" s="44"/>
      <c r="IDT4" s="44"/>
      <c r="IDU4" s="44"/>
      <c r="IDV4" s="44"/>
      <c r="IDW4" s="44"/>
      <c r="IDX4" s="44"/>
      <c r="IDY4" s="43"/>
      <c r="IDZ4" s="44"/>
      <c r="IEA4" s="44"/>
      <c r="IEB4" s="44"/>
      <c r="IEC4" s="44"/>
      <c r="IED4" s="44"/>
      <c r="IEE4" s="44"/>
      <c r="IEF4" s="44"/>
      <c r="IEG4" s="44"/>
      <c r="IEH4" s="44"/>
      <c r="IEI4" s="44"/>
      <c r="IEJ4" s="44"/>
      <c r="IEK4" s="44"/>
      <c r="IEL4" s="44"/>
      <c r="IEM4" s="44"/>
      <c r="IEN4" s="43"/>
      <c r="IEO4" s="44"/>
      <c r="IEP4" s="44"/>
      <c r="IEQ4" s="44"/>
      <c r="IER4" s="44"/>
      <c r="IES4" s="44"/>
      <c r="IET4" s="44"/>
      <c r="IEU4" s="44"/>
      <c r="IEV4" s="44"/>
      <c r="IEW4" s="44"/>
      <c r="IEX4" s="44"/>
      <c r="IEY4" s="44"/>
      <c r="IEZ4" s="44"/>
      <c r="IFA4" s="44"/>
      <c r="IFB4" s="44"/>
      <c r="IFC4" s="43"/>
      <c r="IFD4" s="44"/>
      <c r="IFE4" s="44"/>
      <c r="IFF4" s="44"/>
      <c r="IFG4" s="44"/>
      <c r="IFH4" s="44"/>
      <c r="IFI4" s="44"/>
      <c r="IFJ4" s="44"/>
      <c r="IFK4" s="44"/>
      <c r="IFL4" s="44"/>
      <c r="IFM4" s="44"/>
      <c r="IFN4" s="44"/>
      <c r="IFO4" s="44"/>
      <c r="IFP4" s="44"/>
      <c r="IFQ4" s="44"/>
      <c r="IFR4" s="43"/>
      <c r="IFS4" s="44"/>
      <c r="IFT4" s="44"/>
      <c r="IFU4" s="44"/>
      <c r="IFV4" s="44"/>
      <c r="IFW4" s="44"/>
      <c r="IFX4" s="44"/>
      <c r="IFY4" s="44"/>
      <c r="IFZ4" s="44"/>
      <c r="IGA4" s="44"/>
      <c r="IGB4" s="44"/>
      <c r="IGC4" s="44"/>
      <c r="IGD4" s="44"/>
      <c r="IGE4" s="44"/>
      <c r="IGF4" s="44"/>
      <c r="IGG4" s="43"/>
      <c r="IGH4" s="44"/>
      <c r="IGI4" s="44"/>
      <c r="IGJ4" s="44"/>
      <c r="IGK4" s="44"/>
      <c r="IGL4" s="44"/>
      <c r="IGM4" s="44"/>
      <c r="IGN4" s="44"/>
      <c r="IGO4" s="44"/>
      <c r="IGP4" s="44"/>
      <c r="IGQ4" s="44"/>
      <c r="IGR4" s="44"/>
      <c r="IGS4" s="44"/>
      <c r="IGT4" s="44"/>
      <c r="IGU4" s="44"/>
      <c r="IGV4" s="43"/>
      <c r="IGW4" s="44"/>
      <c r="IGX4" s="44"/>
      <c r="IGY4" s="44"/>
      <c r="IGZ4" s="44"/>
      <c r="IHA4" s="44"/>
      <c r="IHB4" s="44"/>
      <c r="IHC4" s="44"/>
      <c r="IHD4" s="44"/>
      <c r="IHE4" s="44"/>
      <c r="IHF4" s="44"/>
      <c r="IHG4" s="44"/>
      <c r="IHH4" s="44"/>
      <c r="IHI4" s="44"/>
      <c r="IHJ4" s="44"/>
      <c r="IHK4" s="43"/>
      <c r="IHL4" s="44"/>
      <c r="IHM4" s="44"/>
      <c r="IHN4" s="44"/>
      <c r="IHO4" s="44"/>
      <c r="IHP4" s="44"/>
      <c r="IHQ4" s="44"/>
      <c r="IHR4" s="44"/>
      <c r="IHS4" s="44"/>
      <c r="IHT4" s="44"/>
      <c r="IHU4" s="44"/>
      <c r="IHV4" s="44"/>
      <c r="IHW4" s="44"/>
      <c r="IHX4" s="44"/>
      <c r="IHY4" s="44"/>
      <c r="IHZ4" s="43"/>
      <c r="IIA4" s="44"/>
      <c r="IIB4" s="44"/>
      <c r="IIC4" s="44"/>
      <c r="IID4" s="44"/>
      <c r="IIE4" s="44"/>
      <c r="IIF4" s="44"/>
      <c r="IIG4" s="44"/>
      <c r="IIH4" s="44"/>
      <c r="III4" s="44"/>
      <c r="IIJ4" s="44"/>
      <c r="IIK4" s="44"/>
      <c r="IIL4" s="44"/>
      <c r="IIM4" s="44"/>
      <c r="IIN4" s="44"/>
      <c r="IIO4" s="43"/>
      <c r="IIP4" s="44"/>
      <c r="IIQ4" s="44"/>
      <c r="IIR4" s="44"/>
      <c r="IIS4" s="44"/>
      <c r="IIT4" s="44"/>
      <c r="IIU4" s="44"/>
      <c r="IIV4" s="44"/>
      <c r="IIW4" s="44"/>
      <c r="IIX4" s="44"/>
      <c r="IIY4" s="44"/>
      <c r="IIZ4" s="44"/>
      <c r="IJA4" s="44"/>
      <c r="IJB4" s="44"/>
      <c r="IJC4" s="44"/>
      <c r="IJD4" s="43"/>
      <c r="IJE4" s="44"/>
      <c r="IJF4" s="44"/>
      <c r="IJG4" s="44"/>
      <c r="IJH4" s="44"/>
      <c r="IJI4" s="44"/>
      <c r="IJJ4" s="44"/>
      <c r="IJK4" s="44"/>
      <c r="IJL4" s="44"/>
      <c r="IJM4" s="44"/>
      <c r="IJN4" s="44"/>
      <c r="IJO4" s="44"/>
      <c r="IJP4" s="44"/>
      <c r="IJQ4" s="44"/>
      <c r="IJR4" s="44"/>
      <c r="IJS4" s="43"/>
      <c r="IJT4" s="44"/>
      <c r="IJU4" s="44"/>
      <c r="IJV4" s="44"/>
      <c r="IJW4" s="44"/>
      <c r="IJX4" s="44"/>
      <c r="IJY4" s="44"/>
      <c r="IJZ4" s="44"/>
      <c r="IKA4" s="44"/>
      <c r="IKB4" s="44"/>
      <c r="IKC4" s="44"/>
      <c r="IKD4" s="44"/>
      <c r="IKE4" s="44"/>
      <c r="IKF4" s="44"/>
      <c r="IKG4" s="44"/>
      <c r="IKH4" s="43"/>
      <c r="IKI4" s="44"/>
      <c r="IKJ4" s="44"/>
      <c r="IKK4" s="44"/>
      <c r="IKL4" s="44"/>
      <c r="IKM4" s="44"/>
      <c r="IKN4" s="44"/>
      <c r="IKO4" s="44"/>
      <c r="IKP4" s="44"/>
      <c r="IKQ4" s="44"/>
      <c r="IKR4" s="44"/>
      <c r="IKS4" s="44"/>
      <c r="IKT4" s="44"/>
      <c r="IKU4" s="44"/>
      <c r="IKV4" s="44"/>
      <c r="IKW4" s="43"/>
      <c r="IKX4" s="44"/>
      <c r="IKY4" s="44"/>
      <c r="IKZ4" s="44"/>
      <c r="ILA4" s="44"/>
      <c r="ILB4" s="44"/>
      <c r="ILC4" s="44"/>
      <c r="ILD4" s="44"/>
      <c r="ILE4" s="44"/>
      <c r="ILF4" s="44"/>
      <c r="ILG4" s="44"/>
      <c r="ILH4" s="44"/>
      <c r="ILI4" s="44"/>
      <c r="ILJ4" s="44"/>
      <c r="ILK4" s="44"/>
      <c r="ILL4" s="43"/>
      <c r="ILM4" s="44"/>
      <c r="ILN4" s="44"/>
      <c r="ILO4" s="44"/>
      <c r="ILP4" s="44"/>
      <c r="ILQ4" s="44"/>
      <c r="ILR4" s="44"/>
      <c r="ILS4" s="44"/>
      <c r="ILT4" s="44"/>
      <c r="ILU4" s="44"/>
      <c r="ILV4" s="44"/>
      <c r="ILW4" s="44"/>
      <c r="ILX4" s="44"/>
      <c r="ILY4" s="44"/>
      <c r="ILZ4" s="44"/>
      <c r="IMA4" s="43"/>
      <c r="IMB4" s="44"/>
      <c r="IMC4" s="44"/>
      <c r="IMD4" s="44"/>
      <c r="IME4" s="44"/>
      <c r="IMF4" s="44"/>
      <c r="IMG4" s="44"/>
      <c r="IMH4" s="44"/>
      <c r="IMI4" s="44"/>
      <c r="IMJ4" s="44"/>
      <c r="IMK4" s="44"/>
      <c r="IML4" s="44"/>
      <c r="IMM4" s="44"/>
      <c r="IMN4" s="44"/>
      <c r="IMO4" s="44"/>
      <c r="IMP4" s="43"/>
      <c r="IMQ4" s="44"/>
      <c r="IMR4" s="44"/>
      <c r="IMS4" s="44"/>
      <c r="IMT4" s="44"/>
      <c r="IMU4" s="44"/>
      <c r="IMV4" s="44"/>
      <c r="IMW4" s="44"/>
      <c r="IMX4" s="44"/>
      <c r="IMY4" s="44"/>
      <c r="IMZ4" s="44"/>
      <c r="INA4" s="44"/>
      <c r="INB4" s="44"/>
      <c r="INC4" s="44"/>
      <c r="IND4" s="44"/>
      <c r="INE4" s="43"/>
      <c r="INF4" s="44"/>
      <c r="ING4" s="44"/>
      <c r="INH4" s="44"/>
      <c r="INI4" s="44"/>
      <c r="INJ4" s="44"/>
      <c r="INK4" s="44"/>
      <c r="INL4" s="44"/>
      <c r="INM4" s="44"/>
      <c r="INN4" s="44"/>
      <c r="INO4" s="44"/>
      <c r="INP4" s="44"/>
      <c r="INQ4" s="44"/>
      <c r="INR4" s="44"/>
      <c r="INS4" s="44"/>
      <c r="INT4" s="43"/>
      <c r="INU4" s="44"/>
      <c r="INV4" s="44"/>
      <c r="INW4" s="44"/>
      <c r="INX4" s="44"/>
      <c r="INY4" s="44"/>
      <c r="INZ4" s="44"/>
      <c r="IOA4" s="44"/>
      <c r="IOB4" s="44"/>
      <c r="IOC4" s="44"/>
      <c r="IOD4" s="44"/>
      <c r="IOE4" s="44"/>
      <c r="IOF4" s="44"/>
      <c r="IOG4" s="44"/>
      <c r="IOH4" s="44"/>
      <c r="IOI4" s="43"/>
      <c r="IOJ4" s="44"/>
      <c r="IOK4" s="44"/>
      <c r="IOL4" s="44"/>
      <c r="IOM4" s="44"/>
      <c r="ION4" s="44"/>
      <c r="IOO4" s="44"/>
      <c r="IOP4" s="44"/>
      <c r="IOQ4" s="44"/>
      <c r="IOR4" s="44"/>
      <c r="IOS4" s="44"/>
      <c r="IOT4" s="44"/>
      <c r="IOU4" s="44"/>
      <c r="IOV4" s="44"/>
      <c r="IOW4" s="44"/>
      <c r="IOX4" s="43"/>
      <c r="IOY4" s="44"/>
      <c r="IOZ4" s="44"/>
      <c r="IPA4" s="44"/>
      <c r="IPB4" s="44"/>
      <c r="IPC4" s="44"/>
      <c r="IPD4" s="44"/>
      <c r="IPE4" s="44"/>
      <c r="IPF4" s="44"/>
      <c r="IPG4" s="44"/>
      <c r="IPH4" s="44"/>
      <c r="IPI4" s="44"/>
      <c r="IPJ4" s="44"/>
      <c r="IPK4" s="44"/>
      <c r="IPL4" s="44"/>
      <c r="IPM4" s="43"/>
      <c r="IPN4" s="44"/>
      <c r="IPO4" s="44"/>
      <c r="IPP4" s="44"/>
      <c r="IPQ4" s="44"/>
      <c r="IPR4" s="44"/>
      <c r="IPS4" s="44"/>
      <c r="IPT4" s="44"/>
      <c r="IPU4" s="44"/>
      <c r="IPV4" s="44"/>
      <c r="IPW4" s="44"/>
      <c r="IPX4" s="44"/>
      <c r="IPY4" s="44"/>
      <c r="IPZ4" s="44"/>
      <c r="IQA4" s="44"/>
      <c r="IQB4" s="43"/>
      <c r="IQC4" s="44"/>
      <c r="IQD4" s="44"/>
      <c r="IQE4" s="44"/>
      <c r="IQF4" s="44"/>
      <c r="IQG4" s="44"/>
      <c r="IQH4" s="44"/>
      <c r="IQI4" s="44"/>
      <c r="IQJ4" s="44"/>
      <c r="IQK4" s="44"/>
      <c r="IQL4" s="44"/>
      <c r="IQM4" s="44"/>
      <c r="IQN4" s="44"/>
      <c r="IQO4" s="44"/>
      <c r="IQP4" s="44"/>
      <c r="IQQ4" s="43"/>
      <c r="IQR4" s="44"/>
      <c r="IQS4" s="44"/>
      <c r="IQT4" s="44"/>
      <c r="IQU4" s="44"/>
      <c r="IQV4" s="44"/>
      <c r="IQW4" s="44"/>
      <c r="IQX4" s="44"/>
      <c r="IQY4" s="44"/>
      <c r="IQZ4" s="44"/>
      <c r="IRA4" s="44"/>
      <c r="IRB4" s="44"/>
      <c r="IRC4" s="44"/>
      <c r="IRD4" s="44"/>
      <c r="IRE4" s="44"/>
      <c r="IRF4" s="43"/>
      <c r="IRG4" s="44"/>
      <c r="IRH4" s="44"/>
      <c r="IRI4" s="44"/>
      <c r="IRJ4" s="44"/>
      <c r="IRK4" s="44"/>
      <c r="IRL4" s="44"/>
      <c r="IRM4" s="44"/>
      <c r="IRN4" s="44"/>
      <c r="IRO4" s="44"/>
      <c r="IRP4" s="44"/>
      <c r="IRQ4" s="44"/>
      <c r="IRR4" s="44"/>
      <c r="IRS4" s="44"/>
      <c r="IRT4" s="44"/>
      <c r="IRU4" s="43"/>
      <c r="IRV4" s="44"/>
      <c r="IRW4" s="44"/>
      <c r="IRX4" s="44"/>
      <c r="IRY4" s="44"/>
      <c r="IRZ4" s="44"/>
      <c r="ISA4" s="44"/>
      <c r="ISB4" s="44"/>
      <c r="ISC4" s="44"/>
      <c r="ISD4" s="44"/>
      <c r="ISE4" s="44"/>
      <c r="ISF4" s="44"/>
      <c r="ISG4" s="44"/>
      <c r="ISH4" s="44"/>
      <c r="ISI4" s="44"/>
      <c r="ISJ4" s="43"/>
      <c r="ISK4" s="44"/>
      <c r="ISL4" s="44"/>
      <c r="ISM4" s="44"/>
      <c r="ISN4" s="44"/>
      <c r="ISO4" s="44"/>
      <c r="ISP4" s="44"/>
      <c r="ISQ4" s="44"/>
      <c r="ISR4" s="44"/>
      <c r="ISS4" s="44"/>
      <c r="IST4" s="44"/>
      <c r="ISU4" s="44"/>
      <c r="ISV4" s="44"/>
      <c r="ISW4" s="44"/>
      <c r="ISX4" s="44"/>
      <c r="ISY4" s="43"/>
      <c r="ISZ4" s="44"/>
      <c r="ITA4" s="44"/>
      <c r="ITB4" s="44"/>
      <c r="ITC4" s="44"/>
      <c r="ITD4" s="44"/>
      <c r="ITE4" s="44"/>
      <c r="ITF4" s="44"/>
      <c r="ITG4" s="44"/>
      <c r="ITH4" s="44"/>
      <c r="ITI4" s="44"/>
      <c r="ITJ4" s="44"/>
      <c r="ITK4" s="44"/>
      <c r="ITL4" s="44"/>
      <c r="ITM4" s="44"/>
      <c r="ITN4" s="43"/>
      <c r="ITO4" s="44"/>
      <c r="ITP4" s="44"/>
      <c r="ITQ4" s="44"/>
      <c r="ITR4" s="44"/>
      <c r="ITS4" s="44"/>
      <c r="ITT4" s="44"/>
      <c r="ITU4" s="44"/>
      <c r="ITV4" s="44"/>
      <c r="ITW4" s="44"/>
      <c r="ITX4" s="44"/>
      <c r="ITY4" s="44"/>
      <c r="ITZ4" s="44"/>
      <c r="IUA4" s="44"/>
      <c r="IUB4" s="44"/>
      <c r="IUC4" s="43"/>
      <c r="IUD4" s="44"/>
      <c r="IUE4" s="44"/>
      <c r="IUF4" s="44"/>
      <c r="IUG4" s="44"/>
      <c r="IUH4" s="44"/>
      <c r="IUI4" s="44"/>
      <c r="IUJ4" s="44"/>
      <c r="IUK4" s="44"/>
      <c r="IUL4" s="44"/>
      <c r="IUM4" s="44"/>
      <c r="IUN4" s="44"/>
      <c r="IUO4" s="44"/>
      <c r="IUP4" s="44"/>
      <c r="IUQ4" s="44"/>
      <c r="IUR4" s="43"/>
      <c r="IUS4" s="44"/>
      <c r="IUT4" s="44"/>
      <c r="IUU4" s="44"/>
      <c r="IUV4" s="44"/>
      <c r="IUW4" s="44"/>
      <c r="IUX4" s="44"/>
      <c r="IUY4" s="44"/>
      <c r="IUZ4" s="44"/>
      <c r="IVA4" s="44"/>
      <c r="IVB4" s="44"/>
      <c r="IVC4" s="44"/>
      <c r="IVD4" s="44"/>
      <c r="IVE4" s="44"/>
      <c r="IVF4" s="44"/>
      <c r="IVG4" s="43"/>
      <c r="IVH4" s="44"/>
      <c r="IVI4" s="44"/>
      <c r="IVJ4" s="44"/>
      <c r="IVK4" s="44"/>
      <c r="IVL4" s="44"/>
      <c r="IVM4" s="44"/>
      <c r="IVN4" s="44"/>
      <c r="IVO4" s="44"/>
      <c r="IVP4" s="44"/>
      <c r="IVQ4" s="44"/>
      <c r="IVR4" s="44"/>
      <c r="IVS4" s="44"/>
      <c r="IVT4" s="44"/>
      <c r="IVU4" s="44"/>
      <c r="IVV4" s="43"/>
      <c r="IVW4" s="44"/>
      <c r="IVX4" s="44"/>
      <c r="IVY4" s="44"/>
      <c r="IVZ4" s="44"/>
      <c r="IWA4" s="44"/>
      <c r="IWB4" s="44"/>
      <c r="IWC4" s="44"/>
      <c r="IWD4" s="44"/>
      <c r="IWE4" s="44"/>
      <c r="IWF4" s="44"/>
      <c r="IWG4" s="44"/>
      <c r="IWH4" s="44"/>
      <c r="IWI4" s="44"/>
      <c r="IWJ4" s="44"/>
      <c r="IWK4" s="43"/>
      <c r="IWL4" s="44"/>
      <c r="IWM4" s="44"/>
      <c r="IWN4" s="44"/>
      <c r="IWO4" s="44"/>
      <c r="IWP4" s="44"/>
      <c r="IWQ4" s="44"/>
      <c r="IWR4" s="44"/>
      <c r="IWS4" s="44"/>
      <c r="IWT4" s="44"/>
      <c r="IWU4" s="44"/>
      <c r="IWV4" s="44"/>
      <c r="IWW4" s="44"/>
      <c r="IWX4" s="44"/>
      <c r="IWY4" s="44"/>
      <c r="IWZ4" s="43"/>
      <c r="IXA4" s="44"/>
      <c r="IXB4" s="44"/>
      <c r="IXC4" s="44"/>
      <c r="IXD4" s="44"/>
      <c r="IXE4" s="44"/>
      <c r="IXF4" s="44"/>
      <c r="IXG4" s="44"/>
      <c r="IXH4" s="44"/>
      <c r="IXI4" s="44"/>
      <c r="IXJ4" s="44"/>
      <c r="IXK4" s="44"/>
      <c r="IXL4" s="44"/>
      <c r="IXM4" s="44"/>
      <c r="IXN4" s="44"/>
      <c r="IXO4" s="43"/>
      <c r="IXP4" s="44"/>
      <c r="IXQ4" s="44"/>
      <c r="IXR4" s="44"/>
      <c r="IXS4" s="44"/>
      <c r="IXT4" s="44"/>
      <c r="IXU4" s="44"/>
      <c r="IXV4" s="44"/>
      <c r="IXW4" s="44"/>
      <c r="IXX4" s="44"/>
      <c r="IXY4" s="44"/>
      <c r="IXZ4" s="44"/>
      <c r="IYA4" s="44"/>
      <c r="IYB4" s="44"/>
      <c r="IYC4" s="44"/>
      <c r="IYD4" s="43"/>
      <c r="IYE4" s="44"/>
      <c r="IYF4" s="44"/>
      <c r="IYG4" s="44"/>
      <c r="IYH4" s="44"/>
      <c r="IYI4" s="44"/>
      <c r="IYJ4" s="44"/>
      <c r="IYK4" s="44"/>
      <c r="IYL4" s="44"/>
      <c r="IYM4" s="44"/>
      <c r="IYN4" s="44"/>
      <c r="IYO4" s="44"/>
      <c r="IYP4" s="44"/>
      <c r="IYQ4" s="44"/>
      <c r="IYR4" s="44"/>
      <c r="IYS4" s="43"/>
      <c r="IYT4" s="44"/>
      <c r="IYU4" s="44"/>
      <c r="IYV4" s="44"/>
      <c r="IYW4" s="44"/>
      <c r="IYX4" s="44"/>
      <c r="IYY4" s="44"/>
      <c r="IYZ4" s="44"/>
      <c r="IZA4" s="44"/>
      <c r="IZB4" s="44"/>
      <c r="IZC4" s="44"/>
      <c r="IZD4" s="44"/>
      <c r="IZE4" s="44"/>
      <c r="IZF4" s="44"/>
      <c r="IZG4" s="44"/>
      <c r="IZH4" s="43"/>
      <c r="IZI4" s="44"/>
      <c r="IZJ4" s="44"/>
      <c r="IZK4" s="44"/>
      <c r="IZL4" s="44"/>
      <c r="IZM4" s="44"/>
      <c r="IZN4" s="44"/>
      <c r="IZO4" s="44"/>
      <c r="IZP4" s="44"/>
      <c r="IZQ4" s="44"/>
      <c r="IZR4" s="44"/>
      <c r="IZS4" s="44"/>
      <c r="IZT4" s="44"/>
      <c r="IZU4" s="44"/>
      <c r="IZV4" s="44"/>
      <c r="IZW4" s="43"/>
      <c r="IZX4" s="44"/>
      <c r="IZY4" s="44"/>
      <c r="IZZ4" s="44"/>
      <c r="JAA4" s="44"/>
      <c r="JAB4" s="44"/>
      <c r="JAC4" s="44"/>
      <c r="JAD4" s="44"/>
      <c r="JAE4" s="44"/>
      <c r="JAF4" s="44"/>
      <c r="JAG4" s="44"/>
      <c r="JAH4" s="44"/>
      <c r="JAI4" s="44"/>
      <c r="JAJ4" s="44"/>
      <c r="JAK4" s="44"/>
      <c r="JAL4" s="43"/>
      <c r="JAM4" s="44"/>
      <c r="JAN4" s="44"/>
      <c r="JAO4" s="44"/>
      <c r="JAP4" s="44"/>
      <c r="JAQ4" s="44"/>
      <c r="JAR4" s="44"/>
      <c r="JAS4" s="44"/>
      <c r="JAT4" s="44"/>
      <c r="JAU4" s="44"/>
      <c r="JAV4" s="44"/>
      <c r="JAW4" s="44"/>
      <c r="JAX4" s="44"/>
      <c r="JAY4" s="44"/>
      <c r="JAZ4" s="44"/>
      <c r="JBA4" s="43"/>
      <c r="JBB4" s="44"/>
      <c r="JBC4" s="44"/>
      <c r="JBD4" s="44"/>
      <c r="JBE4" s="44"/>
      <c r="JBF4" s="44"/>
      <c r="JBG4" s="44"/>
      <c r="JBH4" s="44"/>
      <c r="JBI4" s="44"/>
      <c r="JBJ4" s="44"/>
      <c r="JBK4" s="44"/>
      <c r="JBL4" s="44"/>
      <c r="JBM4" s="44"/>
      <c r="JBN4" s="44"/>
      <c r="JBO4" s="44"/>
      <c r="JBP4" s="43"/>
      <c r="JBQ4" s="44"/>
      <c r="JBR4" s="44"/>
      <c r="JBS4" s="44"/>
      <c r="JBT4" s="44"/>
      <c r="JBU4" s="44"/>
      <c r="JBV4" s="44"/>
      <c r="JBW4" s="44"/>
      <c r="JBX4" s="44"/>
      <c r="JBY4" s="44"/>
      <c r="JBZ4" s="44"/>
      <c r="JCA4" s="44"/>
      <c r="JCB4" s="44"/>
      <c r="JCC4" s="44"/>
      <c r="JCD4" s="44"/>
      <c r="JCE4" s="43"/>
      <c r="JCF4" s="44"/>
      <c r="JCG4" s="44"/>
      <c r="JCH4" s="44"/>
      <c r="JCI4" s="44"/>
      <c r="JCJ4" s="44"/>
      <c r="JCK4" s="44"/>
      <c r="JCL4" s="44"/>
      <c r="JCM4" s="44"/>
      <c r="JCN4" s="44"/>
      <c r="JCO4" s="44"/>
      <c r="JCP4" s="44"/>
      <c r="JCQ4" s="44"/>
      <c r="JCR4" s="44"/>
      <c r="JCS4" s="44"/>
      <c r="JCT4" s="43"/>
      <c r="JCU4" s="44"/>
      <c r="JCV4" s="44"/>
      <c r="JCW4" s="44"/>
      <c r="JCX4" s="44"/>
      <c r="JCY4" s="44"/>
      <c r="JCZ4" s="44"/>
      <c r="JDA4" s="44"/>
      <c r="JDB4" s="44"/>
      <c r="JDC4" s="44"/>
      <c r="JDD4" s="44"/>
      <c r="JDE4" s="44"/>
      <c r="JDF4" s="44"/>
      <c r="JDG4" s="44"/>
      <c r="JDH4" s="44"/>
      <c r="JDI4" s="43"/>
      <c r="JDJ4" s="44"/>
      <c r="JDK4" s="44"/>
      <c r="JDL4" s="44"/>
      <c r="JDM4" s="44"/>
      <c r="JDN4" s="44"/>
      <c r="JDO4" s="44"/>
      <c r="JDP4" s="44"/>
      <c r="JDQ4" s="44"/>
      <c r="JDR4" s="44"/>
      <c r="JDS4" s="44"/>
      <c r="JDT4" s="44"/>
      <c r="JDU4" s="44"/>
      <c r="JDV4" s="44"/>
      <c r="JDW4" s="44"/>
      <c r="JDX4" s="43"/>
      <c r="JDY4" s="44"/>
      <c r="JDZ4" s="44"/>
      <c r="JEA4" s="44"/>
      <c r="JEB4" s="44"/>
      <c r="JEC4" s="44"/>
      <c r="JED4" s="44"/>
      <c r="JEE4" s="44"/>
      <c r="JEF4" s="44"/>
      <c r="JEG4" s="44"/>
      <c r="JEH4" s="44"/>
      <c r="JEI4" s="44"/>
      <c r="JEJ4" s="44"/>
      <c r="JEK4" s="44"/>
      <c r="JEL4" s="44"/>
      <c r="JEM4" s="43"/>
      <c r="JEN4" s="44"/>
      <c r="JEO4" s="44"/>
      <c r="JEP4" s="44"/>
      <c r="JEQ4" s="44"/>
      <c r="JER4" s="44"/>
      <c r="JES4" s="44"/>
      <c r="JET4" s="44"/>
      <c r="JEU4" s="44"/>
      <c r="JEV4" s="44"/>
      <c r="JEW4" s="44"/>
      <c r="JEX4" s="44"/>
      <c r="JEY4" s="44"/>
      <c r="JEZ4" s="44"/>
      <c r="JFA4" s="44"/>
      <c r="JFB4" s="43"/>
      <c r="JFC4" s="44"/>
      <c r="JFD4" s="44"/>
      <c r="JFE4" s="44"/>
      <c r="JFF4" s="44"/>
      <c r="JFG4" s="44"/>
      <c r="JFH4" s="44"/>
      <c r="JFI4" s="44"/>
      <c r="JFJ4" s="44"/>
      <c r="JFK4" s="44"/>
      <c r="JFL4" s="44"/>
      <c r="JFM4" s="44"/>
      <c r="JFN4" s="44"/>
      <c r="JFO4" s="44"/>
      <c r="JFP4" s="44"/>
      <c r="JFQ4" s="43"/>
      <c r="JFR4" s="44"/>
      <c r="JFS4" s="44"/>
      <c r="JFT4" s="44"/>
      <c r="JFU4" s="44"/>
      <c r="JFV4" s="44"/>
      <c r="JFW4" s="44"/>
      <c r="JFX4" s="44"/>
      <c r="JFY4" s="44"/>
      <c r="JFZ4" s="44"/>
      <c r="JGA4" s="44"/>
      <c r="JGB4" s="44"/>
      <c r="JGC4" s="44"/>
      <c r="JGD4" s="44"/>
      <c r="JGE4" s="44"/>
      <c r="JGF4" s="43"/>
      <c r="JGG4" s="44"/>
      <c r="JGH4" s="44"/>
      <c r="JGI4" s="44"/>
      <c r="JGJ4" s="44"/>
      <c r="JGK4" s="44"/>
      <c r="JGL4" s="44"/>
      <c r="JGM4" s="44"/>
      <c r="JGN4" s="44"/>
      <c r="JGO4" s="44"/>
      <c r="JGP4" s="44"/>
      <c r="JGQ4" s="44"/>
      <c r="JGR4" s="44"/>
      <c r="JGS4" s="44"/>
      <c r="JGT4" s="44"/>
      <c r="JGU4" s="43"/>
      <c r="JGV4" s="44"/>
      <c r="JGW4" s="44"/>
      <c r="JGX4" s="44"/>
      <c r="JGY4" s="44"/>
      <c r="JGZ4" s="44"/>
      <c r="JHA4" s="44"/>
      <c r="JHB4" s="44"/>
      <c r="JHC4" s="44"/>
      <c r="JHD4" s="44"/>
      <c r="JHE4" s="44"/>
      <c r="JHF4" s="44"/>
      <c r="JHG4" s="44"/>
      <c r="JHH4" s="44"/>
      <c r="JHI4" s="44"/>
      <c r="JHJ4" s="43"/>
      <c r="JHK4" s="44"/>
      <c r="JHL4" s="44"/>
      <c r="JHM4" s="44"/>
      <c r="JHN4" s="44"/>
      <c r="JHO4" s="44"/>
      <c r="JHP4" s="44"/>
      <c r="JHQ4" s="44"/>
      <c r="JHR4" s="44"/>
      <c r="JHS4" s="44"/>
      <c r="JHT4" s="44"/>
      <c r="JHU4" s="44"/>
      <c r="JHV4" s="44"/>
      <c r="JHW4" s="44"/>
      <c r="JHX4" s="44"/>
      <c r="JHY4" s="43"/>
      <c r="JHZ4" s="44"/>
      <c r="JIA4" s="44"/>
      <c r="JIB4" s="44"/>
      <c r="JIC4" s="44"/>
      <c r="JID4" s="44"/>
      <c r="JIE4" s="44"/>
      <c r="JIF4" s="44"/>
      <c r="JIG4" s="44"/>
      <c r="JIH4" s="44"/>
      <c r="JII4" s="44"/>
      <c r="JIJ4" s="44"/>
      <c r="JIK4" s="44"/>
      <c r="JIL4" s="44"/>
      <c r="JIM4" s="44"/>
      <c r="JIN4" s="43"/>
      <c r="JIO4" s="44"/>
      <c r="JIP4" s="44"/>
      <c r="JIQ4" s="44"/>
      <c r="JIR4" s="44"/>
      <c r="JIS4" s="44"/>
      <c r="JIT4" s="44"/>
      <c r="JIU4" s="44"/>
      <c r="JIV4" s="44"/>
      <c r="JIW4" s="44"/>
      <c r="JIX4" s="44"/>
      <c r="JIY4" s="44"/>
      <c r="JIZ4" s="44"/>
      <c r="JJA4" s="44"/>
      <c r="JJB4" s="44"/>
      <c r="JJC4" s="43"/>
      <c r="JJD4" s="44"/>
      <c r="JJE4" s="44"/>
      <c r="JJF4" s="44"/>
      <c r="JJG4" s="44"/>
      <c r="JJH4" s="44"/>
      <c r="JJI4" s="44"/>
      <c r="JJJ4" s="44"/>
      <c r="JJK4" s="44"/>
      <c r="JJL4" s="44"/>
      <c r="JJM4" s="44"/>
      <c r="JJN4" s="44"/>
      <c r="JJO4" s="44"/>
      <c r="JJP4" s="44"/>
      <c r="JJQ4" s="44"/>
      <c r="JJR4" s="43"/>
      <c r="JJS4" s="44"/>
      <c r="JJT4" s="44"/>
      <c r="JJU4" s="44"/>
      <c r="JJV4" s="44"/>
      <c r="JJW4" s="44"/>
      <c r="JJX4" s="44"/>
      <c r="JJY4" s="44"/>
      <c r="JJZ4" s="44"/>
      <c r="JKA4" s="44"/>
      <c r="JKB4" s="44"/>
      <c r="JKC4" s="44"/>
      <c r="JKD4" s="44"/>
      <c r="JKE4" s="44"/>
      <c r="JKF4" s="44"/>
      <c r="JKG4" s="43"/>
      <c r="JKH4" s="44"/>
      <c r="JKI4" s="44"/>
      <c r="JKJ4" s="44"/>
      <c r="JKK4" s="44"/>
      <c r="JKL4" s="44"/>
      <c r="JKM4" s="44"/>
      <c r="JKN4" s="44"/>
      <c r="JKO4" s="44"/>
      <c r="JKP4" s="44"/>
      <c r="JKQ4" s="44"/>
      <c r="JKR4" s="44"/>
      <c r="JKS4" s="44"/>
      <c r="JKT4" s="44"/>
      <c r="JKU4" s="44"/>
      <c r="JKV4" s="43"/>
      <c r="JKW4" s="44"/>
      <c r="JKX4" s="44"/>
      <c r="JKY4" s="44"/>
      <c r="JKZ4" s="44"/>
      <c r="JLA4" s="44"/>
      <c r="JLB4" s="44"/>
      <c r="JLC4" s="44"/>
      <c r="JLD4" s="44"/>
      <c r="JLE4" s="44"/>
      <c r="JLF4" s="44"/>
      <c r="JLG4" s="44"/>
      <c r="JLH4" s="44"/>
      <c r="JLI4" s="44"/>
      <c r="JLJ4" s="44"/>
      <c r="JLK4" s="43"/>
      <c r="JLL4" s="44"/>
      <c r="JLM4" s="44"/>
      <c r="JLN4" s="44"/>
      <c r="JLO4" s="44"/>
      <c r="JLP4" s="44"/>
      <c r="JLQ4" s="44"/>
      <c r="JLR4" s="44"/>
      <c r="JLS4" s="44"/>
      <c r="JLT4" s="44"/>
      <c r="JLU4" s="44"/>
      <c r="JLV4" s="44"/>
      <c r="JLW4" s="44"/>
      <c r="JLX4" s="44"/>
      <c r="JLY4" s="44"/>
      <c r="JLZ4" s="43"/>
      <c r="JMA4" s="44"/>
      <c r="JMB4" s="44"/>
      <c r="JMC4" s="44"/>
      <c r="JMD4" s="44"/>
      <c r="JME4" s="44"/>
      <c r="JMF4" s="44"/>
      <c r="JMG4" s="44"/>
      <c r="JMH4" s="44"/>
      <c r="JMI4" s="44"/>
      <c r="JMJ4" s="44"/>
      <c r="JMK4" s="44"/>
      <c r="JML4" s="44"/>
      <c r="JMM4" s="44"/>
      <c r="JMN4" s="44"/>
      <c r="JMO4" s="43"/>
      <c r="JMP4" s="44"/>
      <c r="JMQ4" s="44"/>
      <c r="JMR4" s="44"/>
      <c r="JMS4" s="44"/>
      <c r="JMT4" s="44"/>
      <c r="JMU4" s="44"/>
      <c r="JMV4" s="44"/>
      <c r="JMW4" s="44"/>
      <c r="JMX4" s="44"/>
      <c r="JMY4" s="44"/>
      <c r="JMZ4" s="44"/>
      <c r="JNA4" s="44"/>
      <c r="JNB4" s="44"/>
      <c r="JNC4" s="44"/>
      <c r="JND4" s="43"/>
      <c r="JNE4" s="44"/>
      <c r="JNF4" s="44"/>
      <c r="JNG4" s="44"/>
      <c r="JNH4" s="44"/>
      <c r="JNI4" s="44"/>
      <c r="JNJ4" s="44"/>
      <c r="JNK4" s="44"/>
      <c r="JNL4" s="44"/>
      <c r="JNM4" s="44"/>
      <c r="JNN4" s="44"/>
      <c r="JNO4" s="44"/>
      <c r="JNP4" s="44"/>
      <c r="JNQ4" s="44"/>
      <c r="JNR4" s="44"/>
      <c r="JNS4" s="43"/>
      <c r="JNT4" s="44"/>
      <c r="JNU4" s="44"/>
      <c r="JNV4" s="44"/>
      <c r="JNW4" s="44"/>
      <c r="JNX4" s="44"/>
      <c r="JNY4" s="44"/>
      <c r="JNZ4" s="44"/>
      <c r="JOA4" s="44"/>
      <c r="JOB4" s="44"/>
      <c r="JOC4" s="44"/>
      <c r="JOD4" s="44"/>
      <c r="JOE4" s="44"/>
      <c r="JOF4" s="44"/>
      <c r="JOG4" s="44"/>
      <c r="JOH4" s="43"/>
      <c r="JOI4" s="44"/>
      <c r="JOJ4" s="44"/>
      <c r="JOK4" s="44"/>
      <c r="JOL4" s="44"/>
      <c r="JOM4" s="44"/>
      <c r="JON4" s="44"/>
      <c r="JOO4" s="44"/>
      <c r="JOP4" s="44"/>
      <c r="JOQ4" s="44"/>
      <c r="JOR4" s="44"/>
      <c r="JOS4" s="44"/>
      <c r="JOT4" s="44"/>
      <c r="JOU4" s="44"/>
      <c r="JOV4" s="44"/>
      <c r="JOW4" s="43"/>
      <c r="JOX4" s="44"/>
      <c r="JOY4" s="44"/>
      <c r="JOZ4" s="44"/>
      <c r="JPA4" s="44"/>
      <c r="JPB4" s="44"/>
      <c r="JPC4" s="44"/>
      <c r="JPD4" s="44"/>
      <c r="JPE4" s="44"/>
      <c r="JPF4" s="44"/>
      <c r="JPG4" s="44"/>
      <c r="JPH4" s="44"/>
      <c r="JPI4" s="44"/>
      <c r="JPJ4" s="44"/>
      <c r="JPK4" s="44"/>
      <c r="JPL4" s="43"/>
      <c r="JPM4" s="44"/>
      <c r="JPN4" s="44"/>
      <c r="JPO4" s="44"/>
      <c r="JPP4" s="44"/>
      <c r="JPQ4" s="44"/>
      <c r="JPR4" s="44"/>
      <c r="JPS4" s="44"/>
      <c r="JPT4" s="44"/>
      <c r="JPU4" s="44"/>
      <c r="JPV4" s="44"/>
      <c r="JPW4" s="44"/>
      <c r="JPX4" s="44"/>
      <c r="JPY4" s="44"/>
      <c r="JPZ4" s="44"/>
      <c r="JQA4" s="43"/>
      <c r="JQB4" s="44"/>
      <c r="JQC4" s="44"/>
      <c r="JQD4" s="44"/>
      <c r="JQE4" s="44"/>
      <c r="JQF4" s="44"/>
      <c r="JQG4" s="44"/>
      <c r="JQH4" s="44"/>
      <c r="JQI4" s="44"/>
      <c r="JQJ4" s="44"/>
      <c r="JQK4" s="44"/>
      <c r="JQL4" s="44"/>
      <c r="JQM4" s="44"/>
      <c r="JQN4" s="44"/>
      <c r="JQO4" s="44"/>
      <c r="JQP4" s="43"/>
      <c r="JQQ4" s="44"/>
      <c r="JQR4" s="44"/>
      <c r="JQS4" s="44"/>
      <c r="JQT4" s="44"/>
      <c r="JQU4" s="44"/>
      <c r="JQV4" s="44"/>
      <c r="JQW4" s="44"/>
      <c r="JQX4" s="44"/>
      <c r="JQY4" s="44"/>
      <c r="JQZ4" s="44"/>
      <c r="JRA4" s="44"/>
      <c r="JRB4" s="44"/>
      <c r="JRC4" s="44"/>
      <c r="JRD4" s="44"/>
      <c r="JRE4" s="43"/>
      <c r="JRF4" s="44"/>
      <c r="JRG4" s="44"/>
      <c r="JRH4" s="44"/>
      <c r="JRI4" s="44"/>
      <c r="JRJ4" s="44"/>
      <c r="JRK4" s="44"/>
      <c r="JRL4" s="44"/>
      <c r="JRM4" s="44"/>
      <c r="JRN4" s="44"/>
      <c r="JRO4" s="44"/>
      <c r="JRP4" s="44"/>
      <c r="JRQ4" s="44"/>
      <c r="JRR4" s="44"/>
      <c r="JRS4" s="44"/>
      <c r="JRT4" s="43"/>
      <c r="JRU4" s="44"/>
      <c r="JRV4" s="44"/>
      <c r="JRW4" s="44"/>
      <c r="JRX4" s="44"/>
      <c r="JRY4" s="44"/>
      <c r="JRZ4" s="44"/>
      <c r="JSA4" s="44"/>
      <c r="JSB4" s="44"/>
      <c r="JSC4" s="44"/>
      <c r="JSD4" s="44"/>
      <c r="JSE4" s="44"/>
      <c r="JSF4" s="44"/>
      <c r="JSG4" s="44"/>
      <c r="JSH4" s="44"/>
      <c r="JSI4" s="43"/>
      <c r="JSJ4" s="44"/>
      <c r="JSK4" s="44"/>
      <c r="JSL4" s="44"/>
      <c r="JSM4" s="44"/>
      <c r="JSN4" s="44"/>
      <c r="JSO4" s="44"/>
      <c r="JSP4" s="44"/>
      <c r="JSQ4" s="44"/>
      <c r="JSR4" s="44"/>
      <c r="JSS4" s="44"/>
      <c r="JST4" s="44"/>
      <c r="JSU4" s="44"/>
      <c r="JSV4" s="44"/>
      <c r="JSW4" s="44"/>
      <c r="JSX4" s="43"/>
      <c r="JSY4" s="44"/>
      <c r="JSZ4" s="44"/>
      <c r="JTA4" s="44"/>
      <c r="JTB4" s="44"/>
      <c r="JTC4" s="44"/>
      <c r="JTD4" s="44"/>
      <c r="JTE4" s="44"/>
      <c r="JTF4" s="44"/>
      <c r="JTG4" s="44"/>
      <c r="JTH4" s="44"/>
      <c r="JTI4" s="44"/>
      <c r="JTJ4" s="44"/>
      <c r="JTK4" s="44"/>
      <c r="JTL4" s="44"/>
      <c r="JTM4" s="43"/>
      <c r="JTN4" s="44"/>
      <c r="JTO4" s="44"/>
      <c r="JTP4" s="44"/>
      <c r="JTQ4" s="44"/>
      <c r="JTR4" s="44"/>
      <c r="JTS4" s="44"/>
      <c r="JTT4" s="44"/>
      <c r="JTU4" s="44"/>
      <c r="JTV4" s="44"/>
      <c r="JTW4" s="44"/>
      <c r="JTX4" s="44"/>
      <c r="JTY4" s="44"/>
      <c r="JTZ4" s="44"/>
      <c r="JUA4" s="44"/>
      <c r="JUB4" s="43"/>
      <c r="JUC4" s="44"/>
      <c r="JUD4" s="44"/>
      <c r="JUE4" s="44"/>
      <c r="JUF4" s="44"/>
      <c r="JUG4" s="44"/>
      <c r="JUH4" s="44"/>
      <c r="JUI4" s="44"/>
      <c r="JUJ4" s="44"/>
      <c r="JUK4" s="44"/>
      <c r="JUL4" s="44"/>
      <c r="JUM4" s="44"/>
      <c r="JUN4" s="44"/>
      <c r="JUO4" s="44"/>
      <c r="JUP4" s="44"/>
      <c r="JUQ4" s="43"/>
      <c r="JUR4" s="44"/>
      <c r="JUS4" s="44"/>
      <c r="JUT4" s="44"/>
      <c r="JUU4" s="44"/>
      <c r="JUV4" s="44"/>
      <c r="JUW4" s="44"/>
      <c r="JUX4" s="44"/>
      <c r="JUY4" s="44"/>
      <c r="JUZ4" s="44"/>
      <c r="JVA4" s="44"/>
      <c r="JVB4" s="44"/>
      <c r="JVC4" s="44"/>
      <c r="JVD4" s="44"/>
      <c r="JVE4" s="44"/>
      <c r="JVF4" s="43"/>
      <c r="JVG4" s="44"/>
      <c r="JVH4" s="44"/>
      <c r="JVI4" s="44"/>
      <c r="JVJ4" s="44"/>
      <c r="JVK4" s="44"/>
      <c r="JVL4" s="44"/>
      <c r="JVM4" s="44"/>
      <c r="JVN4" s="44"/>
      <c r="JVO4" s="44"/>
      <c r="JVP4" s="44"/>
      <c r="JVQ4" s="44"/>
      <c r="JVR4" s="44"/>
      <c r="JVS4" s="44"/>
      <c r="JVT4" s="44"/>
      <c r="JVU4" s="43"/>
      <c r="JVV4" s="44"/>
      <c r="JVW4" s="44"/>
      <c r="JVX4" s="44"/>
      <c r="JVY4" s="44"/>
      <c r="JVZ4" s="44"/>
      <c r="JWA4" s="44"/>
      <c r="JWB4" s="44"/>
      <c r="JWC4" s="44"/>
      <c r="JWD4" s="44"/>
      <c r="JWE4" s="44"/>
      <c r="JWF4" s="44"/>
      <c r="JWG4" s="44"/>
      <c r="JWH4" s="44"/>
      <c r="JWI4" s="44"/>
      <c r="JWJ4" s="43"/>
      <c r="JWK4" s="44"/>
      <c r="JWL4" s="44"/>
      <c r="JWM4" s="44"/>
      <c r="JWN4" s="44"/>
      <c r="JWO4" s="44"/>
      <c r="JWP4" s="44"/>
      <c r="JWQ4" s="44"/>
      <c r="JWR4" s="44"/>
      <c r="JWS4" s="44"/>
      <c r="JWT4" s="44"/>
      <c r="JWU4" s="44"/>
      <c r="JWV4" s="44"/>
      <c r="JWW4" s="44"/>
      <c r="JWX4" s="44"/>
      <c r="JWY4" s="43"/>
      <c r="JWZ4" s="44"/>
      <c r="JXA4" s="44"/>
      <c r="JXB4" s="44"/>
      <c r="JXC4" s="44"/>
      <c r="JXD4" s="44"/>
      <c r="JXE4" s="44"/>
      <c r="JXF4" s="44"/>
      <c r="JXG4" s="44"/>
      <c r="JXH4" s="44"/>
      <c r="JXI4" s="44"/>
      <c r="JXJ4" s="44"/>
      <c r="JXK4" s="44"/>
      <c r="JXL4" s="44"/>
      <c r="JXM4" s="44"/>
      <c r="JXN4" s="43"/>
      <c r="JXO4" s="44"/>
      <c r="JXP4" s="44"/>
      <c r="JXQ4" s="44"/>
      <c r="JXR4" s="44"/>
      <c r="JXS4" s="44"/>
      <c r="JXT4" s="44"/>
      <c r="JXU4" s="44"/>
      <c r="JXV4" s="44"/>
      <c r="JXW4" s="44"/>
      <c r="JXX4" s="44"/>
      <c r="JXY4" s="44"/>
      <c r="JXZ4" s="44"/>
      <c r="JYA4" s="44"/>
      <c r="JYB4" s="44"/>
      <c r="JYC4" s="43"/>
      <c r="JYD4" s="44"/>
      <c r="JYE4" s="44"/>
      <c r="JYF4" s="44"/>
      <c r="JYG4" s="44"/>
      <c r="JYH4" s="44"/>
      <c r="JYI4" s="44"/>
      <c r="JYJ4" s="44"/>
      <c r="JYK4" s="44"/>
      <c r="JYL4" s="44"/>
      <c r="JYM4" s="44"/>
      <c r="JYN4" s="44"/>
      <c r="JYO4" s="44"/>
      <c r="JYP4" s="44"/>
      <c r="JYQ4" s="44"/>
      <c r="JYR4" s="43"/>
      <c r="JYS4" s="44"/>
      <c r="JYT4" s="44"/>
      <c r="JYU4" s="44"/>
      <c r="JYV4" s="44"/>
      <c r="JYW4" s="44"/>
      <c r="JYX4" s="44"/>
      <c r="JYY4" s="44"/>
      <c r="JYZ4" s="44"/>
      <c r="JZA4" s="44"/>
      <c r="JZB4" s="44"/>
      <c r="JZC4" s="44"/>
      <c r="JZD4" s="44"/>
      <c r="JZE4" s="44"/>
      <c r="JZF4" s="44"/>
      <c r="JZG4" s="43"/>
      <c r="JZH4" s="44"/>
      <c r="JZI4" s="44"/>
      <c r="JZJ4" s="44"/>
      <c r="JZK4" s="44"/>
      <c r="JZL4" s="44"/>
      <c r="JZM4" s="44"/>
      <c r="JZN4" s="44"/>
      <c r="JZO4" s="44"/>
      <c r="JZP4" s="44"/>
      <c r="JZQ4" s="44"/>
      <c r="JZR4" s="44"/>
      <c r="JZS4" s="44"/>
      <c r="JZT4" s="44"/>
      <c r="JZU4" s="44"/>
      <c r="JZV4" s="43"/>
      <c r="JZW4" s="44"/>
      <c r="JZX4" s="44"/>
      <c r="JZY4" s="44"/>
      <c r="JZZ4" s="44"/>
      <c r="KAA4" s="44"/>
      <c r="KAB4" s="44"/>
      <c r="KAC4" s="44"/>
      <c r="KAD4" s="44"/>
      <c r="KAE4" s="44"/>
      <c r="KAF4" s="44"/>
      <c r="KAG4" s="44"/>
      <c r="KAH4" s="44"/>
      <c r="KAI4" s="44"/>
      <c r="KAJ4" s="44"/>
      <c r="KAK4" s="43"/>
      <c r="KAL4" s="44"/>
      <c r="KAM4" s="44"/>
      <c r="KAN4" s="44"/>
      <c r="KAO4" s="44"/>
      <c r="KAP4" s="44"/>
      <c r="KAQ4" s="44"/>
      <c r="KAR4" s="44"/>
      <c r="KAS4" s="44"/>
      <c r="KAT4" s="44"/>
      <c r="KAU4" s="44"/>
      <c r="KAV4" s="44"/>
      <c r="KAW4" s="44"/>
      <c r="KAX4" s="44"/>
      <c r="KAY4" s="44"/>
      <c r="KAZ4" s="43"/>
      <c r="KBA4" s="44"/>
      <c r="KBB4" s="44"/>
      <c r="KBC4" s="44"/>
      <c r="KBD4" s="44"/>
      <c r="KBE4" s="44"/>
      <c r="KBF4" s="44"/>
      <c r="KBG4" s="44"/>
      <c r="KBH4" s="44"/>
      <c r="KBI4" s="44"/>
      <c r="KBJ4" s="44"/>
      <c r="KBK4" s="44"/>
      <c r="KBL4" s="44"/>
      <c r="KBM4" s="44"/>
      <c r="KBN4" s="44"/>
      <c r="KBO4" s="43"/>
      <c r="KBP4" s="44"/>
      <c r="KBQ4" s="44"/>
      <c r="KBR4" s="44"/>
      <c r="KBS4" s="44"/>
      <c r="KBT4" s="44"/>
      <c r="KBU4" s="44"/>
      <c r="KBV4" s="44"/>
      <c r="KBW4" s="44"/>
      <c r="KBX4" s="44"/>
      <c r="KBY4" s="44"/>
      <c r="KBZ4" s="44"/>
      <c r="KCA4" s="44"/>
      <c r="KCB4" s="44"/>
      <c r="KCC4" s="44"/>
      <c r="KCD4" s="43"/>
      <c r="KCE4" s="44"/>
      <c r="KCF4" s="44"/>
      <c r="KCG4" s="44"/>
      <c r="KCH4" s="44"/>
      <c r="KCI4" s="44"/>
      <c r="KCJ4" s="44"/>
      <c r="KCK4" s="44"/>
      <c r="KCL4" s="44"/>
      <c r="KCM4" s="44"/>
      <c r="KCN4" s="44"/>
      <c r="KCO4" s="44"/>
      <c r="KCP4" s="44"/>
      <c r="KCQ4" s="44"/>
      <c r="KCR4" s="44"/>
      <c r="KCS4" s="43"/>
      <c r="KCT4" s="44"/>
      <c r="KCU4" s="44"/>
      <c r="KCV4" s="44"/>
      <c r="KCW4" s="44"/>
      <c r="KCX4" s="44"/>
      <c r="KCY4" s="44"/>
      <c r="KCZ4" s="44"/>
      <c r="KDA4" s="44"/>
      <c r="KDB4" s="44"/>
      <c r="KDC4" s="44"/>
      <c r="KDD4" s="44"/>
      <c r="KDE4" s="44"/>
      <c r="KDF4" s="44"/>
      <c r="KDG4" s="44"/>
      <c r="KDH4" s="43"/>
      <c r="KDI4" s="44"/>
      <c r="KDJ4" s="44"/>
      <c r="KDK4" s="44"/>
      <c r="KDL4" s="44"/>
      <c r="KDM4" s="44"/>
      <c r="KDN4" s="44"/>
      <c r="KDO4" s="44"/>
      <c r="KDP4" s="44"/>
      <c r="KDQ4" s="44"/>
      <c r="KDR4" s="44"/>
      <c r="KDS4" s="44"/>
      <c r="KDT4" s="44"/>
      <c r="KDU4" s="44"/>
      <c r="KDV4" s="44"/>
      <c r="KDW4" s="43"/>
      <c r="KDX4" s="44"/>
      <c r="KDY4" s="44"/>
      <c r="KDZ4" s="44"/>
      <c r="KEA4" s="44"/>
      <c r="KEB4" s="44"/>
      <c r="KEC4" s="44"/>
      <c r="KED4" s="44"/>
      <c r="KEE4" s="44"/>
      <c r="KEF4" s="44"/>
      <c r="KEG4" s="44"/>
      <c r="KEH4" s="44"/>
      <c r="KEI4" s="44"/>
      <c r="KEJ4" s="44"/>
      <c r="KEK4" s="44"/>
      <c r="KEL4" s="43"/>
      <c r="KEM4" s="44"/>
      <c r="KEN4" s="44"/>
      <c r="KEO4" s="44"/>
      <c r="KEP4" s="44"/>
      <c r="KEQ4" s="44"/>
      <c r="KER4" s="44"/>
      <c r="KES4" s="44"/>
      <c r="KET4" s="44"/>
      <c r="KEU4" s="44"/>
      <c r="KEV4" s="44"/>
      <c r="KEW4" s="44"/>
      <c r="KEX4" s="44"/>
      <c r="KEY4" s="44"/>
      <c r="KEZ4" s="44"/>
      <c r="KFA4" s="43"/>
      <c r="KFB4" s="44"/>
      <c r="KFC4" s="44"/>
      <c r="KFD4" s="44"/>
      <c r="KFE4" s="44"/>
      <c r="KFF4" s="44"/>
      <c r="KFG4" s="44"/>
      <c r="KFH4" s="44"/>
      <c r="KFI4" s="44"/>
      <c r="KFJ4" s="44"/>
      <c r="KFK4" s="44"/>
      <c r="KFL4" s="44"/>
      <c r="KFM4" s="44"/>
      <c r="KFN4" s="44"/>
      <c r="KFO4" s="44"/>
      <c r="KFP4" s="43"/>
      <c r="KFQ4" s="44"/>
      <c r="KFR4" s="44"/>
      <c r="KFS4" s="44"/>
      <c r="KFT4" s="44"/>
      <c r="KFU4" s="44"/>
      <c r="KFV4" s="44"/>
      <c r="KFW4" s="44"/>
      <c r="KFX4" s="44"/>
      <c r="KFY4" s="44"/>
      <c r="KFZ4" s="44"/>
      <c r="KGA4" s="44"/>
      <c r="KGB4" s="44"/>
      <c r="KGC4" s="44"/>
      <c r="KGD4" s="44"/>
      <c r="KGE4" s="43"/>
      <c r="KGF4" s="44"/>
      <c r="KGG4" s="44"/>
      <c r="KGH4" s="44"/>
      <c r="KGI4" s="44"/>
      <c r="KGJ4" s="44"/>
      <c r="KGK4" s="44"/>
      <c r="KGL4" s="44"/>
      <c r="KGM4" s="44"/>
      <c r="KGN4" s="44"/>
      <c r="KGO4" s="44"/>
      <c r="KGP4" s="44"/>
      <c r="KGQ4" s="44"/>
      <c r="KGR4" s="44"/>
      <c r="KGS4" s="44"/>
      <c r="KGT4" s="43"/>
      <c r="KGU4" s="44"/>
      <c r="KGV4" s="44"/>
      <c r="KGW4" s="44"/>
      <c r="KGX4" s="44"/>
      <c r="KGY4" s="44"/>
      <c r="KGZ4" s="44"/>
      <c r="KHA4" s="44"/>
      <c r="KHB4" s="44"/>
      <c r="KHC4" s="44"/>
      <c r="KHD4" s="44"/>
      <c r="KHE4" s="44"/>
      <c r="KHF4" s="44"/>
      <c r="KHG4" s="44"/>
      <c r="KHH4" s="44"/>
      <c r="KHI4" s="43"/>
      <c r="KHJ4" s="44"/>
      <c r="KHK4" s="44"/>
      <c r="KHL4" s="44"/>
      <c r="KHM4" s="44"/>
      <c r="KHN4" s="44"/>
      <c r="KHO4" s="44"/>
      <c r="KHP4" s="44"/>
      <c r="KHQ4" s="44"/>
      <c r="KHR4" s="44"/>
      <c r="KHS4" s="44"/>
      <c r="KHT4" s="44"/>
      <c r="KHU4" s="44"/>
      <c r="KHV4" s="44"/>
      <c r="KHW4" s="44"/>
      <c r="KHX4" s="43"/>
      <c r="KHY4" s="44"/>
      <c r="KHZ4" s="44"/>
      <c r="KIA4" s="44"/>
      <c r="KIB4" s="44"/>
      <c r="KIC4" s="44"/>
      <c r="KID4" s="44"/>
      <c r="KIE4" s="44"/>
      <c r="KIF4" s="44"/>
      <c r="KIG4" s="44"/>
      <c r="KIH4" s="44"/>
      <c r="KII4" s="44"/>
      <c r="KIJ4" s="44"/>
      <c r="KIK4" s="44"/>
      <c r="KIL4" s="44"/>
      <c r="KIM4" s="43"/>
      <c r="KIN4" s="44"/>
      <c r="KIO4" s="44"/>
      <c r="KIP4" s="44"/>
      <c r="KIQ4" s="44"/>
      <c r="KIR4" s="44"/>
      <c r="KIS4" s="44"/>
      <c r="KIT4" s="44"/>
      <c r="KIU4" s="44"/>
      <c r="KIV4" s="44"/>
      <c r="KIW4" s="44"/>
      <c r="KIX4" s="44"/>
      <c r="KIY4" s="44"/>
      <c r="KIZ4" s="44"/>
      <c r="KJA4" s="44"/>
      <c r="KJB4" s="43"/>
      <c r="KJC4" s="44"/>
      <c r="KJD4" s="44"/>
      <c r="KJE4" s="44"/>
      <c r="KJF4" s="44"/>
      <c r="KJG4" s="44"/>
      <c r="KJH4" s="44"/>
      <c r="KJI4" s="44"/>
      <c r="KJJ4" s="44"/>
      <c r="KJK4" s="44"/>
      <c r="KJL4" s="44"/>
      <c r="KJM4" s="44"/>
      <c r="KJN4" s="44"/>
      <c r="KJO4" s="44"/>
      <c r="KJP4" s="44"/>
      <c r="KJQ4" s="43"/>
      <c r="KJR4" s="44"/>
      <c r="KJS4" s="44"/>
      <c r="KJT4" s="44"/>
      <c r="KJU4" s="44"/>
      <c r="KJV4" s="44"/>
      <c r="KJW4" s="44"/>
      <c r="KJX4" s="44"/>
      <c r="KJY4" s="44"/>
      <c r="KJZ4" s="44"/>
      <c r="KKA4" s="44"/>
      <c r="KKB4" s="44"/>
      <c r="KKC4" s="44"/>
      <c r="KKD4" s="44"/>
      <c r="KKE4" s="44"/>
      <c r="KKF4" s="43"/>
      <c r="KKG4" s="44"/>
      <c r="KKH4" s="44"/>
      <c r="KKI4" s="44"/>
      <c r="KKJ4" s="44"/>
      <c r="KKK4" s="44"/>
      <c r="KKL4" s="44"/>
      <c r="KKM4" s="44"/>
      <c r="KKN4" s="44"/>
      <c r="KKO4" s="44"/>
      <c r="KKP4" s="44"/>
      <c r="KKQ4" s="44"/>
      <c r="KKR4" s="44"/>
      <c r="KKS4" s="44"/>
      <c r="KKT4" s="44"/>
      <c r="KKU4" s="43"/>
      <c r="KKV4" s="44"/>
      <c r="KKW4" s="44"/>
      <c r="KKX4" s="44"/>
      <c r="KKY4" s="44"/>
      <c r="KKZ4" s="44"/>
      <c r="KLA4" s="44"/>
      <c r="KLB4" s="44"/>
      <c r="KLC4" s="44"/>
      <c r="KLD4" s="44"/>
      <c r="KLE4" s="44"/>
      <c r="KLF4" s="44"/>
      <c r="KLG4" s="44"/>
      <c r="KLH4" s="44"/>
      <c r="KLI4" s="44"/>
      <c r="KLJ4" s="43"/>
      <c r="KLK4" s="44"/>
      <c r="KLL4" s="44"/>
      <c r="KLM4" s="44"/>
      <c r="KLN4" s="44"/>
      <c r="KLO4" s="44"/>
      <c r="KLP4" s="44"/>
      <c r="KLQ4" s="44"/>
      <c r="KLR4" s="44"/>
      <c r="KLS4" s="44"/>
      <c r="KLT4" s="44"/>
      <c r="KLU4" s="44"/>
      <c r="KLV4" s="44"/>
      <c r="KLW4" s="44"/>
      <c r="KLX4" s="44"/>
      <c r="KLY4" s="43"/>
      <c r="KLZ4" s="44"/>
      <c r="KMA4" s="44"/>
      <c r="KMB4" s="44"/>
      <c r="KMC4" s="44"/>
      <c r="KMD4" s="44"/>
      <c r="KME4" s="44"/>
      <c r="KMF4" s="44"/>
      <c r="KMG4" s="44"/>
      <c r="KMH4" s="44"/>
      <c r="KMI4" s="44"/>
      <c r="KMJ4" s="44"/>
      <c r="KMK4" s="44"/>
      <c r="KML4" s="44"/>
      <c r="KMM4" s="44"/>
      <c r="KMN4" s="43"/>
      <c r="KMO4" s="44"/>
      <c r="KMP4" s="44"/>
      <c r="KMQ4" s="44"/>
      <c r="KMR4" s="44"/>
      <c r="KMS4" s="44"/>
      <c r="KMT4" s="44"/>
      <c r="KMU4" s="44"/>
      <c r="KMV4" s="44"/>
      <c r="KMW4" s="44"/>
      <c r="KMX4" s="44"/>
      <c r="KMY4" s="44"/>
      <c r="KMZ4" s="44"/>
      <c r="KNA4" s="44"/>
      <c r="KNB4" s="44"/>
      <c r="KNC4" s="43"/>
      <c r="KND4" s="44"/>
      <c r="KNE4" s="44"/>
      <c r="KNF4" s="44"/>
      <c r="KNG4" s="44"/>
      <c r="KNH4" s="44"/>
      <c r="KNI4" s="44"/>
      <c r="KNJ4" s="44"/>
      <c r="KNK4" s="44"/>
      <c r="KNL4" s="44"/>
      <c r="KNM4" s="44"/>
      <c r="KNN4" s="44"/>
      <c r="KNO4" s="44"/>
      <c r="KNP4" s="44"/>
      <c r="KNQ4" s="44"/>
      <c r="KNR4" s="43"/>
      <c r="KNS4" s="44"/>
      <c r="KNT4" s="44"/>
      <c r="KNU4" s="44"/>
      <c r="KNV4" s="44"/>
      <c r="KNW4" s="44"/>
      <c r="KNX4" s="44"/>
      <c r="KNY4" s="44"/>
      <c r="KNZ4" s="44"/>
      <c r="KOA4" s="44"/>
      <c r="KOB4" s="44"/>
      <c r="KOC4" s="44"/>
      <c r="KOD4" s="44"/>
      <c r="KOE4" s="44"/>
      <c r="KOF4" s="44"/>
      <c r="KOG4" s="43"/>
      <c r="KOH4" s="44"/>
      <c r="KOI4" s="44"/>
      <c r="KOJ4" s="44"/>
      <c r="KOK4" s="44"/>
      <c r="KOL4" s="44"/>
      <c r="KOM4" s="44"/>
      <c r="KON4" s="44"/>
      <c r="KOO4" s="44"/>
      <c r="KOP4" s="44"/>
      <c r="KOQ4" s="44"/>
      <c r="KOR4" s="44"/>
      <c r="KOS4" s="44"/>
      <c r="KOT4" s="44"/>
      <c r="KOU4" s="44"/>
      <c r="KOV4" s="43"/>
      <c r="KOW4" s="44"/>
      <c r="KOX4" s="44"/>
      <c r="KOY4" s="44"/>
      <c r="KOZ4" s="44"/>
      <c r="KPA4" s="44"/>
      <c r="KPB4" s="44"/>
      <c r="KPC4" s="44"/>
      <c r="KPD4" s="44"/>
      <c r="KPE4" s="44"/>
      <c r="KPF4" s="44"/>
      <c r="KPG4" s="44"/>
      <c r="KPH4" s="44"/>
      <c r="KPI4" s="44"/>
      <c r="KPJ4" s="44"/>
      <c r="KPK4" s="43"/>
      <c r="KPL4" s="44"/>
      <c r="KPM4" s="44"/>
      <c r="KPN4" s="44"/>
      <c r="KPO4" s="44"/>
      <c r="KPP4" s="44"/>
      <c r="KPQ4" s="44"/>
      <c r="KPR4" s="44"/>
      <c r="KPS4" s="44"/>
      <c r="KPT4" s="44"/>
      <c r="KPU4" s="44"/>
      <c r="KPV4" s="44"/>
      <c r="KPW4" s="44"/>
      <c r="KPX4" s="44"/>
      <c r="KPY4" s="44"/>
      <c r="KPZ4" s="43"/>
      <c r="KQA4" s="44"/>
      <c r="KQB4" s="44"/>
      <c r="KQC4" s="44"/>
      <c r="KQD4" s="44"/>
      <c r="KQE4" s="44"/>
      <c r="KQF4" s="44"/>
      <c r="KQG4" s="44"/>
      <c r="KQH4" s="44"/>
      <c r="KQI4" s="44"/>
      <c r="KQJ4" s="44"/>
      <c r="KQK4" s="44"/>
      <c r="KQL4" s="44"/>
      <c r="KQM4" s="44"/>
      <c r="KQN4" s="44"/>
      <c r="KQO4" s="43"/>
      <c r="KQP4" s="44"/>
      <c r="KQQ4" s="44"/>
      <c r="KQR4" s="44"/>
      <c r="KQS4" s="44"/>
      <c r="KQT4" s="44"/>
      <c r="KQU4" s="44"/>
      <c r="KQV4" s="44"/>
      <c r="KQW4" s="44"/>
      <c r="KQX4" s="44"/>
      <c r="KQY4" s="44"/>
      <c r="KQZ4" s="44"/>
      <c r="KRA4" s="44"/>
      <c r="KRB4" s="44"/>
      <c r="KRC4" s="44"/>
      <c r="KRD4" s="43"/>
      <c r="KRE4" s="44"/>
      <c r="KRF4" s="44"/>
      <c r="KRG4" s="44"/>
      <c r="KRH4" s="44"/>
      <c r="KRI4" s="44"/>
      <c r="KRJ4" s="44"/>
      <c r="KRK4" s="44"/>
      <c r="KRL4" s="44"/>
      <c r="KRM4" s="44"/>
      <c r="KRN4" s="44"/>
      <c r="KRO4" s="44"/>
      <c r="KRP4" s="44"/>
      <c r="KRQ4" s="44"/>
      <c r="KRR4" s="44"/>
      <c r="KRS4" s="43"/>
      <c r="KRT4" s="44"/>
      <c r="KRU4" s="44"/>
      <c r="KRV4" s="44"/>
      <c r="KRW4" s="44"/>
      <c r="KRX4" s="44"/>
      <c r="KRY4" s="44"/>
      <c r="KRZ4" s="44"/>
      <c r="KSA4" s="44"/>
      <c r="KSB4" s="44"/>
      <c r="KSC4" s="44"/>
      <c r="KSD4" s="44"/>
      <c r="KSE4" s="44"/>
      <c r="KSF4" s="44"/>
      <c r="KSG4" s="44"/>
      <c r="KSH4" s="43"/>
      <c r="KSI4" s="44"/>
      <c r="KSJ4" s="44"/>
      <c r="KSK4" s="44"/>
      <c r="KSL4" s="44"/>
      <c r="KSM4" s="44"/>
      <c r="KSN4" s="44"/>
      <c r="KSO4" s="44"/>
      <c r="KSP4" s="44"/>
      <c r="KSQ4" s="44"/>
      <c r="KSR4" s="44"/>
      <c r="KSS4" s="44"/>
      <c r="KST4" s="44"/>
      <c r="KSU4" s="44"/>
      <c r="KSV4" s="44"/>
      <c r="KSW4" s="43"/>
      <c r="KSX4" s="44"/>
      <c r="KSY4" s="44"/>
      <c r="KSZ4" s="44"/>
      <c r="KTA4" s="44"/>
      <c r="KTB4" s="44"/>
      <c r="KTC4" s="44"/>
      <c r="KTD4" s="44"/>
      <c r="KTE4" s="44"/>
      <c r="KTF4" s="44"/>
      <c r="KTG4" s="44"/>
      <c r="KTH4" s="44"/>
      <c r="KTI4" s="44"/>
      <c r="KTJ4" s="44"/>
      <c r="KTK4" s="44"/>
      <c r="KTL4" s="43"/>
      <c r="KTM4" s="44"/>
      <c r="KTN4" s="44"/>
      <c r="KTO4" s="44"/>
      <c r="KTP4" s="44"/>
      <c r="KTQ4" s="44"/>
      <c r="KTR4" s="44"/>
      <c r="KTS4" s="44"/>
      <c r="KTT4" s="44"/>
      <c r="KTU4" s="44"/>
      <c r="KTV4" s="44"/>
      <c r="KTW4" s="44"/>
      <c r="KTX4" s="44"/>
      <c r="KTY4" s="44"/>
      <c r="KTZ4" s="44"/>
      <c r="KUA4" s="43"/>
      <c r="KUB4" s="44"/>
      <c r="KUC4" s="44"/>
      <c r="KUD4" s="44"/>
      <c r="KUE4" s="44"/>
      <c r="KUF4" s="44"/>
      <c r="KUG4" s="44"/>
      <c r="KUH4" s="44"/>
      <c r="KUI4" s="44"/>
      <c r="KUJ4" s="44"/>
      <c r="KUK4" s="44"/>
      <c r="KUL4" s="44"/>
      <c r="KUM4" s="44"/>
      <c r="KUN4" s="44"/>
      <c r="KUO4" s="44"/>
      <c r="KUP4" s="43"/>
      <c r="KUQ4" s="44"/>
      <c r="KUR4" s="44"/>
      <c r="KUS4" s="44"/>
      <c r="KUT4" s="44"/>
      <c r="KUU4" s="44"/>
      <c r="KUV4" s="44"/>
      <c r="KUW4" s="44"/>
      <c r="KUX4" s="44"/>
      <c r="KUY4" s="44"/>
      <c r="KUZ4" s="44"/>
      <c r="KVA4" s="44"/>
      <c r="KVB4" s="44"/>
      <c r="KVC4" s="44"/>
      <c r="KVD4" s="44"/>
      <c r="KVE4" s="43"/>
      <c r="KVF4" s="44"/>
      <c r="KVG4" s="44"/>
      <c r="KVH4" s="44"/>
      <c r="KVI4" s="44"/>
      <c r="KVJ4" s="44"/>
      <c r="KVK4" s="44"/>
      <c r="KVL4" s="44"/>
      <c r="KVM4" s="44"/>
      <c r="KVN4" s="44"/>
      <c r="KVO4" s="44"/>
      <c r="KVP4" s="44"/>
      <c r="KVQ4" s="44"/>
      <c r="KVR4" s="44"/>
      <c r="KVS4" s="44"/>
      <c r="KVT4" s="43"/>
      <c r="KVU4" s="44"/>
      <c r="KVV4" s="44"/>
      <c r="KVW4" s="44"/>
      <c r="KVX4" s="44"/>
      <c r="KVY4" s="44"/>
      <c r="KVZ4" s="44"/>
      <c r="KWA4" s="44"/>
      <c r="KWB4" s="44"/>
      <c r="KWC4" s="44"/>
      <c r="KWD4" s="44"/>
      <c r="KWE4" s="44"/>
      <c r="KWF4" s="44"/>
      <c r="KWG4" s="44"/>
      <c r="KWH4" s="44"/>
      <c r="KWI4" s="43"/>
      <c r="KWJ4" s="44"/>
      <c r="KWK4" s="44"/>
      <c r="KWL4" s="44"/>
      <c r="KWM4" s="44"/>
      <c r="KWN4" s="44"/>
      <c r="KWO4" s="44"/>
      <c r="KWP4" s="44"/>
      <c r="KWQ4" s="44"/>
      <c r="KWR4" s="44"/>
      <c r="KWS4" s="44"/>
      <c r="KWT4" s="44"/>
      <c r="KWU4" s="44"/>
      <c r="KWV4" s="44"/>
      <c r="KWW4" s="44"/>
      <c r="KWX4" s="43"/>
      <c r="KWY4" s="44"/>
      <c r="KWZ4" s="44"/>
      <c r="KXA4" s="44"/>
      <c r="KXB4" s="44"/>
      <c r="KXC4" s="44"/>
      <c r="KXD4" s="44"/>
      <c r="KXE4" s="44"/>
      <c r="KXF4" s="44"/>
      <c r="KXG4" s="44"/>
      <c r="KXH4" s="44"/>
      <c r="KXI4" s="44"/>
      <c r="KXJ4" s="44"/>
      <c r="KXK4" s="44"/>
      <c r="KXL4" s="44"/>
      <c r="KXM4" s="43"/>
      <c r="KXN4" s="44"/>
      <c r="KXO4" s="44"/>
      <c r="KXP4" s="44"/>
      <c r="KXQ4" s="44"/>
      <c r="KXR4" s="44"/>
      <c r="KXS4" s="44"/>
      <c r="KXT4" s="44"/>
      <c r="KXU4" s="44"/>
      <c r="KXV4" s="44"/>
      <c r="KXW4" s="44"/>
      <c r="KXX4" s="44"/>
      <c r="KXY4" s="44"/>
      <c r="KXZ4" s="44"/>
      <c r="KYA4" s="44"/>
      <c r="KYB4" s="43"/>
      <c r="KYC4" s="44"/>
      <c r="KYD4" s="44"/>
      <c r="KYE4" s="44"/>
      <c r="KYF4" s="44"/>
      <c r="KYG4" s="44"/>
      <c r="KYH4" s="44"/>
      <c r="KYI4" s="44"/>
      <c r="KYJ4" s="44"/>
      <c r="KYK4" s="44"/>
      <c r="KYL4" s="44"/>
      <c r="KYM4" s="44"/>
      <c r="KYN4" s="44"/>
      <c r="KYO4" s="44"/>
      <c r="KYP4" s="44"/>
      <c r="KYQ4" s="43"/>
      <c r="KYR4" s="44"/>
      <c r="KYS4" s="44"/>
      <c r="KYT4" s="44"/>
      <c r="KYU4" s="44"/>
      <c r="KYV4" s="44"/>
      <c r="KYW4" s="44"/>
      <c r="KYX4" s="44"/>
      <c r="KYY4" s="44"/>
      <c r="KYZ4" s="44"/>
      <c r="KZA4" s="44"/>
      <c r="KZB4" s="44"/>
      <c r="KZC4" s="44"/>
      <c r="KZD4" s="44"/>
      <c r="KZE4" s="44"/>
      <c r="KZF4" s="43"/>
      <c r="KZG4" s="44"/>
      <c r="KZH4" s="44"/>
      <c r="KZI4" s="44"/>
      <c r="KZJ4" s="44"/>
      <c r="KZK4" s="44"/>
      <c r="KZL4" s="44"/>
      <c r="KZM4" s="44"/>
      <c r="KZN4" s="44"/>
      <c r="KZO4" s="44"/>
      <c r="KZP4" s="44"/>
      <c r="KZQ4" s="44"/>
      <c r="KZR4" s="44"/>
      <c r="KZS4" s="44"/>
      <c r="KZT4" s="44"/>
      <c r="KZU4" s="43"/>
      <c r="KZV4" s="44"/>
      <c r="KZW4" s="44"/>
      <c r="KZX4" s="44"/>
      <c r="KZY4" s="44"/>
      <c r="KZZ4" s="44"/>
      <c r="LAA4" s="44"/>
      <c r="LAB4" s="44"/>
      <c r="LAC4" s="44"/>
      <c r="LAD4" s="44"/>
      <c r="LAE4" s="44"/>
      <c r="LAF4" s="44"/>
      <c r="LAG4" s="44"/>
      <c r="LAH4" s="44"/>
      <c r="LAI4" s="44"/>
      <c r="LAJ4" s="43"/>
      <c r="LAK4" s="44"/>
      <c r="LAL4" s="44"/>
      <c r="LAM4" s="44"/>
      <c r="LAN4" s="44"/>
      <c r="LAO4" s="44"/>
      <c r="LAP4" s="44"/>
      <c r="LAQ4" s="44"/>
      <c r="LAR4" s="44"/>
      <c r="LAS4" s="44"/>
      <c r="LAT4" s="44"/>
      <c r="LAU4" s="44"/>
      <c r="LAV4" s="44"/>
      <c r="LAW4" s="44"/>
      <c r="LAX4" s="44"/>
      <c r="LAY4" s="43"/>
      <c r="LAZ4" s="44"/>
      <c r="LBA4" s="44"/>
      <c r="LBB4" s="44"/>
      <c r="LBC4" s="44"/>
      <c r="LBD4" s="44"/>
      <c r="LBE4" s="44"/>
      <c r="LBF4" s="44"/>
      <c r="LBG4" s="44"/>
      <c r="LBH4" s="44"/>
      <c r="LBI4" s="44"/>
      <c r="LBJ4" s="44"/>
      <c r="LBK4" s="44"/>
      <c r="LBL4" s="44"/>
      <c r="LBM4" s="44"/>
      <c r="LBN4" s="43"/>
      <c r="LBO4" s="44"/>
      <c r="LBP4" s="44"/>
      <c r="LBQ4" s="44"/>
      <c r="LBR4" s="44"/>
      <c r="LBS4" s="44"/>
      <c r="LBT4" s="44"/>
      <c r="LBU4" s="44"/>
      <c r="LBV4" s="44"/>
      <c r="LBW4" s="44"/>
      <c r="LBX4" s="44"/>
      <c r="LBY4" s="44"/>
      <c r="LBZ4" s="44"/>
      <c r="LCA4" s="44"/>
      <c r="LCB4" s="44"/>
      <c r="LCC4" s="43"/>
      <c r="LCD4" s="44"/>
      <c r="LCE4" s="44"/>
      <c r="LCF4" s="44"/>
      <c r="LCG4" s="44"/>
      <c r="LCH4" s="44"/>
      <c r="LCI4" s="44"/>
      <c r="LCJ4" s="44"/>
      <c r="LCK4" s="44"/>
      <c r="LCL4" s="44"/>
      <c r="LCM4" s="44"/>
      <c r="LCN4" s="44"/>
      <c r="LCO4" s="44"/>
      <c r="LCP4" s="44"/>
      <c r="LCQ4" s="44"/>
      <c r="LCR4" s="43"/>
      <c r="LCS4" s="44"/>
      <c r="LCT4" s="44"/>
      <c r="LCU4" s="44"/>
      <c r="LCV4" s="44"/>
      <c r="LCW4" s="44"/>
      <c r="LCX4" s="44"/>
      <c r="LCY4" s="44"/>
      <c r="LCZ4" s="44"/>
      <c r="LDA4" s="44"/>
      <c r="LDB4" s="44"/>
      <c r="LDC4" s="44"/>
      <c r="LDD4" s="44"/>
      <c r="LDE4" s="44"/>
      <c r="LDF4" s="44"/>
      <c r="LDG4" s="43"/>
      <c r="LDH4" s="44"/>
      <c r="LDI4" s="44"/>
      <c r="LDJ4" s="44"/>
      <c r="LDK4" s="44"/>
      <c r="LDL4" s="44"/>
      <c r="LDM4" s="44"/>
      <c r="LDN4" s="44"/>
      <c r="LDO4" s="44"/>
      <c r="LDP4" s="44"/>
      <c r="LDQ4" s="44"/>
      <c r="LDR4" s="44"/>
      <c r="LDS4" s="44"/>
      <c r="LDT4" s="44"/>
      <c r="LDU4" s="44"/>
      <c r="LDV4" s="43"/>
      <c r="LDW4" s="44"/>
      <c r="LDX4" s="44"/>
      <c r="LDY4" s="44"/>
      <c r="LDZ4" s="44"/>
      <c r="LEA4" s="44"/>
      <c r="LEB4" s="44"/>
      <c r="LEC4" s="44"/>
      <c r="LED4" s="44"/>
      <c r="LEE4" s="44"/>
      <c r="LEF4" s="44"/>
      <c r="LEG4" s="44"/>
      <c r="LEH4" s="44"/>
      <c r="LEI4" s="44"/>
      <c r="LEJ4" s="44"/>
      <c r="LEK4" s="43"/>
      <c r="LEL4" s="44"/>
      <c r="LEM4" s="44"/>
      <c r="LEN4" s="44"/>
      <c r="LEO4" s="44"/>
      <c r="LEP4" s="44"/>
      <c r="LEQ4" s="44"/>
      <c r="LER4" s="44"/>
      <c r="LES4" s="44"/>
      <c r="LET4" s="44"/>
      <c r="LEU4" s="44"/>
      <c r="LEV4" s="44"/>
      <c r="LEW4" s="44"/>
      <c r="LEX4" s="44"/>
      <c r="LEY4" s="44"/>
      <c r="LEZ4" s="43"/>
      <c r="LFA4" s="44"/>
      <c r="LFB4" s="44"/>
      <c r="LFC4" s="44"/>
      <c r="LFD4" s="44"/>
      <c r="LFE4" s="44"/>
      <c r="LFF4" s="44"/>
      <c r="LFG4" s="44"/>
      <c r="LFH4" s="44"/>
      <c r="LFI4" s="44"/>
      <c r="LFJ4" s="44"/>
      <c r="LFK4" s="44"/>
      <c r="LFL4" s="44"/>
      <c r="LFM4" s="44"/>
      <c r="LFN4" s="44"/>
      <c r="LFO4" s="43"/>
      <c r="LFP4" s="44"/>
      <c r="LFQ4" s="44"/>
      <c r="LFR4" s="44"/>
      <c r="LFS4" s="44"/>
      <c r="LFT4" s="44"/>
      <c r="LFU4" s="44"/>
      <c r="LFV4" s="44"/>
      <c r="LFW4" s="44"/>
      <c r="LFX4" s="44"/>
      <c r="LFY4" s="44"/>
      <c r="LFZ4" s="44"/>
      <c r="LGA4" s="44"/>
      <c r="LGB4" s="44"/>
      <c r="LGC4" s="44"/>
      <c r="LGD4" s="43"/>
      <c r="LGE4" s="44"/>
      <c r="LGF4" s="44"/>
      <c r="LGG4" s="44"/>
      <c r="LGH4" s="44"/>
      <c r="LGI4" s="44"/>
      <c r="LGJ4" s="44"/>
      <c r="LGK4" s="44"/>
      <c r="LGL4" s="44"/>
      <c r="LGM4" s="44"/>
      <c r="LGN4" s="44"/>
      <c r="LGO4" s="44"/>
      <c r="LGP4" s="44"/>
      <c r="LGQ4" s="44"/>
      <c r="LGR4" s="44"/>
      <c r="LGS4" s="43"/>
      <c r="LGT4" s="44"/>
      <c r="LGU4" s="44"/>
      <c r="LGV4" s="44"/>
      <c r="LGW4" s="44"/>
      <c r="LGX4" s="44"/>
      <c r="LGY4" s="44"/>
      <c r="LGZ4" s="44"/>
      <c r="LHA4" s="44"/>
      <c r="LHB4" s="44"/>
      <c r="LHC4" s="44"/>
      <c r="LHD4" s="44"/>
      <c r="LHE4" s="44"/>
      <c r="LHF4" s="44"/>
      <c r="LHG4" s="44"/>
      <c r="LHH4" s="43"/>
      <c r="LHI4" s="44"/>
      <c r="LHJ4" s="44"/>
      <c r="LHK4" s="44"/>
      <c r="LHL4" s="44"/>
      <c r="LHM4" s="44"/>
      <c r="LHN4" s="44"/>
      <c r="LHO4" s="44"/>
      <c r="LHP4" s="44"/>
      <c r="LHQ4" s="44"/>
      <c r="LHR4" s="44"/>
      <c r="LHS4" s="44"/>
      <c r="LHT4" s="44"/>
      <c r="LHU4" s="44"/>
      <c r="LHV4" s="44"/>
      <c r="LHW4" s="43"/>
      <c r="LHX4" s="44"/>
      <c r="LHY4" s="44"/>
      <c r="LHZ4" s="44"/>
      <c r="LIA4" s="44"/>
      <c r="LIB4" s="44"/>
      <c r="LIC4" s="44"/>
      <c r="LID4" s="44"/>
      <c r="LIE4" s="44"/>
      <c r="LIF4" s="44"/>
      <c r="LIG4" s="44"/>
      <c r="LIH4" s="44"/>
      <c r="LII4" s="44"/>
      <c r="LIJ4" s="44"/>
      <c r="LIK4" s="44"/>
      <c r="LIL4" s="43"/>
      <c r="LIM4" s="44"/>
      <c r="LIN4" s="44"/>
      <c r="LIO4" s="44"/>
      <c r="LIP4" s="44"/>
      <c r="LIQ4" s="44"/>
      <c r="LIR4" s="44"/>
      <c r="LIS4" s="44"/>
      <c r="LIT4" s="44"/>
      <c r="LIU4" s="44"/>
      <c r="LIV4" s="44"/>
      <c r="LIW4" s="44"/>
      <c r="LIX4" s="44"/>
      <c r="LIY4" s="44"/>
      <c r="LIZ4" s="44"/>
      <c r="LJA4" s="43"/>
      <c r="LJB4" s="44"/>
      <c r="LJC4" s="44"/>
      <c r="LJD4" s="44"/>
      <c r="LJE4" s="44"/>
      <c r="LJF4" s="44"/>
      <c r="LJG4" s="44"/>
      <c r="LJH4" s="44"/>
      <c r="LJI4" s="44"/>
      <c r="LJJ4" s="44"/>
      <c r="LJK4" s="44"/>
      <c r="LJL4" s="44"/>
      <c r="LJM4" s="44"/>
      <c r="LJN4" s="44"/>
      <c r="LJO4" s="44"/>
      <c r="LJP4" s="43"/>
      <c r="LJQ4" s="44"/>
      <c r="LJR4" s="44"/>
      <c r="LJS4" s="44"/>
      <c r="LJT4" s="44"/>
      <c r="LJU4" s="44"/>
      <c r="LJV4" s="44"/>
      <c r="LJW4" s="44"/>
      <c r="LJX4" s="44"/>
      <c r="LJY4" s="44"/>
      <c r="LJZ4" s="44"/>
      <c r="LKA4" s="44"/>
      <c r="LKB4" s="44"/>
      <c r="LKC4" s="44"/>
      <c r="LKD4" s="44"/>
      <c r="LKE4" s="43"/>
      <c r="LKF4" s="44"/>
      <c r="LKG4" s="44"/>
      <c r="LKH4" s="44"/>
      <c r="LKI4" s="44"/>
      <c r="LKJ4" s="44"/>
      <c r="LKK4" s="44"/>
      <c r="LKL4" s="44"/>
      <c r="LKM4" s="44"/>
      <c r="LKN4" s="44"/>
      <c r="LKO4" s="44"/>
      <c r="LKP4" s="44"/>
      <c r="LKQ4" s="44"/>
      <c r="LKR4" s="44"/>
      <c r="LKS4" s="44"/>
      <c r="LKT4" s="43"/>
      <c r="LKU4" s="44"/>
      <c r="LKV4" s="44"/>
      <c r="LKW4" s="44"/>
      <c r="LKX4" s="44"/>
      <c r="LKY4" s="44"/>
      <c r="LKZ4" s="44"/>
      <c r="LLA4" s="44"/>
      <c r="LLB4" s="44"/>
      <c r="LLC4" s="44"/>
      <c r="LLD4" s="44"/>
      <c r="LLE4" s="44"/>
      <c r="LLF4" s="44"/>
      <c r="LLG4" s="44"/>
      <c r="LLH4" s="44"/>
      <c r="LLI4" s="43"/>
      <c r="LLJ4" s="44"/>
      <c r="LLK4" s="44"/>
      <c r="LLL4" s="44"/>
      <c r="LLM4" s="44"/>
      <c r="LLN4" s="44"/>
      <c r="LLO4" s="44"/>
      <c r="LLP4" s="44"/>
      <c r="LLQ4" s="44"/>
      <c r="LLR4" s="44"/>
      <c r="LLS4" s="44"/>
      <c r="LLT4" s="44"/>
      <c r="LLU4" s="44"/>
      <c r="LLV4" s="44"/>
      <c r="LLW4" s="44"/>
      <c r="LLX4" s="43"/>
      <c r="LLY4" s="44"/>
      <c r="LLZ4" s="44"/>
      <c r="LMA4" s="44"/>
      <c r="LMB4" s="44"/>
      <c r="LMC4" s="44"/>
      <c r="LMD4" s="44"/>
      <c r="LME4" s="44"/>
      <c r="LMF4" s="44"/>
      <c r="LMG4" s="44"/>
      <c r="LMH4" s="44"/>
      <c r="LMI4" s="44"/>
      <c r="LMJ4" s="44"/>
      <c r="LMK4" s="44"/>
      <c r="LML4" s="44"/>
      <c r="LMM4" s="43"/>
      <c r="LMN4" s="44"/>
      <c r="LMO4" s="44"/>
      <c r="LMP4" s="44"/>
      <c r="LMQ4" s="44"/>
      <c r="LMR4" s="44"/>
      <c r="LMS4" s="44"/>
      <c r="LMT4" s="44"/>
      <c r="LMU4" s="44"/>
      <c r="LMV4" s="44"/>
      <c r="LMW4" s="44"/>
      <c r="LMX4" s="44"/>
      <c r="LMY4" s="44"/>
      <c r="LMZ4" s="44"/>
      <c r="LNA4" s="44"/>
      <c r="LNB4" s="43"/>
      <c r="LNC4" s="44"/>
      <c r="LND4" s="44"/>
      <c r="LNE4" s="44"/>
      <c r="LNF4" s="44"/>
      <c r="LNG4" s="44"/>
      <c r="LNH4" s="44"/>
      <c r="LNI4" s="44"/>
      <c r="LNJ4" s="44"/>
      <c r="LNK4" s="44"/>
      <c r="LNL4" s="44"/>
      <c r="LNM4" s="44"/>
      <c r="LNN4" s="44"/>
      <c r="LNO4" s="44"/>
      <c r="LNP4" s="44"/>
      <c r="LNQ4" s="43"/>
      <c r="LNR4" s="44"/>
      <c r="LNS4" s="44"/>
      <c r="LNT4" s="44"/>
      <c r="LNU4" s="44"/>
      <c r="LNV4" s="44"/>
      <c r="LNW4" s="44"/>
      <c r="LNX4" s="44"/>
      <c r="LNY4" s="44"/>
      <c r="LNZ4" s="44"/>
      <c r="LOA4" s="44"/>
      <c r="LOB4" s="44"/>
      <c r="LOC4" s="44"/>
      <c r="LOD4" s="44"/>
      <c r="LOE4" s="44"/>
      <c r="LOF4" s="43"/>
      <c r="LOG4" s="44"/>
      <c r="LOH4" s="44"/>
      <c r="LOI4" s="44"/>
      <c r="LOJ4" s="44"/>
      <c r="LOK4" s="44"/>
      <c r="LOL4" s="44"/>
      <c r="LOM4" s="44"/>
      <c r="LON4" s="44"/>
      <c r="LOO4" s="44"/>
      <c r="LOP4" s="44"/>
      <c r="LOQ4" s="44"/>
      <c r="LOR4" s="44"/>
      <c r="LOS4" s="44"/>
      <c r="LOT4" s="44"/>
      <c r="LOU4" s="43"/>
      <c r="LOV4" s="44"/>
      <c r="LOW4" s="44"/>
      <c r="LOX4" s="44"/>
      <c r="LOY4" s="44"/>
      <c r="LOZ4" s="44"/>
      <c r="LPA4" s="44"/>
      <c r="LPB4" s="44"/>
      <c r="LPC4" s="44"/>
      <c r="LPD4" s="44"/>
      <c r="LPE4" s="44"/>
      <c r="LPF4" s="44"/>
      <c r="LPG4" s="44"/>
      <c r="LPH4" s="44"/>
      <c r="LPI4" s="44"/>
      <c r="LPJ4" s="43"/>
      <c r="LPK4" s="44"/>
      <c r="LPL4" s="44"/>
      <c r="LPM4" s="44"/>
      <c r="LPN4" s="44"/>
      <c r="LPO4" s="44"/>
      <c r="LPP4" s="44"/>
      <c r="LPQ4" s="44"/>
      <c r="LPR4" s="44"/>
      <c r="LPS4" s="44"/>
      <c r="LPT4" s="44"/>
      <c r="LPU4" s="44"/>
      <c r="LPV4" s="44"/>
      <c r="LPW4" s="44"/>
      <c r="LPX4" s="44"/>
      <c r="LPY4" s="43"/>
      <c r="LPZ4" s="44"/>
      <c r="LQA4" s="44"/>
      <c r="LQB4" s="44"/>
      <c r="LQC4" s="44"/>
      <c r="LQD4" s="44"/>
      <c r="LQE4" s="44"/>
      <c r="LQF4" s="44"/>
      <c r="LQG4" s="44"/>
      <c r="LQH4" s="44"/>
      <c r="LQI4" s="44"/>
      <c r="LQJ4" s="44"/>
      <c r="LQK4" s="44"/>
      <c r="LQL4" s="44"/>
      <c r="LQM4" s="44"/>
      <c r="LQN4" s="43"/>
      <c r="LQO4" s="44"/>
      <c r="LQP4" s="44"/>
      <c r="LQQ4" s="44"/>
      <c r="LQR4" s="44"/>
      <c r="LQS4" s="44"/>
      <c r="LQT4" s="44"/>
      <c r="LQU4" s="44"/>
      <c r="LQV4" s="44"/>
      <c r="LQW4" s="44"/>
      <c r="LQX4" s="44"/>
      <c r="LQY4" s="44"/>
      <c r="LQZ4" s="44"/>
      <c r="LRA4" s="44"/>
      <c r="LRB4" s="44"/>
      <c r="LRC4" s="43"/>
      <c r="LRD4" s="44"/>
      <c r="LRE4" s="44"/>
      <c r="LRF4" s="44"/>
      <c r="LRG4" s="44"/>
      <c r="LRH4" s="44"/>
      <c r="LRI4" s="44"/>
      <c r="LRJ4" s="44"/>
      <c r="LRK4" s="44"/>
      <c r="LRL4" s="44"/>
      <c r="LRM4" s="44"/>
      <c r="LRN4" s="44"/>
      <c r="LRO4" s="44"/>
      <c r="LRP4" s="44"/>
      <c r="LRQ4" s="44"/>
      <c r="LRR4" s="43"/>
      <c r="LRS4" s="44"/>
      <c r="LRT4" s="44"/>
      <c r="LRU4" s="44"/>
      <c r="LRV4" s="44"/>
      <c r="LRW4" s="44"/>
      <c r="LRX4" s="44"/>
      <c r="LRY4" s="44"/>
      <c r="LRZ4" s="44"/>
      <c r="LSA4" s="44"/>
      <c r="LSB4" s="44"/>
      <c r="LSC4" s="44"/>
      <c r="LSD4" s="44"/>
      <c r="LSE4" s="44"/>
      <c r="LSF4" s="44"/>
      <c r="LSG4" s="43"/>
      <c r="LSH4" s="44"/>
      <c r="LSI4" s="44"/>
      <c r="LSJ4" s="44"/>
      <c r="LSK4" s="44"/>
      <c r="LSL4" s="44"/>
      <c r="LSM4" s="44"/>
      <c r="LSN4" s="44"/>
      <c r="LSO4" s="44"/>
      <c r="LSP4" s="44"/>
      <c r="LSQ4" s="44"/>
      <c r="LSR4" s="44"/>
      <c r="LSS4" s="44"/>
      <c r="LST4" s="44"/>
      <c r="LSU4" s="44"/>
      <c r="LSV4" s="43"/>
      <c r="LSW4" s="44"/>
      <c r="LSX4" s="44"/>
      <c r="LSY4" s="44"/>
      <c r="LSZ4" s="44"/>
      <c r="LTA4" s="44"/>
      <c r="LTB4" s="44"/>
      <c r="LTC4" s="44"/>
      <c r="LTD4" s="44"/>
      <c r="LTE4" s="44"/>
      <c r="LTF4" s="44"/>
      <c r="LTG4" s="44"/>
      <c r="LTH4" s="44"/>
      <c r="LTI4" s="44"/>
      <c r="LTJ4" s="44"/>
      <c r="LTK4" s="43"/>
      <c r="LTL4" s="44"/>
      <c r="LTM4" s="44"/>
      <c r="LTN4" s="44"/>
      <c r="LTO4" s="44"/>
      <c r="LTP4" s="44"/>
      <c r="LTQ4" s="44"/>
      <c r="LTR4" s="44"/>
      <c r="LTS4" s="44"/>
      <c r="LTT4" s="44"/>
      <c r="LTU4" s="44"/>
      <c r="LTV4" s="44"/>
      <c r="LTW4" s="44"/>
      <c r="LTX4" s="44"/>
      <c r="LTY4" s="44"/>
      <c r="LTZ4" s="43"/>
      <c r="LUA4" s="44"/>
      <c r="LUB4" s="44"/>
      <c r="LUC4" s="44"/>
      <c r="LUD4" s="44"/>
      <c r="LUE4" s="44"/>
      <c r="LUF4" s="44"/>
      <c r="LUG4" s="44"/>
      <c r="LUH4" s="44"/>
      <c r="LUI4" s="44"/>
      <c r="LUJ4" s="44"/>
      <c r="LUK4" s="44"/>
      <c r="LUL4" s="44"/>
      <c r="LUM4" s="44"/>
      <c r="LUN4" s="44"/>
      <c r="LUO4" s="43"/>
      <c r="LUP4" s="44"/>
      <c r="LUQ4" s="44"/>
      <c r="LUR4" s="44"/>
      <c r="LUS4" s="44"/>
      <c r="LUT4" s="44"/>
      <c r="LUU4" s="44"/>
      <c r="LUV4" s="44"/>
      <c r="LUW4" s="44"/>
      <c r="LUX4" s="44"/>
      <c r="LUY4" s="44"/>
      <c r="LUZ4" s="44"/>
      <c r="LVA4" s="44"/>
      <c r="LVB4" s="44"/>
      <c r="LVC4" s="44"/>
      <c r="LVD4" s="43"/>
      <c r="LVE4" s="44"/>
      <c r="LVF4" s="44"/>
      <c r="LVG4" s="44"/>
      <c r="LVH4" s="44"/>
      <c r="LVI4" s="44"/>
      <c r="LVJ4" s="44"/>
      <c r="LVK4" s="44"/>
      <c r="LVL4" s="44"/>
      <c r="LVM4" s="44"/>
      <c r="LVN4" s="44"/>
      <c r="LVO4" s="44"/>
      <c r="LVP4" s="44"/>
      <c r="LVQ4" s="44"/>
      <c r="LVR4" s="44"/>
      <c r="LVS4" s="43"/>
      <c r="LVT4" s="44"/>
      <c r="LVU4" s="44"/>
      <c r="LVV4" s="44"/>
      <c r="LVW4" s="44"/>
      <c r="LVX4" s="44"/>
      <c r="LVY4" s="44"/>
      <c r="LVZ4" s="44"/>
      <c r="LWA4" s="44"/>
      <c r="LWB4" s="44"/>
      <c r="LWC4" s="44"/>
      <c r="LWD4" s="44"/>
      <c r="LWE4" s="44"/>
      <c r="LWF4" s="44"/>
      <c r="LWG4" s="44"/>
      <c r="LWH4" s="43"/>
      <c r="LWI4" s="44"/>
      <c r="LWJ4" s="44"/>
      <c r="LWK4" s="44"/>
      <c r="LWL4" s="44"/>
      <c r="LWM4" s="44"/>
      <c r="LWN4" s="44"/>
      <c r="LWO4" s="44"/>
      <c r="LWP4" s="44"/>
      <c r="LWQ4" s="44"/>
      <c r="LWR4" s="44"/>
      <c r="LWS4" s="44"/>
      <c r="LWT4" s="44"/>
      <c r="LWU4" s="44"/>
      <c r="LWV4" s="44"/>
      <c r="LWW4" s="43"/>
      <c r="LWX4" s="44"/>
      <c r="LWY4" s="44"/>
      <c r="LWZ4" s="44"/>
      <c r="LXA4" s="44"/>
      <c r="LXB4" s="44"/>
      <c r="LXC4" s="44"/>
      <c r="LXD4" s="44"/>
      <c r="LXE4" s="44"/>
      <c r="LXF4" s="44"/>
      <c r="LXG4" s="44"/>
      <c r="LXH4" s="44"/>
      <c r="LXI4" s="44"/>
      <c r="LXJ4" s="44"/>
      <c r="LXK4" s="44"/>
      <c r="LXL4" s="43"/>
      <c r="LXM4" s="44"/>
      <c r="LXN4" s="44"/>
      <c r="LXO4" s="44"/>
      <c r="LXP4" s="44"/>
      <c r="LXQ4" s="44"/>
      <c r="LXR4" s="44"/>
      <c r="LXS4" s="44"/>
      <c r="LXT4" s="44"/>
      <c r="LXU4" s="44"/>
      <c r="LXV4" s="44"/>
      <c r="LXW4" s="44"/>
      <c r="LXX4" s="44"/>
      <c r="LXY4" s="44"/>
      <c r="LXZ4" s="44"/>
      <c r="LYA4" s="43"/>
      <c r="LYB4" s="44"/>
      <c r="LYC4" s="44"/>
      <c r="LYD4" s="44"/>
      <c r="LYE4" s="44"/>
      <c r="LYF4" s="44"/>
      <c r="LYG4" s="44"/>
      <c r="LYH4" s="44"/>
      <c r="LYI4" s="44"/>
      <c r="LYJ4" s="44"/>
      <c r="LYK4" s="44"/>
      <c r="LYL4" s="44"/>
      <c r="LYM4" s="44"/>
      <c r="LYN4" s="44"/>
      <c r="LYO4" s="44"/>
      <c r="LYP4" s="43"/>
      <c r="LYQ4" s="44"/>
      <c r="LYR4" s="44"/>
      <c r="LYS4" s="44"/>
      <c r="LYT4" s="44"/>
      <c r="LYU4" s="44"/>
      <c r="LYV4" s="44"/>
      <c r="LYW4" s="44"/>
      <c r="LYX4" s="44"/>
      <c r="LYY4" s="44"/>
      <c r="LYZ4" s="44"/>
      <c r="LZA4" s="44"/>
      <c r="LZB4" s="44"/>
      <c r="LZC4" s="44"/>
      <c r="LZD4" s="44"/>
      <c r="LZE4" s="43"/>
      <c r="LZF4" s="44"/>
      <c r="LZG4" s="44"/>
      <c r="LZH4" s="44"/>
      <c r="LZI4" s="44"/>
      <c r="LZJ4" s="44"/>
      <c r="LZK4" s="44"/>
      <c r="LZL4" s="44"/>
      <c r="LZM4" s="44"/>
      <c r="LZN4" s="44"/>
      <c r="LZO4" s="44"/>
      <c r="LZP4" s="44"/>
      <c r="LZQ4" s="44"/>
      <c r="LZR4" s="44"/>
      <c r="LZS4" s="44"/>
      <c r="LZT4" s="43"/>
      <c r="LZU4" s="44"/>
      <c r="LZV4" s="44"/>
      <c r="LZW4" s="44"/>
      <c r="LZX4" s="44"/>
      <c r="LZY4" s="44"/>
      <c r="LZZ4" s="44"/>
      <c r="MAA4" s="44"/>
      <c r="MAB4" s="44"/>
      <c r="MAC4" s="44"/>
      <c r="MAD4" s="44"/>
      <c r="MAE4" s="44"/>
      <c r="MAF4" s="44"/>
      <c r="MAG4" s="44"/>
      <c r="MAH4" s="44"/>
      <c r="MAI4" s="43"/>
      <c r="MAJ4" s="44"/>
      <c r="MAK4" s="44"/>
      <c r="MAL4" s="44"/>
      <c r="MAM4" s="44"/>
      <c r="MAN4" s="44"/>
      <c r="MAO4" s="44"/>
      <c r="MAP4" s="44"/>
      <c r="MAQ4" s="44"/>
      <c r="MAR4" s="44"/>
      <c r="MAS4" s="44"/>
      <c r="MAT4" s="44"/>
      <c r="MAU4" s="44"/>
      <c r="MAV4" s="44"/>
      <c r="MAW4" s="44"/>
      <c r="MAX4" s="43"/>
      <c r="MAY4" s="44"/>
      <c r="MAZ4" s="44"/>
      <c r="MBA4" s="44"/>
      <c r="MBB4" s="44"/>
      <c r="MBC4" s="44"/>
      <c r="MBD4" s="44"/>
      <c r="MBE4" s="44"/>
      <c r="MBF4" s="44"/>
      <c r="MBG4" s="44"/>
      <c r="MBH4" s="44"/>
      <c r="MBI4" s="44"/>
      <c r="MBJ4" s="44"/>
      <c r="MBK4" s="44"/>
      <c r="MBL4" s="44"/>
      <c r="MBM4" s="43"/>
      <c r="MBN4" s="44"/>
      <c r="MBO4" s="44"/>
      <c r="MBP4" s="44"/>
      <c r="MBQ4" s="44"/>
      <c r="MBR4" s="44"/>
      <c r="MBS4" s="44"/>
      <c r="MBT4" s="44"/>
      <c r="MBU4" s="44"/>
      <c r="MBV4" s="44"/>
      <c r="MBW4" s="44"/>
      <c r="MBX4" s="44"/>
      <c r="MBY4" s="44"/>
      <c r="MBZ4" s="44"/>
      <c r="MCA4" s="44"/>
      <c r="MCB4" s="43"/>
      <c r="MCC4" s="44"/>
      <c r="MCD4" s="44"/>
      <c r="MCE4" s="44"/>
      <c r="MCF4" s="44"/>
      <c r="MCG4" s="44"/>
      <c r="MCH4" s="44"/>
      <c r="MCI4" s="44"/>
      <c r="MCJ4" s="44"/>
      <c r="MCK4" s="44"/>
      <c r="MCL4" s="44"/>
      <c r="MCM4" s="44"/>
      <c r="MCN4" s="44"/>
      <c r="MCO4" s="44"/>
      <c r="MCP4" s="44"/>
      <c r="MCQ4" s="43"/>
      <c r="MCR4" s="44"/>
      <c r="MCS4" s="44"/>
      <c r="MCT4" s="44"/>
      <c r="MCU4" s="44"/>
      <c r="MCV4" s="44"/>
      <c r="MCW4" s="44"/>
      <c r="MCX4" s="44"/>
      <c r="MCY4" s="44"/>
      <c r="MCZ4" s="44"/>
      <c r="MDA4" s="44"/>
      <c r="MDB4" s="44"/>
      <c r="MDC4" s="44"/>
      <c r="MDD4" s="44"/>
      <c r="MDE4" s="44"/>
      <c r="MDF4" s="43"/>
      <c r="MDG4" s="44"/>
      <c r="MDH4" s="44"/>
      <c r="MDI4" s="44"/>
      <c r="MDJ4" s="44"/>
      <c r="MDK4" s="44"/>
      <c r="MDL4" s="44"/>
      <c r="MDM4" s="44"/>
      <c r="MDN4" s="44"/>
      <c r="MDO4" s="44"/>
      <c r="MDP4" s="44"/>
      <c r="MDQ4" s="44"/>
      <c r="MDR4" s="44"/>
      <c r="MDS4" s="44"/>
      <c r="MDT4" s="44"/>
      <c r="MDU4" s="43"/>
      <c r="MDV4" s="44"/>
      <c r="MDW4" s="44"/>
      <c r="MDX4" s="44"/>
      <c r="MDY4" s="44"/>
      <c r="MDZ4" s="44"/>
      <c r="MEA4" s="44"/>
      <c r="MEB4" s="44"/>
      <c r="MEC4" s="44"/>
      <c r="MED4" s="44"/>
      <c r="MEE4" s="44"/>
      <c r="MEF4" s="44"/>
      <c r="MEG4" s="44"/>
      <c r="MEH4" s="44"/>
      <c r="MEI4" s="44"/>
      <c r="MEJ4" s="43"/>
      <c r="MEK4" s="44"/>
      <c r="MEL4" s="44"/>
      <c r="MEM4" s="44"/>
      <c r="MEN4" s="44"/>
      <c r="MEO4" s="44"/>
      <c r="MEP4" s="44"/>
      <c r="MEQ4" s="44"/>
      <c r="MER4" s="44"/>
      <c r="MES4" s="44"/>
      <c r="MET4" s="44"/>
      <c r="MEU4" s="44"/>
      <c r="MEV4" s="44"/>
      <c r="MEW4" s="44"/>
      <c r="MEX4" s="44"/>
      <c r="MEY4" s="43"/>
      <c r="MEZ4" s="44"/>
      <c r="MFA4" s="44"/>
      <c r="MFB4" s="44"/>
      <c r="MFC4" s="44"/>
      <c r="MFD4" s="44"/>
      <c r="MFE4" s="44"/>
      <c r="MFF4" s="44"/>
      <c r="MFG4" s="44"/>
      <c r="MFH4" s="44"/>
      <c r="MFI4" s="44"/>
      <c r="MFJ4" s="44"/>
      <c r="MFK4" s="44"/>
      <c r="MFL4" s="44"/>
      <c r="MFM4" s="44"/>
      <c r="MFN4" s="43"/>
      <c r="MFO4" s="44"/>
      <c r="MFP4" s="44"/>
      <c r="MFQ4" s="44"/>
      <c r="MFR4" s="44"/>
      <c r="MFS4" s="44"/>
      <c r="MFT4" s="44"/>
      <c r="MFU4" s="44"/>
      <c r="MFV4" s="44"/>
      <c r="MFW4" s="44"/>
      <c r="MFX4" s="44"/>
      <c r="MFY4" s="44"/>
      <c r="MFZ4" s="44"/>
      <c r="MGA4" s="44"/>
      <c r="MGB4" s="44"/>
      <c r="MGC4" s="43"/>
      <c r="MGD4" s="44"/>
      <c r="MGE4" s="44"/>
      <c r="MGF4" s="44"/>
      <c r="MGG4" s="44"/>
      <c r="MGH4" s="44"/>
      <c r="MGI4" s="44"/>
      <c r="MGJ4" s="44"/>
      <c r="MGK4" s="44"/>
      <c r="MGL4" s="44"/>
      <c r="MGM4" s="44"/>
      <c r="MGN4" s="44"/>
      <c r="MGO4" s="44"/>
      <c r="MGP4" s="44"/>
      <c r="MGQ4" s="44"/>
      <c r="MGR4" s="43"/>
      <c r="MGS4" s="44"/>
      <c r="MGT4" s="44"/>
      <c r="MGU4" s="44"/>
      <c r="MGV4" s="44"/>
      <c r="MGW4" s="44"/>
      <c r="MGX4" s="44"/>
      <c r="MGY4" s="44"/>
      <c r="MGZ4" s="44"/>
      <c r="MHA4" s="44"/>
      <c r="MHB4" s="44"/>
      <c r="MHC4" s="44"/>
      <c r="MHD4" s="44"/>
      <c r="MHE4" s="44"/>
      <c r="MHF4" s="44"/>
      <c r="MHG4" s="43"/>
      <c r="MHH4" s="44"/>
      <c r="MHI4" s="44"/>
      <c r="MHJ4" s="44"/>
      <c r="MHK4" s="44"/>
      <c r="MHL4" s="44"/>
      <c r="MHM4" s="44"/>
      <c r="MHN4" s="44"/>
      <c r="MHO4" s="44"/>
      <c r="MHP4" s="44"/>
      <c r="MHQ4" s="44"/>
      <c r="MHR4" s="44"/>
      <c r="MHS4" s="44"/>
      <c r="MHT4" s="44"/>
      <c r="MHU4" s="44"/>
      <c r="MHV4" s="43"/>
      <c r="MHW4" s="44"/>
      <c r="MHX4" s="44"/>
      <c r="MHY4" s="44"/>
      <c r="MHZ4" s="44"/>
      <c r="MIA4" s="44"/>
      <c r="MIB4" s="44"/>
      <c r="MIC4" s="44"/>
      <c r="MID4" s="44"/>
      <c r="MIE4" s="44"/>
      <c r="MIF4" s="44"/>
      <c r="MIG4" s="44"/>
      <c r="MIH4" s="44"/>
      <c r="MII4" s="44"/>
      <c r="MIJ4" s="44"/>
      <c r="MIK4" s="43"/>
      <c r="MIL4" s="44"/>
      <c r="MIM4" s="44"/>
      <c r="MIN4" s="44"/>
      <c r="MIO4" s="44"/>
      <c r="MIP4" s="44"/>
      <c r="MIQ4" s="44"/>
      <c r="MIR4" s="44"/>
      <c r="MIS4" s="44"/>
      <c r="MIT4" s="44"/>
      <c r="MIU4" s="44"/>
      <c r="MIV4" s="44"/>
      <c r="MIW4" s="44"/>
      <c r="MIX4" s="44"/>
      <c r="MIY4" s="44"/>
      <c r="MIZ4" s="43"/>
      <c r="MJA4" s="44"/>
      <c r="MJB4" s="44"/>
      <c r="MJC4" s="44"/>
      <c r="MJD4" s="44"/>
      <c r="MJE4" s="44"/>
      <c r="MJF4" s="44"/>
      <c r="MJG4" s="44"/>
      <c r="MJH4" s="44"/>
      <c r="MJI4" s="44"/>
      <c r="MJJ4" s="44"/>
      <c r="MJK4" s="44"/>
      <c r="MJL4" s="44"/>
      <c r="MJM4" s="44"/>
      <c r="MJN4" s="44"/>
      <c r="MJO4" s="43"/>
      <c r="MJP4" s="44"/>
      <c r="MJQ4" s="44"/>
      <c r="MJR4" s="44"/>
      <c r="MJS4" s="44"/>
      <c r="MJT4" s="44"/>
      <c r="MJU4" s="44"/>
      <c r="MJV4" s="44"/>
      <c r="MJW4" s="44"/>
      <c r="MJX4" s="44"/>
      <c r="MJY4" s="44"/>
      <c r="MJZ4" s="44"/>
      <c r="MKA4" s="44"/>
      <c r="MKB4" s="44"/>
      <c r="MKC4" s="44"/>
      <c r="MKD4" s="43"/>
      <c r="MKE4" s="44"/>
      <c r="MKF4" s="44"/>
      <c r="MKG4" s="44"/>
      <c r="MKH4" s="44"/>
      <c r="MKI4" s="44"/>
      <c r="MKJ4" s="44"/>
      <c r="MKK4" s="44"/>
      <c r="MKL4" s="44"/>
      <c r="MKM4" s="44"/>
      <c r="MKN4" s="44"/>
      <c r="MKO4" s="44"/>
      <c r="MKP4" s="44"/>
      <c r="MKQ4" s="44"/>
      <c r="MKR4" s="44"/>
      <c r="MKS4" s="43"/>
      <c r="MKT4" s="44"/>
      <c r="MKU4" s="44"/>
      <c r="MKV4" s="44"/>
      <c r="MKW4" s="44"/>
      <c r="MKX4" s="44"/>
      <c r="MKY4" s="44"/>
      <c r="MKZ4" s="44"/>
      <c r="MLA4" s="44"/>
      <c r="MLB4" s="44"/>
      <c r="MLC4" s="44"/>
      <c r="MLD4" s="44"/>
      <c r="MLE4" s="44"/>
      <c r="MLF4" s="44"/>
      <c r="MLG4" s="44"/>
      <c r="MLH4" s="43"/>
      <c r="MLI4" s="44"/>
      <c r="MLJ4" s="44"/>
      <c r="MLK4" s="44"/>
      <c r="MLL4" s="44"/>
      <c r="MLM4" s="44"/>
      <c r="MLN4" s="44"/>
      <c r="MLO4" s="44"/>
      <c r="MLP4" s="44"/>
      <c r="MLQ4" s="44"/>
      <c r="MLR4" s="44"/>
      <c r="MLS4" s="44"/>
      <c r="MLT4" s="44"/>
      <c r="MLU4" s="44"/>
      <c r="MLV4" s="44"/>
      <c r="MLW4" s="43"/>
      <c r="MLX4" s="44"/>
      <c r="MLY4" s="44"/>
      <c r="MLZ4" s="44"/>
      <c r="MMA4" s="44"/>
      <c r="MMB4" s="44"/>
      <c r="MMC4" s="44"/>
      <c r="MMD4" s="44"/>
      <c r="MME4" s="44"/>
      <c r="MMF4" s="44"/>
      <c r="MMG4" s="44"/>
      <c r="MMH4" s="44"/>
      <c r="MMI4" s="44"/>
      <c r="MMJ4" s="44"/>
      <c r="MMK4" s="44"/>
      <c r="MML4" s="43"/>
      <c r="MMM4" s="44"/>
      <c r="MMN4" s="44"/>
      <c r="MMO4" s="44"/>
      <c r="MMP4" s="44"/>
      <c r="MMQ4" s="44"/>
      <c r="MMR4" s="44"/>
      <c r="MMS4" s="44"/>
      <c r="MMT4" s="44"/>
      <c r="MMU4" s="44"/>
      <c r="MMV4" s="44"/>
      <c r="MMW4" s="44"/>
      <c r="MMX4" s="44"/>
      <c r="MMY4" s="44"/>
      <c r="MMZ4" s="44"/>
      <c r="MNA4" s="43"/>
      <c r="MNB4" s="44"/>
      <c r="MNC4" s="44"/>
      <c r="MND4" s="44"/>
      <c r="MNE4" s="44"/>
      <c r="MNF4" s="44"/>
      <c r="MNG4" s="44"/>
      <c r="MNH4" s="44"/>
      <c r="MNI4" s="44"/>
      <c r="MNJ4" s="44"/>
      <c r="MNK4" s="44"/>
      <c r="MNL4" s="44"/>
      <c r="MNM4" s="44"/>
      <c r="MNN4" s="44"/>
      <c r="MNO4" s="44"/>
      <c r="MNP4" s="43"/>
      <c r="MNQ4" s="44"/>
      <c r="MNR4" s="44"/>
      <c r="MNS4" s="44"/>
      <c r="MNT4" s="44"/>
      <c r="MNU4" s="44"/>
      <c r="MNV4" s="44"/>
      <c r="MNW4" s="44"/>
      <c r="MNX4" s="44"/>
      <c r="MNY4" s="44"/>
      <c r="MNZ4" s="44"/>
      <c r="MOA4" s="44"/>
      <c r="MOB4" s="44"/>
      <c r="MOC4" s="44"/>
      <c r="MOD4" s="44"/>
      <c r="MOE4" s="43"/>
      <c r="MOF4" s="44"/>
      <c r="MOG4" s="44"/>
      <c r="MOH4" s="44"/>
      <c r="MOI4" s="44"/>
      <c r="MOJ4" s="44"/>
      <c r="MOK4" s="44"/>
      <c r="MOL4" s="44"/>
      <c r="MOM4" s="44"/>
      <c r="MON4" s="44"/>
      <c r="MOO4" s="44"/>
      <c r="MOP4" s="44"/>
      <c r="MOQ4" s="44"/>
      <c r="MOR4" s="44"/>
      <c r="MOS4" s="44"/>
      <c r="MOT4" s="43"/>
      <c r="MOU4" s="44"/>
      <c r="MOV4" s="44"/>
      <c r="MOW4" s="44"/>
      <c r="MOX4" s="44"/>
      <c r="MOY4" s="44"/>
      <c r="MOZ4" s="44"/>
      <c r="MPA4" s="44"/>
      <c r="MPB4" s="44"/>
      <c r="MPC4" s="44"/>
      <c r="MPD4" s="44"/>
      <c r="MPE4" s="44"/>
      <c r="MPF4" s="44"/>
      <c r="MPG4" s="44"/>
      <c r="MPH4" s="44"/>
      <c r="MPI4" s="43"/>
      <c r="MPJ4" s="44"/>
      <c r="MPK4" s="44"/>
      <c r="MPL4" s="44"/>
      <c r="MPM4" s="44"/>
      <c r="MPN4" s="44"/>
      <c r="MPO4" s="44"/>
      <c r="MPP4" s="44"/>
      <c r="MPQ4" s="44"/>
      <c r="MPR4" s="44"/>
      <c r="MPS4" s="44"/>
      <c r="MPT4" s="44"/>
      <c r="MPU4" s="44"/>
      <c r="MPV4" s="44"/>
      <c r="MPW4" s="44"/>
      <c r="MPX4" s="43"/>
      <c r="MPY4" s="44"/>
      <c r="MPZ4" s="44"/>
      <c r="MQA4" s="44"/>
      <c r="MQB4" s="44"/>
      <c r="MQC4" s="44"/>
      <c r="MQD4" s="44"/>
      <c r="MQE4" s="44"/>
      <c r="MQF4" s="44"/>
      <c r="MQG4" s="44"/>
      <c r="MQH4" s="44"/>
      <c r="MQI4" s="44"/>
      <c r="MQJ4" s="44"/>
      <c r="MQK4" s="44"/>
      <c r="MQL4" s="44"/>
      <c r="MQM4" s="43"/>
      <c r="MQN4" s="44"/>
      <c r="MQO4" s="44"/>
      <c r="MQP4" s="44"/>
      <c r="MQQ4" s="44"/>
      <c r="MQR4" s="44"/>
      <c r="MQS4" s="44"/>
      <c r="MQT4" s="44"/>
      <c r="MQU4" s="44"/>
      <c r="MQV4" s="44"/>
      <c r="MQW4" s="44"/>
      <c r="MQX4" s="44"/>
      <c r="MQY4" s="44"/>
      <c r="MQZ4" s="44"/>
      <c r="MRA4" s="44"/>
      <c r="MRB4" s="43"/>
      <c r="MRC4" s="44"/>
      <c r="MRD4" s="44"/>
      <c r="MRE4" s="44"/>
      <c r="MRF4" s="44"/>
      <c r="MRG4" s="44"/>
      <c r="MRH4" s="44"/>
      <c r="MRI4" s="44"/>
      <c r="MRJ4" s="44"/>
      <c r="MRK4" s="44"/>
      <c r="MRL4" s="44"/>
      <c r="MRM4" s="44"/>
      <c r="MRN4" s="44"/>
      <c r="MRO4" s="44"/>
      <c r="MRP4" s="44"/>
      <c r="MRQ4" s="43"/>
      <c r="MRR4" s="44"/>
      <c r="MRS4" s="44"/>
      <c r="MRT4" s="44"/>
      <c r="MRU4" s="44"/>
      <c r="MRV4" s="44"/>
      <c r="MRW4" s="44"/>
      <c r="MRX4" s="44"/>
      <c r="MRY4" s="44"/>
      <c r="MRZ4" s="44"/>
      <c r="MSA4" s="44"/>
      <c r="MSB4" s="44"/>
      <c r="MSC4" s="44"/>
      <c r="MSD4" s="44"/>
      <c r="MSE4" s="44"/>
      <c r="MSF4" s="43"/>
      <c r="MSG4" s="44"/>
      <c r="MSH4" s="44"/>
      <c r="MSI4" s="44"/>
      <c r="MSJ4" s="44"/>
      <c r="MSK4" s="44"/>
      <c r="MSL4" s="44"/>
      <c r="MSM4" s="44"/>
      <c r="MSN4" s="44"/>
      <c r="MSO4" s="44"/>
      <c r="MSP4" s="44"/>
      <c r="MSQ4" s="44"/>
      <c r="MSR4" s="44"/>
      <c r="MSS4" s="44"/>
      <c r="MST4" s="44"/>
      <c r="MSU4" s="43"/>
      <c r="MSV4" s="44"/>
      <c r="MSW4" s="44"/>
      <c r="MSX4" s="44"/>
      <c r="MSY4" s="44"/>
      <c r="MSZ4" s="44"/>
      <c r="MTA4" s="44"/>
      <c r="MTB4" s="44"/>
      <c r="MTC4" s="44"/>
      <c r="MTD4" s="44"/>
      <c r="MTE4" s="44"/>
      <c r="MTF4" s="44"/>
      <c r="MTG4" s="44"/>
      <c r="MTH4" s="44"/>
      <c r="MTI4" s="44"/>
      <c r="MTJ4" s="43"/>
      <c r="MTK4" s="44"/>
      <c r="MTL4" s="44"/>
      <c r="MTM4" s="44"/>
      <c r="MTN4" s="44"/>
      <c r="MTO4" s="44"/>
      <c r="MTP4" s="44"/>
      <c r="MTQ4" s="44"/>
      <c r="MTR4" s="44"/>
      <c r="MTS4" s="44"/>
      <c r="MTT4" s="44"/>
      <c r="MTU4" s="44"/>
      <c r="MTV4" s="44"/>
      <c r="MTW4" s="44"/>
      <c r="MTX4" s="44"/>
      <c r="MTY4" s="43"/>
      <c r="MTZ4" s="44"/>
      <c r="MUA4" s="44"/>
      <c r="MUB4" s="44"/>
      <c r="MUC4" s="44"/>
      <c r="MUD4" s="44"/>
      <c r="MUE4" s="44"/>
      <c r="MUF4" s="44"/>
      <c r="MUG4" s="44"/>
      <c r="MUH4" s="44"/>
      <c r="MUI4" s="44"/>
      <c r="MUJ4" s="44"/>
      <c r="MUK4" s="44"/>
      <c r="MUL4" s="44"/>
      <c r="MUM4" s="44"/>
      <c r="MUN4" s="43"/>
      <c r="MUO4" s="44"/>
      <c r="MUP4" s="44"/>
      <c r="MUQ4" s="44"/>
      <c r="MUR4" s="44"/>
      <c r="MUS4" s="44"/>
      <c r="MUT4" s="44"/>
      <c r="MUU4" s="44"/>
      <c r="MUV4" s="44"/>
      <c r="MUW4" s="44"/>
      <c r="MUX4" s="44"/>
      <c r="MUY4" s="44"/>
      <c r="MUZ4" s="44"/>
      <c r="MVA4" s="44"/>
      <c r="MVB4" s="44"/>
      <c r="MVC4" s="43"/>
      <c r="MVD4" s="44"/>
      <c r="MVE4" s="44"/>
      <c r="MVF4" s="44"/>
      <c r="MVG4" s="44"/>
      <c r="MVH4" s="44"/>
      <c r="MVI4" s="44"/>
      <c r="MVJ4" s="44"/>
      <c r="MVK4" s="44"/>
      <c r="MVL4" s="44"/>
      <c r="MVM4" s="44"/>
      <c r="MVN4" s="44"/>
      <c r="MVO4" s="44"/>
      <c r="MVP4" s="44"/>
      <c r="MVQ4" s="44"/>
      <c r="MVR4" s="43"/>
      <c r="MVS4" s="44"/>
      <c r="MVT4" s="44"/>
      <c r="MVU4" s="44"/>
      <c r="MVV4" s="44"/>
      <c r="MVW4" s="44"/>
      <c r="MVX4" s="44"/>
      <c r="MVY4" s="44"/>
      <c r="MVZ4" s="44"/>
      <c r="MWA4" s="44"/>
      <c r="MWB4" s="44"/>
      <c r="MWC4" s="44"/>
      <c r="MWD4" s="44"/>
      <c r="MWE4" s="44"/>
      <c r="MWF4" s="44"/>
      <c r="MWG4" s="43"/>
      <c r="MWH4" s="44"/>
      <c r="MWI4" s="44"/>
      <c r="MWJ4" s="44"/>
      <c r="MWK4" s="44"/>
      <c r="MWL4" s="44"/>
      <c r="MWM4" s="44"/>
      <c r="MWN4" s="44"/>
      <c r="MWO4" s="44"/>
      <c r="MWP4" s="44"/>
      <c r="MWQ4" s="44"/>
      <c r="MWR4" s="44"/>
      <c r="MWS4" s="44"/>
      <c r="MWT4" s="44"/>
      <c r="MWU4" s="44"/>
      <c r="MWV4" s="43"/>
      <c r="MWW4" s="44"/>
      <c r="MWX4" s="44"/>
      <c r="MWY4" s="44"/>
      <c r="MWZ4" s="44"/>
      <c r="MXA4" s="44"/>
      <c r="MXB4" s="44"/>
      <c r="MXC4" s="44"/>
      <c r="MXD4" s="44"/>
      <c r="MXE4" s="44"/>
      <c r="MXF4" s="44"/>
      <c r="MXG4" s="44"/>
      <c r="MXH4" s="44"/>
      <c r="MXI4" s="44"/>
      <c r="MXJ4" s="44"/>
      <c r="MXK4" s="43"/>
      <c r="MXL4" s="44"/>
      <c r="MXM4" s="44"/>
      <c r="MXN4" s="44"/>
      <c r="MXO4" s="44"/>
      <c r="MXP4" s="44"/>
      <c r="MXQ4" s="44"/>
      <c r="MXR4" s="44"/>
      <c r="MXS4" s="44"/>
      <c r="MXT4" s="44"/>
      <c r="MXU4" s="44"/>
      <c r="MXV4" s="44"/>
      <c r="MXW4" s="44"/>
      <c r="MXX4" s="44"/>
      <c r="MXY4" s="44"/>
      <c r="MXZ4" s="43"/>
      <c r="MYA4" s="44"/>
      <c r="MYB4" s="44"/>
      <c r="MYC4" s="44"/>
      <c r="MYD4" s="44"/>
      <c r="MYE4" s="44"/>
      <c r="MYF4" s="44"/>
      <c r="MYG4" s="44"/>
      <c r="MYH4" s="44"/>
      <c r="MYI4" s="44"/>
      <c r="MYJ4" s="44"/>
      <c r="MYK4" s="44"/>
      <c r="MYL4" s="44"/>
      <c r="MYM4" s="44"/>
      <c r="MYN4" s="44"/>
      <c r="MYO4" s="43"/>
      <c r="MYP4" s="44"/>
      <c r="MYQ4" s="44"/>
      <c r="MYR4" s="44"/>
      <c r="MYS4" s="44"/>
      <c r="MYT4" s="44"/>
      <c r="MYU4" s="44"/>
      <c r="MYV4" s="44"/>
      <c r="MYW4" s="44"/>
      <c r="MYX4" s="44"/>
      <c r="MYY4" s="44"/>
      <c r="MYZ4" s="44"/>
      <c r="MZA4" s="44"/>
      <c r="MZB4" s="44"/>
      <c r="MZC4" s="44"/>
      <c r="MZD4" s="43"/>
      <c r="MZE4" s="44"/>
      <c r="MZF4" s="44"/>
      <c r="MZG4" s="44"/>
      <c r="MZH4" s="44"/>
      <c r="MZI4" s="44"/>
      <c r="MZJ4" s="44"/>
      <c r="MZK4" s="44"/>
      <c r="MZL4" s="44"/>
      <c r="MZM4" s="44"/>
      <c r="MZN4" s="44"/>
      <c r="MZO4" s="44"/>
      <c r="MZP4" s="44"/>
      <c r="MZQ4" s="44"/>
      <c r="MZR4" s="44"/>
      <c r="MZS4" s="43"/>
      <c r="MZT4" s="44"/>
      <c r="MZU4" s="44"/>
      <c r="MZV4" s="44"/>
      <c r="MZW4" s="44"/>
      <c r="MZX4" s="44"/>
      <c r="MZY4" s="44"/>
      <c r="MZZ4" s="44"/>
      <c r="NAA4" s="44"/>
      <c r="NAB4" s="44"/>
      <c r="NAC4" s="44"/>
      <c r="NAD4" s="44"/>
      <c r="NAE4" s="44"/>
      <c r="NAF4" s="44"/>
      <c r="NAG4" s="44"/>
      <c r="NAH4" s="43"/>
      <c r="NAI4" s="44"/>
      <c r="NAJ4" s="44"/>
      <c r="NAK4" s="44"/>
      <c r="NAL4" s="44"/>
      <c r="NAM4" s="44"/>
      <c r="NAN4" s="44"/>
      <c r="NAO4" s="44"/>
      <c r="NAP4" s="44"/>
      <c r="NAQ4" s="44"/>
      <c r="NAR4" s="44"/>
      <c r="NAS4" s="44"/>
      <c r="NAT4" s="44"/>
      <c r="NAU4" s="44"/>
      <c r="NAV4" s="44"/>
      <c r="NAW4" s="43"/>
      <c r="NAX4" s="44"/>
      <c r="NAY4" s="44"/>
      <c r="NAZ4" s="44"/>
      <c r="NBA4" s="44"/>
      <c r="NBB4" s="44"/>
      <c r="NBC4" s="44"/>
      <c r="NBD4" s="44"/>
      <c r="NBE4" s="44"/>
      <c r="NBF4" s="44"/>
      <c r="NBG4" s="44"/>
      <c r="NBH4" s="44"/>
      <c r="NBI4" s="44"/>
      <c r="NBJ4" s="44"/>
      <c r="NBK4" s="44"/>
      <c r="NBL4" s="43"/>
      <c r="NBM4" s="44"/>
      <c r="NBN4" s="44"/>
      <c r="NBO4" s="44"/>
      <c r="NBP4" s="44"/>
      <c r="NBQ4" s="44"/>
      <c r="NBR4" s="44"/>
      <c r="NBS4" s="44"/>
      <c r="NBT4" s="44"/>
      <c r="NBU4" s="44"/>
      <c r="NBV4" s="44"/>
      <c r="NBW4" s="44"/>
      <c r="NBX4" s="44"/>
      <c r="NBY4" s="44"/>
      <c r="NBZ4" s="44"/>
      <c r="NCA4" s="43"/>
      <c r="NCB4" s="44"/>
      <c r="NCC4" s="44"/>
      <c r="NCD4" s="44"/>
      <c r="NCE4" s="44"/>
      <c r="NCF4" s="44"/>
      <c r="NCG4" s="44"/>
      <c r="NCH4" s="44"/>
      <c r="NCI4" s="44"/>
      <c r="NCJ4" s="44"/>
      <c r="NCK4" s="44"/>
      <c r="NCL4" s="44"/>
      <c r="NCM4" s="44"/>
      <c r="NCN4" s="44"/>
      <c r="NCO4" s="44"/>
      <c r="NCP4" s="43"/>
      <c r="NCQ4" s="44"/>
      <c r="NCR4" s="44"/>
      <c r="NCS4" s="44"/>
      <c r="NCT4" s="44"/>
      <c r="NCU4" s="44"/>
      <c r="NCV4" s="44"/>
      <c r="NCW4" s="44"/>
      <c r="NCX4" s="44"/>
      <c r="NCY4" s="44"/>
      <c r="NCZ4" s="44"/>
      <c r="NDA4" s="44"/>
      <c r="NDB4" s="44"/>
      <c r="NDC4" s="44"/>
      <c r="NDD4" s="44"/>
      <c r="NDE4" s="43"/>
      <c r="NDF4" s="44"/>
      <c r="NDG4" s="44"/>
      <c r="NDH4" s="44"/>
      <c r="NDI4" s="44"/>
      <c r="NDJ4" s="44"/>
      <c r="NDK4" s="44"/>
      <c r="NDL4" s="44"/>
      <c r="NDM4" s="44"/>
      <c r="NDN4" s="44"/>
      <c r="NDO4" s="44"/>
      <c r="NDP4" s="44"/>
      <c r="NDQ4" s="44"/>
      <c r="NDR4" s="44"/>
      <c r="NDS4" s="44"/>
      <c r="NDT4" s="43"/>
      <c r="NDU4" s="44"/>
      <c r="NDV4" s="44"/>
      <c r="NDW4" s="44"/>
      <c r="NDX4" s="44"/>
      <c r="NDY4" s="44"/>
      <c r="NDZ4" s="44"/>
      <c r="NEA4" s="44"/>
      <c r="NEB4" s="44"/>
      <c r="NEC4" s="44"/>
      <c r="NED4" s="44"/>
      <c r="NEE4" s="44"/>
      <c r="NEF4" s="44"/>
      <c r="NEG4" s="44"/>
      <c r="NEH4" s="44"/>
      <c r="NEI4" s="43"/>
      <c r="NEJ4" s="44"/>
      <c r="NEK4" s="44"/>
      <c r="NEL4" s="44"/>
      <c r="NEM4" s="44"/>
      <c r="NEN4" s="44"/>
      <c r="NEO4" s="44"/>
      <c r="NEP4" s="44"/>
      <c r="NEQ4" s="44"/>
      <c r="NER4" s="44"/>
      <c r="NES4" s="44"/>
      <c r="NET4" s="44"/>
      <c r="NEU4" s="44"/>
      <c r="NEV4" s="44"/>
      <c r="NEW4" s="44"/>
      <c r="NEX4" s="43"/>
      <c r="NEY4" s="44"/>
      <c r="NEZ4" s="44"/>
      <c r="NFA4" s="44"/>
      <c r="NFB4" s="44"/>
      <c r="NFC4" s="44"/>
      <c r="NFD4" s="44"/>
      <c r="NFE4" s="44"/>
      <c r="NFF4" s="44"/>
      <c r="NFG4" s="44"/>
      <c r="NFH4" s="44"/>
      <c r="NFI4" s="44"/>
      <c r="NFJ4" s="44"/>
      <c r="NFK4" s="44"/>
      <c r="NFL4" s="44"/>
      <c r="NFM4" s="43"/>
      <c r="NFN4" s="44"/>
      <c r="NFO4" s="44"/>
      <c r="NFP4" s="44"/>
      <c r="NFQ4" s="44"/>
      <c r="NFR4" s="44"/>
      <c r="NFS4" s="44"/>
      <c r="NFT4" s="44"/>
      <c r="NFU4" s="44"/>
      <c r="NFV4" s="44"/>
      <c r="NFW4" s="44"/>
      <c r="NFX4" s="44"/>
      <c r="NFY4" s="44"/>
      <c r="NFZ4" s="44"/>
      <c r="NGA4" s="44"/>
      <c r="NGB4" s="43"/>
      <c r="NGC4" s="44"/>
      <c r="NGD4" s="44"/>
      <c r="NGE4" s="44"/>
      <c r="NGF4" s="44"/>
      <c r="NGG4" s="44"/>
      <c r="NGH4" s="44"/>
      <c r="NGI4" s="44"/>
      <c r="NGJ4" s="44"/>
      <c r="NGK4" s="44"/>
      <c r="NGL4" s="44"/>
      <c r="NGM4" s="44"/>
      <c r="NGN4" s="44"/>
      <c r="NGO4" s="44"/>
      <c r="NGP4" s="44"/>
      <c r="NGQ4" s="43"/>
      <c r="NGR4" s="44"/>
      <c r="NGS4" s="44"/>
      <c r="NGT4" s="44"/>
      <c r="NGU4" s="44"/>
      <c r="NGV4" s="44"/>
      <c r="NGW4" s="44"/>
      <c r="NGX4" s="44"/>
      <c r="NGY4" s="44"/>
      <c r="NGZ4" s="44"/>
      <c r="NHA4" s="44"/>
      <c r="NHB4" s="44"/>
      <c r="NHC4" s="44"/>
      <c r="NHD4" s="44"/>
      <c r="NHE4" s="44"/>
      <c r="NHF4" s="43"/>
      <c r="NHG4" s="44"/>
      <c r="NHH4" s="44"/>
      <c r="NHI4" s="44"/>
      <c r="NHJ4" s="44"/>
      <c r="NHK4" s="44"/>
      <c r="NHL4" s="44"/>
      <c r="NHM4" s="44"/>
      <c r="NHN4" s="44"/>
      <c r="NHO4" s="44"/>
      <c r="NHP4" s="44"/>
      <c r="NHQ4" s="44"/>
      <c r="NHR4" s="44"/>
      <c r="NHS4" s="44"/>
      <c r="NHT4" s="44"/>
      <c r="NHU4" s="43"/>
      <c r="NHV4" s="44"/>
      <c r="NHW4" s="44"/>
      <c r="NHX4" s="44"/>
      <c r="NHY4" s="44"/>
      <c r="NHZ4" s="44"/>
      <c r="NIA4" s="44"/>
      <c r="NIB4" s="44"/>
      <c r="NIC4" s="44"/>
      <c r="NID4" s="44"/>
      <c r="NIE4" s="44"/>
      <c r="NIF4" s="44"/>
      <c r="NIG4" s="44"/>
      <c r="NIH4" s="44"/>
      <c r="NII4" s="44"/>
      <c r="NIJ4" s="43"/>
      <c r="NIK4" s="44"/>
      <c r="NIL4" s="44"/>
      <c r="NIM4" s="44"/>
      <c r="NIN4" s="44"/>
      <c r="NIO4" s="44"/>
      <c r="NIP4" s="44"/>
      <c r="NIQ4" s="44"/>
      <c r="NIR4" s="44"/>
      <c r="NIS4" s="44"/>
      <c r="NIT4" s="44"/>
      <c r="NIU4" s="44"/>
      <c r="NIV4" s="44"/>
      <c r="NIW4" s="44"/>
      <c r="NIX4" s="44"/>
      <c r="NIY4" s="43"/>
      <c r="NIZ4" s="44"/>
      <c r="NJA4" s="44"/>
      <c r="NJB4" s="44"/>
      <c r="NJC4" s="44"/>
      <c r="NJD4" s="44"/>
      <c r="NJE4" s="44"/>
      <c r="NJF4" s="44"/>
      <c r="NJG4" s="44"/>
      <c r="NJH4" s="44"/>
      <c r="NJI4" s="44"/>
      <c r="NJJ4" s="44"/>
      <c r="NJK4" s="44"/>
      <c r="NJL4" s="44"/>
      <c r="NJM4" s="44"/>
      <c r="NJN4" s="43"/>
      <c r="NJO4" s="44"/>
      <c r="NJP4" s="44"/>
      <c r="NJQ4" s="44"/>
      <c r="NJR4" s="44"/>
      <c r="NJS4" s="44"/>
      <c r="NJT4" s="44"/>
      <c r="NJU4" s="44"/>
      <c r="NJV4" s="44"/>
      <c r="NJW4" s="44"/>
      <c r="NJX4" s="44"/>
      <c r="NJY4" s="44"/>
      <c r="NJZ4" s="44"/>
      <c r="NKA4" s="44"/>
      <c r="NKB4" s="44"/>
      <c r="NKC4" s="43"/>
      <c r="NKD4" s="44"/>
      <c r="NKE4" s="44"/>
      <c r="NKF4" s="44"/>
      <c r="NKG4" s="44"/>
      <c r="NKH4" s="44"/>
      <c r="NKI4" s="44"/>
      <c r="NKJ4" s="44"/>
      <c r="NKK4" s="44"/>
      <c r="NKL4" s="44"/>
      <c r="NKM4" s="44"/>
      <c r="NKN4" s="44"/>
      <c r="NKO4" s="44"/>
      <c r="NKP4" s="44"/>
      <c r="NKQ4" s="44"/>
      <c r="NKR4" s="43"/>
      <c r="NKS4" s="44"/>
      <c r="NKT4" s="44"/>
      <c r="NKU4" s="44"/>
      <c r="NKV4" s="44"/>
      <c r="NKW4" s="44"/>
      <c r="NKX4" s="44"/>
      <c r="NKY4" s="44"/>
      <c r="NKZ4" s="44"/>
      <c r="NLA4" s="44"/>
      <c r="NLB4" s="44"/>
      <c r="NLC4" s="44"/>
      <c r="NLD4" s="44"/>
      <c r="NLE4" s="44"/>
      <c r="NLF4" s="44"/>
      <c r="NLG4" s="43"/>
      <c r="NLH4" s="44"/>
      <c r="NLI4" s="44"/>
      <c r="NLJ4" s="44"/>
      <c r="NLK4" s="44"/>
      <c r="NLL4" s="44"/>
      <c r="NLM4" s="44"/>
      <c r="NLN4" s="44"/>
      <c r="NLO4" s="44"/>
      <c r="NLP4" s="44"/>
      <c r="NLQ4" s="44"/>
      <c r="NLR4" s="44"/>
      <c r="NLS4" s="44"/>
      <c r="NLT4" s="44"/>
      <c r="NLU4" s="44"/>
      <c r="NLV4" s="43"/>
      <c r="NLW4" s="44"/>
      <c r="NLX4" s="44"/>
      <c r="NLY4" s="44"/>
      <c r="NLZ4" s="44"/>
      <c r="NMA4" s="44"/>
      <c r="NMB4" s="44"/>
      <c r="NMC4" s="44"/>
      <c r="NMD4" s="44"/>
      <c r="NME4" s="44"/>
      <c r="NMF4" s="44"/>
      <c r="NMG4" s="44"/>
      <c r="NMH4" s="44"/>
      <c r="NMI4" s="44"/>
      <c r="NMJ4" s="44"/>
      <c r="NMK4" s="43"/>
      <c r="NML4" s="44"/>
      <c r="NMM4" s="44"/>
      <c r="NMN4" s="44"/>
      <c r="NMO4" s="44"/>
      <c r="NMP4" s="44"/>
      <c r="NMQ4" s="44"/>
      <c r="NMR4" s="44"/>
      <c r="NMS4" s="44"/>
      <c r="NMT4" s="44"/>
      <c r="NMU4" s="44"/>
      <c r="NMV4" s="44"/>
      <c r="NMW4" s="44"/>
      <c r="NMX4" s="44"/>
      <c r="NMY4" s="44"/>
      <c r="NMZ4" s="43"/>
      <c r="NNA4" s="44"/>
      <c r="NNB4" s="44"/>
      <c r="NNC4" s="44"/>
      <c r="NND4" s="44"/>
      <c r="NNE4" s="44"/>
      <c r="NNF4" s="44"/>
      <c r="NNG4" s="44"/>
      <c r="NNH4" s="44"/>
      <c r="NNI4" s="44"/>
      <c r="NNJ4" s="44"/>
      <c r="NNK4" s="44"/>
      <c r="NNL4" s="44"/>
      <c r="NNM4" s="44"/>
      <c r="NNN4" s="44"/>
      <c r="NNO4" s="43"/>
      <c r="NNP4" s="44"/>
      <c r="NNQ4" s="44"/>
      <c r="NNR4" s="44"/>
      <c r="NNS4" s="44"/>
      <c r="NNT4" s="44"/>
      <c r="NNU4" s="44"/>
      <c r="NNV4" s="44"/>
      <c r="NNW4" s="44"/>
      <c r="NNX4" s="44"/>
      <c r="NNY4" s="44"/>
      <c r="NNZ4" s="44"/>
      <c r="NOA4" s="44"/>
      <c r="NOB4" s="44"/>
      <c r="NOC4" s="44"/>
      <c r="NOD4" s="43"/>
      <c r="NOE4" s="44"/>
      <c r="NOF4" s="44"/>
      <c r="NOG4" s="44"/>
      <c r="NOH4" s="44"/>
      <c r="NOI4" s="44"/>
      <c r="NOJ4" s="44"/>
      <c r="NOK4" s="44"/>
      <c r="NOL4" s="44"/>
      <c r="NOM4" s="44"/>
      <c r="NON4" s="44"/>
      <c r="NOO4" s="44"/>
      <c r="NOP4" s="44"/>
      <c r="NOQ4" s="44"/>
      <c r="NOR4" s="44"/>
      <c r="NOS4" s="43"/>
      <c r="NOT4" s="44"/>
      <c r="NOU4" s="44"/>
      <c r="NOV4" s="44"/>
      <c r="NOW4" s="44"/>
      <c r="NOX4" s="44"/>
      <c r="NOY4" s="44"/>
      <c r="NOZ4" s="44"/>
      <c r="NPA4" s="44"/>
      <c r="NPB4" s="44"/>
      <c r="NPC4" s="44"/>
      <c r="NPD4" s="44"/>
      <c r="NPE4" s="44"/>
      <c r="NPF4" s="44"/>
      <c r="NPG4" s="44"/>
      <c r="NPH4" s="43"/>
      <c r="NPI4" s="44"/>
      <c r="NPJ4" s="44"/>
      <c r="NPK4" s="44"/>
      <c r="NPL4" s="44"/>
      <c r="NPM4" s="44"/>
      <c r="NPN4" s="44"/>
      <c r="NPO4" s="44"/>
      <c r="NPP4" s="44"/>
      <c r="NPQ4" s="44"/>
      <c r="NPR4" s="44"/>
      <c r="NPS4" s="44"/>
      <c r="NPT4" s="44"/>
      <c r="NPU4" s="44"/>
      <c r="NPV4" s="44"/>
      <c r="NPW4" s="43"/>
      <c r="NPX4" s="44"/>
      <c r="NPY4" s="44"/>
      <c r="NPZ4" s="44"/>
      <c r="NQA4" s="44"/>
      <c r="NQB4" s="44"/>
      <c r="NQC4" s="44"/>
      <c r="NQD4" s="44"/>
      <c r="NQE4" s="44"/>
      <c r="NQF4" s="44"/>
      <c r="NQG4" s="44"/>
      <c r="NQH4" s="44"/>
      <c r="NQI4" s="44"/>
      <c r="NQJ4" s="44"/>
      <c r="NQK4" s="44"/>
      <c r="NQL4" s="43"/>
      <c r="NQM4" s="44"/>
      <c r="NQN4" s="44"/>
      <c r="NQO4" s="44"/>
      <c r="NQP4" s="44"/>
      <c r="NQQ4" s="44"/>
      <c r="NQR4" s="44"/>
      <c r="NQS4" s="44"/>
      <c r="NQT4" s="44"/>
      <c r="NQU4" s="44"/>
      <c r="NQV4" s="44"/>
      <c r="NQW4" s="44"/>
      <c r="NQX4" s="44"/>
      <c r="NQY4" s="44"/>
      <c r="NQZ4" s="44"/>
      <c r="NRA4" s="43"/>
      <c r="NRB4" s="44"/>
      <c r="NRC4" s="44"/>
      <c r="NRD4" s="44"/>
      <c r="NRE4" s="44"/>
      <c r="NRF4" s="44"/>
      <c r="NRG4" s="44"/>
      <c r="NRH4" s="44"/>
      <c r="NRI4" s="44"/>
      <c r="NRJ4" s="44"/>
      <c r="NRK4" s="44"/>
      <c r="NRL4" s="44"/>
      <c r="NRM4" s="44"/>
      <c r="NRN4" s="44"/>
      <c r="NRO4" s="44"/>
      <c r="NRP4" s="43"/>
      <c r="NRQ4" s="44"/>
      <c r="NRR4" s="44"/>
      <c r="NRS4" s="44"/>
      <c r="NRT4" s="44"/>
      <c r="NRU4" s="44"/>
      <c r="NRV4" s="44"/>
      <c r="NRW4" s="44"/>
      <c r="NRX4" s="44"/>
      <c r="NRY4" s="44"/>
      <c r="NRZ4" s="44"/>
      <c r="NSA4" s="44"/>
      <c r="NSB4" s="44"/>
      <c r="NSC4" s="44"/>
      <c r="NSD4" s="44"/>
      <c r="NSE4" s="43"/>
      <c r="NSF4" s="44"/>
      <c r="NSG4" s="44"/>
      <c r="NSH4" s="44"/>
      <c r="NSI4" s="44"/>
      <c r="NSJ4" s="44"/>
      <c r="NSK4" s="44"/>
      <c r="NSL4" s="44"/>
      <c r="NSM4" s="44"/>
      <c r="NSN4" s="44"/>
      <c r="NSO4" s="44"/>
      <c r="NSP4" s="44"/>
      <c r="NSQ4" s="44"/>
      <c r="NSR4" s="44"/>
      <c r="NSS4" s="44"/>
      <c r="NST4" s="43"/>
      <c r="NSU4" s="44"/>
      <c r="NSV4" s="44"/>
      <c r="NSW4" s="44"/>
      <c r="NSX4" s="44"/>
      <c r="NSY4" s="44"/>
      <c r="NSZ4" s="44"/>
      <c r="NTA4" s="44"/>
      <c r="NTB4" s="44"/>
      <c r="NTC4" s="44"/>
      <c r="NTD4" s="44"/>
      <c r="NTE4" s="44"/>
      <c r="NTF4" s="44"/>
      <c r="NTG4" s="44"/>
      <c r="NTH4" s="44"/>
      <c r="NTI4" s="43"/>
      <c r="NTJ4" s="44"/>
      <c r="NTK4" s="44"/>
      <c r="NTL4" s="44"/>
      <c r="NTM4" s="44"/>
      <c r="NTN4" s="44"/>
      <c r="NTO4" s="44"/>
      <c r="NTP4" s="44"/>
      <c r="NTQ4" s="44"/>
      <c r="NTR4" s="44"/>
      <c r="NTS4" s="44"/>
      <c r="NTT4" s="44"/>
      <c r="NTU4" s="44"/>
      <c r="NTV4" s="44"/>
      <c r="NTW4" s="44"/>
      <c r="NTX4" s="43"/>
      <c r="NTY4" s="44"/>
      <c r="NTZ4" s="44"/>
      <c r="NUA4" s="44"/>
      <c r="NUB4" s="44"/>
      <c r="NUC4" s="44"/>
      <c r="NUD4" s="44"/>
      <c r="NUE4" s="44"/>
      <c r="NUF4" s="44"/>
      <c r="NUG4" s="44"/>
      <c r="NUH4" s="44"/>
      <c r="NUI4" s="44"/>
      <c r="NUJ4" s="44"/>
      <c r="NUK4" s="44"/>
      <c r="NUL4" s="44"/>
      <c r="NUM4" s="43"/>
      <c r="NUN4" s="44"/>
      <c r="NUO4" s="44"/>
      <c r="NUP4" s="44"/>
      <c r="NUQ4" s="44"/>
      <c r="NUR4" s="44"/>
      <c r="NUS4" s="44"/>
      <c r="NUT4" s="44"/>
      <c r="NUU4" s="44"/>
      <c r="NUV4" s="44"/>
      <c r="NUW4" s="44"/>
      <c r="NUX4" s="44"/>
      <c r="NUY4" s="44"/>
      <c r="NUZ4" s="44"/>
      <c r="NVA4" s="44"/>
      <c r="NVB4" s="43"/>
      <c r="NVC4" s="44"/>
      <c r="NVD4" s="44"/>
      <c r="NVE4" s="44"/>
      <c r="NVF4" s="44"/>
      <c r="NVG4" s="44"/>
      <c r="NVH4" s="44"/>
      <c r="NVI4" s="44"/>
      <c r="NVJ4" s="44"/>
      <c r="NVK4" s="44"/>
      <c r="NVL4" s="44"/>
      <c r="NVM4" s="44"/>
      <c r="NVN4" s="44"/>
      <c r="NVO4" s="44"/>
      <c r="NVP4" s="44"/>
      <c r="NVQ4" s="43"/>
      <c r="NVR4" s="44"/>
      <c r="NVS4" s="44"/>
      <c r="NVT4" s="44"/>
      <c r="NVU4" s="44"/>
      <c r="NVV4" s="44"/>
      <c r="NVW4" s="44"/>
      <c r="NVX4" s="44"/>
      <c r="NVY4" s="44"/>
      <c r="NVZ4" s="44"/>
      <c r="NWA4" s="44"/>
      <c r="NWB4" s="44"/>
      <c r="NWC4" s="44"/>
      <c r="NWD4" s="44"/>
      <c r="NWE4" s="44"/>
      <c r="NWF4" s="43"/>
      <c r="NWG4" s="44"/>
      <c r="NWH4" s="44"/>
      <c r="NWI4" s="44"/>
      <c r="NWJ4" s="44"/>
      <c r="NWK4" s="44"/>
      <c r="NWL4" s="44"/>
      <c r="NWM4" s="44"/>
      <c r="NWN4" s="44"/>
      <c r="NWO4" s="44"/>
      <c r="NWP4" s="44"/>
      <c r="NWQ4" s="44"/>
      <c r="NWR4" s="44"/>
      <c r="NWS4" s="44"/>
      <c r="NWT4" s="44"/>
      <c r="NWU4" s="43"/>
      <c r="NWV4" s="44"/>
      <c r="NWW4" s="44"/>
      <c r="NWX4" s="44"/>
      <c r="NWY4" s="44"/>
      <c r="NWZ4" s="44"/>
      <c r="NXA4" s="44"/>
      <c r="NXB4" s="44"/>
      <c r="NXC4" s="44"/>
      <c r="NXD4" s="44"/>
      <c r="NXE4" s="44"/>
      <c r="NXF4" s="44"/>
      <c r="NXG4" s="44"/>
      <c r="NXH4" s="44"/>
      <c r="NXI4" s="44"/>
      <c r="NXJ4" s="43"/>
      <c r="NXK4" s="44"/>
      <c r="NXL4" s="44"/>
      <c r="NXM4" s="44"/>
      <c r="NXN4" s="44"/>
      <c r="NXO4" s="44"/>
      <c r="NXP4" s="44"/>
      <c r="NXQ4" s="44"/>
      <c r="NXR4" s="44"/>
      <c r="NXS4" s="44"/>
      <c r="NXT4" s="44"/>
      <c r="NXU4" s="44"/>
      <c r="NXV4" s="44"/>
      <c r="NXW4" s="44"/>
      <c r="NXX4" s="44"/>
      <c r="NXY4" s="43"/>
      <c r="NXZ4" s="44"/>
      <c r="NYA4" s="44"/>
      <c r="NYB4" s="44"/>
      <c r="NYC4" s="44"/>
      <c r="NYD4" s="44"/>
      <c r="NYE4" s="44"/>
      <c r="NYF4" s="44"/>
      <c r="NYG4" s="44"/>
      <c r="NYH4" s="44"/>
      <c r="NYI4" s="44"/>
      <c r="NYJ4" s="44"/>
      <c r="NYK4" s="44"/>
      <c r="NYL4" s="44"/>
      <c r="NYM4" s="44"/>
      <c r="NYN4" s="43"/>
      <c r="NYO4" s="44"/>
      <c r="NYP4" s="44"/>
      <c r="NYQ4" s="44"/>
      <c r="NYR4" s="44"/>
      <c r="NYS4" s="44"/>
      <c r="NYT4" s="44"/>
      <c r="NYU4" s="44"/>
      <c r="NYV4" s="44"/>
      <c r="NYW4" s="44"/>
      <c r="NYX4" s="44"/>
      <c r="NYY4" s="44"/>
      <c r="NYZ4" s="44"/>
      <c r="NZA4" s="44"/>
      <c r="NZB4" s="44"/>
      <c r="NZC4" s="43"/>
      <c r="NZD4" s="44"/>
      <c r="NZE4" s="44"/>
      <c r="NZF4" s="44"/>
      <c r="NZG4" s="44"/>
      <c r="NZH4" s="44"/>
      <c r="NZI4" s="44"/>
      <c r="NZJ4" s="44"/>
      <c r="NZK4" s="44"/>
      <c r="NZL4" s="44"/>
      <c r="NZM4" s="44"/>
      <c r="NZN4" s="44"/>
      <c r="NZO4" s="44"/>
      <c r="NZP4" s="44"/>
      <c r="NZQ4" s="44"/>
      <c r="NZR4" s="43"/>
      <c r="NZS4" s="44"/>
      <c r="NZT4" s="44"/>
      <c r="NZU4" s="44"/>
      <c r="NZV4" s="44"/>
      <c r="NZW4" s="44"/>
      <c r="NZX4" s="44"/>
      <c r="NZY4" s="44"/>
      <c r="NZZ4" s="44"/>
      <c r="OAA4" s="44"/>
      <c r="OAB4" s="44"/>
      <c r="OAC4" s="44"/>
      <c r="OAD4" s="44"/>
      <c r="OAE4" s="44"/>
      <c r="OAF4" s="44"/>
      <c r="OAG4" s="43"/>
      <c r="OAH4" s="44"/>
      <c r="OAI4" s="44"/>
      <c r="OAJ4" s="44"/>
      <c r="OAK4" s="44"/>
      <c r="OAL4" s="44"/>
      <c r="OAM4" s="44"/>
      <c r="OAN4" s="44"/>
      <c r="OAO4" s="44"/>
      <c r="OAP4" s="44"/>
      <c r="OAQ4" s="44"/>
      <c r="OAR4" s="44"/>
      <c r="OAS4" s="44"/>
      <c r="OAT4" s="44"/>
      <c r="OAU4" s="44"/>
      <c r="OAV4" s="43"/>
      <c r="OAW4" s="44"/>
      <c r="OAX4" s="44"/>
      <c r="OAY4" s="44"/>
      <c r="OAZ4" s="44"/>
      <c r="OBA4" s="44"/>
      <c r="OBB4" s="44"/>
      <c r="OBC4" s="44"/>
      <c r="OBD4" s="44"/>
      <c r="OBE4" s="44"/>
      <c r="OBF4" s="44"/>
      <c r="OBG4" s="44"/>
      <c r="OBH4" s="44"/>
      <c r="OBI4" s="44"/>
      <c r="OBJ4" s="44"/>
      <c r="OBK4" s="43"/>
      <c r="OBL4" s="44"/>
      <c r="OBM4" s="44"/>
      <c r="OBN4" s="44"/>
      <c r="OBO4" s="44"/>
      <c r="OBP4" s="44"/>
      <c r="OBQ4" s="44"/>
      <c r="OBR4" s="44"/>
      <c r="OBS4" s="44"/>
      <c r="OBT4" s="44"/>
      <c r="OBU4" s="44"/>
      <c r="OBV4" s="44"/>
      <c r="OBW4" s="44"/>
      <c r="OBX4" s="44"/>
      <c r="OBY4" s="44"/>
      <c r="OBZ4" s="43"/>
      <c r="OCA4" s="44"/>
      <c r="OCB4" s="44"/>
      <c r="OCC4" s="44"/>
      <c r="OCD4" s="44"/>
      <c r="OCE4" s="44"/>
      <c r="OCF4" s="44"/>
      <c r="OCG4" s="44"/>
      <c r="OCH4" s="44"/>
      <c r="OCI4" s="44"/>
      <c r="OCJ4" s="44"/>
      <c r="OCK4" s="44"/>
      <c r="OCL4" s="44"/>
      <c r="OCM4" s="44"/>
      <c r="OCN4" s="44"/>
      <c r="OCO4" s="43"/>
      <c r="OCP4" s="44"/>
      <c r="OCQ4" s="44"/>
      <c r="OCR4" s="44"/>
      <c r="OCS4" s="44"/>
      <c r="OCT4" s="44"/>
      <c r="OCU4" s="44"/>
      <c r="OCV4" s="44"/>
      <c r="OCW4" s="44"/>
      <c r="OCX4" s="44"/>
      <c r="OCY4" s="44"/>
      <c r="OCZ4" s="44"/>
      <c r="ODA4" s="44"/>
      <c r="ODB4" s="44"/>
      <c r="ODC4" s="44"/>
      <c r="ODD4" s="43"/>
      <c r="ODE4" s="44"/>
      <c r="ODF4" s="44"/>
      <c r="ODG4" s="44"/>
      <c r="ODH4" s="44"/>
      <c r="ODI4" s="44"/>
      <c r="ODJ4" s="44"/>
      <c r="ODK4" s="44"/>
      <c r="ODL4" s="44"/>
      <c r="ODM4" s="44"/>
      <c r="ODN4" s="44"/>
      <c r="ODO4" s="44"/>
      <c r="ODP4" s="44"/>
      <c r="ODQ4" s="44"/>
      <c r="ODR4" s="44"/>
      <c r="ODS4" s="43"/>
      <c r="ODT4" s="44"/>
      <c r="ODU4" s="44"/>
      <c r="ODV4" s="44"/>
      <c r="ODW4" s="44"/>
      <c r="ODX4" s="44"/>
      <c r="ODY4" s="44"/>
      <c r="ODZ4" s="44"/>
      <c r="OEA4" s="44"/>
      <c r="OEB4" s="44"/>
      <c r="OEC4" s="44"/>
      <c r="OED4" s="44"/>
      <c r="OEE4" s="44"/>
      <c r="OEF4" s="44"/>
      <c r="OEG4" s="44"/>
      <c r="OEH4" s="43"/>
      <c r="OEI4" s="44"/>
      <c r="OEJ4" s="44"/>
      <c r="OEK4" s="44"/>
      <c r="OEL4" s="44"/>
      <c r="OEM4" s="44"/>
      <c r="OEN4" s="44"/>
      <c r="OEO4" s="44"/>
      <c r="OEP4" s="44"/>
      <c r="OEQ4" s="44"/>
      <c r="OER4" s="44"/>
      <c r="OES4" s="44"/>
      <c r="OET4" s="44"/>
      <c r="OEU4" s="44"/>
      <c r="OEV4" s="44"/>
      <c r="OEW4" s="43"/>
      <c r="OEX4" s="44"/>
      <c r="OEY4" s="44"/>
      <c r="OEZ4" s="44"/>
      <c r="OFA4" s="44"/>
      <c r="OFB4" s="44"/>
      <c r="OFC4" s="44"/>
      <c r="OFD4" s="44"/>
      <c r="OFE4" s="44"/>
      <c r="OFF4" s="44"/>
      <c r="OFG4" s="44"/>
      <c r="OFH4" s="44"/>
      <c r="OFI4" s="44"/>
      <c r="OFJ4" s="44"/>
      <c r="OFK4" s="44"/>
      <c r="OFL4" s="43"/>
      <c r="OFM4" s="44"/>
      <c r="OFN4" s="44"/>
      <c r="OFO4" s="44"/>
      <c r="OFP4" s="44"/>
      <c r="OFQ4" s="44"/>
      <c r="OFR4" s="44"/>
      <c r="OFS4" s="44"/>
      <c r="OFT4" s="44"/>
      <c r="OFU4" s="44"/>
      <c r="OFV4" s="44"/>
      <c r="OFW4" s="44"/>
      <c r="OFX4" s="44"/>
      <c r="OFY4" s="44"/>
      <c r="OFZ4" s="44"/>
      <c r="OGA4" s="43"/>
      <c r="OGB4" s="44"/>
      <c r="OGC4" s="44"/>
      <c r="OGD4" s="44"/>
      <c r="OGE4" s="44"/>
      <c r="OGF4" s="44"/>
      <c r="OGG4" s="44"/>
      <c r="OGH4" s="44"/>
      <c r="OGI4" s="44"/>
      <c r="OGJ4" s="44"/>
      <c r="OGK4" s="44"/>
      <c r="OGL4" s="44"/>
      <c r="OGM4" s="44"/>
      <c r="OGN4" s="44"/>
      <c r="OGO4" s="44"/>
      <c r="OGP4" s="43"/>
      <c r="OGQ4" s="44"/>
      <c r="OGR4" s="44"/>
      <c r="OGS4" s="44"/>
      <c r="OGT4" s="44"/>
      <c r="OGU4" s="44"/>
      <c r="OGV4" s="44"/>
      <c r="OGW4" s="44"/>
      <c r="OGX4" s="44"/>
      <c r="OGY4" s="44"/>
      <c r="OGZ4" s="44"/>
      <c r="OHA4" s="44"/>
      <c r="OHB4" s="44"/>
      <c r="OHC4" s="44"/>
      <c r="OHD4" s="44"/>
      <c r="OHE4" s="43"/>
      <c r="OHF4" s="44"/>
      <c r="OHG4" s="44"/>
      <c r="OHH4" s="44"/>
      <c r="OHI4" s="44"/>
      <c r="OHJ4" s="44"/>
      <c r="OHK4" s="44"/>
      <c r="OHL4" s="44"/>
      <c r="OHM4" s="44"/>
      <c r="OHN4" s="44"/>
      <c r="OHO4" s="44"/>
      <c r="OHP4" s="44"/>
      <c r="OHQ4" s="44"/>
      <c r="OHR4" s="44"/>
      <c r="OHS4" s="44"/>
      <c r="OHT4" s="43"/>
      <c r="OHU4" s="44"/>
      <c r="OHV4" s="44"/>
      <c r="OHW4" s="44"/>
      <c r="OHX4" s="44"/>
      <c r="OHY4" s="44"/>
      <c r="OHZ4" s="44"/>
      <c r="OIA4" s="44"/>
      <c r="OIB4" s="44"/>
      <c r="OIC4" s="44"/>
      <c r="OID4" s="44"/>
      <c r="OIE4" s="44"/>
      <c r="OIF4" s="44"/>
      <c r="OIG4" s="44"/>
      <c r="OIH4" s="44"/>
      <c r="OII4" s="43"/>
      <c r="OIJ4" s="44"/>
      <c r="OIK4" s="44"/>
      <c r="OIL4" s="44"/>
      <c r="OIM4" s="44"/>
      <c r="OIN4" s="44"/>
      <c r="OIO4" s="44"/>
      <c r="OIP4" s="44"/>
      <c r="OIQ4" s="44"/>
      <c r="OIR4" s="44"/>
      <c r="OIS4" s="44"/>
      <c r="OIT4" s="44"/>
      <c r="OIU4" s="44"/>
      <c r="OIV4" s="44"/>
      <c r="OIW4" s="44"/>
      <c r="OIX4" s="43"/>
      <c r="OIY4" s="44"/>
      <c r="OIZ4" s="44"/>
      <c r="OJA4" s="44"/>
      <c r="OJB4" s="44"/>
      <c r="OJC4" s="44"/>
      <c r="OJD4" s="44"/>
      <c r="OJE4" s="44"/>
      <c r="OJF4" s="44"/>
      <c r="OJG4" s="44"/>
      <c r="OJH4" s="44"/>
      <c r="OJI4" s="44"/>
      <c r="OJJ4" s="44"/>
      <c r="OJK4" s="44"/>
      <c r="OJL4" s="44"/>
      <c r="OJM4" s="43"/>
      <c r="OJN4" s="44"/>
      <c r="OJO4" s="44"/>
      <c r="OJP4" s="44"/>
      <c r="OJQ4" s="44"/>
      <c r="OJR4" s="44"/>
      <c r="OJS4" s="44"/>
      <c r="OJT4" s="44"/>
      <c r="OJU4" s="44"/>
      <c r="OJV4" s="44"/>
      <c r="OJW4" s="44"/>
      <c r="OJX4" s="44"/>
      <c r="OJY4" s="44"/>
      <c r="OJZ4" s="44"/>
      <c r="OKA4" s="44"/>
      <c r="OKB4" s="43"/>
      <c r="OKC4" s="44"/>
      <c r="OKD4" s="44"/>
      <c r="OKE4" s="44"/>
      <c r="OKF4" s="44"/>
      <c r="OKG4" s="44"/>
      <c r="OKH4" s="44"/>
      <c r="OKI4" s="44"/>
      <c r="OKJ4" s="44"/>
      <c r="OKK4" s="44"/>
      <c r="OKL4" s="44"/>
      <c r="OKM4" s="44"/>
      <c r="OKN4" s="44"/>
      <c r="OKO4" s="44"/>
      <c r="OKP4" s="44"/>
      <c r="OKQ4" s="43"/>
      <c r="OKR4" s="44"/>
      <c r="OKS4" s="44"/>
      <c r="OKT4" s="44"/>
      <c r="OKU4" s="44"/>
      <c r="OKV4" s="44"/>
      <c r="OKW4" s="44"/>
      <c r="OKX4" s="44"/>
      <c r="OKY4" s="44"/>
      <c r="OKZ4" s="44"/>
      <c r="OLA4" s="44"/>
      <c r="OLB4" s="44"/>
      <c r="OLC4" s="44"/>
      <c r="OLD4" s="44"/>
      <c r="OLE4" s="44"/>
      <c r="OLF4" s="43"/>
      <c r="OLG4" s="44"/>
      <c r="OLH4" s="44"/>
      <c r="OLI4" s="44"/>
      <c r="OLJ4" s="44"/>
      <c r="OLK4" s="44"/>
      <c r="OLL4" s="44"/>
      <c r="OLM4" s="44"/>
      <c r="OLN4" s="44"/>
      <c r="OLO4" s="44"/>
      <c r="OLP4" s="44"/>
      <c r="OLQ4" s="44"/>
      <c r="OLR4" s="44"/>
      <c r="OLS4" s="44"/>
      <c r="OLT4" s="44"/>
      <c r="OLU4" s="43"/>
      <c r="OLV4" s="44"/>
      <c r="OLW4" s="44"/>
      <c r="OLX4" s="44"/>
      <c r="OLY4" s="44"/>
      <c r="OLZ4" s="44"/>
      <c r="OMA4" s="44"/>
      <c r="OMB4" s="44"/>
      <c r="OMC4" s="44"/>
      <c r="OMD4" s="44"/>
      <c r="OME4" s="44"/>
      <c r="OMF4" s="44"/>
      <c r="OMG4" s="44"/>
      <c r="OMH4" s="44"/>
      <c r="OMI4" s="44"/>
      <c r="OMJ4" s="43"/>
      <c r="OMK4" s="44"/>
      <c r="OML4" s="44"/>
      <c r="OMM4" s="44"/>
      <c r="OMN4" s="44"/>
      <c r="OMO4" s="44"/>
      <c r="OMP4" s="44"/>
      <c r="OMQ4" s="44"/>
      <c r="OMR4" s="44"/>
      <c r="OMS4" s="44"/>
      <c r="OMT4" s="44"/>
      <c r="OMU4" s="44"/>
      <c r="OMV4" s="44"/>
      <c r="OMW4" s="44"/>
      <c r="OMX4" s="44"/>
      <c r="OMY4" s="43"/>
      <c r="OMZ4" s="44"/>
      <c r="ONA4" s="44"/>
      <c r="ONB4" s="44"/>
      <c r="ONC4" s="44"/>
      <c r="OND4" s="44"/>
      <c r="ONE4" s="44"/>
      <c r="ONF4" s="44"/>
      <c r="ONG4" s="44"/>
      <c r="ONH4" s="44"/>
      <c r="ONI4" s="44"/>
      <c r="ONJ4" s="44"/>
      <c r="ONK4" s="44"/>
      <c r="ONL4" s="44"/>
      <c r="ONM4" s="44"/>
      <c r="ONN4" s="43"/>
      <c r="ONO4" s="44"/>
      <c r="ONP4" s="44"/>
      <c r="ONQ4" s="44"/>
      <c r="ONR4" s="44"/>
      <c r="ONS4" s="44"/>
      <c r="ONT4" s="44"/>
      <c r="ONU4" s="44"/>
      <c r="ONV4" s="44"/>
      <c r="ONW4" s="44"/>
      <c r="ONX4" s="44"/>
      <c r="ONY4" s="44"/>
      <c r="ONZ4" s="44"/>
      <c r="OOA4" s="44"/>
      <c r="OOB4" s="44"/>
      <c r="OOC4" s="43"/>
      <c r="OOD4" s="44"/>
      <c r="OOE4" s="44"/>
      <c r="OOF4" s="44"/>
      <c r="OOG4" s="44"/>
      <c r="OOH4" s="44"/>
      <c r="OOI4" s="44"/>
      <c r="OOJ4" s="44"/>
      <c r="OOK4" s="44"/>
      <c r="OOL4" s="44"/>
      <c r="OOM4" s="44"/>
      <c r="OON4" s="44"/>
      <c r="OOO4" s="44"/>
      <c r="OOP4" s="44"/>
      <c r="OOQ4" s="44"/>
      <c r="OOR4" s="43"/>
      <c r="OOS4" s="44"/>
      <c r="OOT4" s="44"/>
      <c r="OOU4" s="44"/>
      <c r="OOV4" s="44"/>
      <c r="OOW4" s="44"/>
      <c r="OOX4" s="44"/>
      <c r="OOY4" s="44"/>
      <c r="OOZ4" s="44"/>
      <c r="OPA4" s="44"/>
      <c r="OPB4" s="44"/>
      <c r="OPC4" s="44"/>
      <c r="OPD4" s="44"/>
      <c r="OPE4" s="44"/>
      <c r="OPF4" s="44"/>
      <c r="OPG4" s="43"/>
      <c r="OPH4" s="44"/>
      <c r="OPI4" s="44"/>
      <c r="OPJ4" s="44"/>
      <c r="OPK4" s="44"/>
      <c r="OPL4" s="44"/>
      <c r="OPM4" s="44"/>
      <c r="OPN4" s="44"/>
      <c r="OPO4" s="44"/>
      <c r="OPP4" s="44"/>
      <c r="OPQ4" s="44"/>
      <c r="OPR4" s="44"/>
      <c r="OPS4" s="44"/>
      <c r="OPT4" s="44"/>
      <c r="OPU4" s="44"/>
      <c r="OPV4" s="43"/>
      <c r="OPW4" s="44"/>
      <c r="OPX4" s="44"/>
      <c r="OPY4" s="44"/>
      <c r="OPZ4" s="44"/>
      <c r="OQA4" s="44"/>
      <c r="OQB4" s="44"/>
      <c r="OQC4" s="44"/>
      <c r="OQD4" s="44"/>
      <c r="OQE4" s="44"/>
      <c r="OQF4" s="44"/>
      <c r="OQG4" s="44"/>
      <c r="OQH4" s="44"/>
      <c r="OQI4" s="44"/>
      <c r="OQJ4" s="44"/>
      <c r="OQK4" s="43"/>
      <c r="OQL4" s="44"/>
      <c r="OQM4" s="44"/>
      <c r="OQN4" s="44"/>
      <c r="OQO4" s="44"/>
      <c r="OQP4" s="44"/>
      <c r="OQQ4" s="44"/>
      <c r="OQR4" s="44"/>
      <c r="OQS4" s="44"/>
      <c r="OQT4" s="44"/>
      <c r="OQU4" s="44"/>
      <c r="OQV4" s="44"/>
      <c r="OQW4" s="44"/>
      <c r="OQX4" s="44"/>
      <c r="OQY4" s="44"/>
      <c r="OQZ4" s="43"/>
      <c r="ORA4" s="44"/>
      <c r="ORB4" s="44"/>
      <c r="ORC4" s="44"/>
      <c r="ORD4" s="44"/>
      <c r="ORE4" s="44"/>
      <c r="ORF4" s="44"/>
      <c r="ORG4" s="44"/>
      <c r="ORH4" s="44"/>
      <c r="ORI4" s="44"/>
      <c r="ORJ4" s="44"/>
      <c r="ORK4" s="44"/>
      <c r="ORL4" s="44"/>
      <c r="ORM4" s="44"/>
      <c r="ORN4" s="44"/>
      <c r="ORO4" s="43"/>
      <c r="ORP4" s="44"/>
      <c r="ORQ4" s="44"/>
      <c r="ORR4" s="44"/>
      <c r="ORS4" s="44"/>
      <c r="ORT4" s="44"/>
      <c r="ORU4" s="44"/>
      <c r="ORV4" s="44"/>
      <c r="ORW4" s="44"/>
      <c r="ORX4" s="44"/>
      <c r="ORY4" s="44"/>
      <c r="ORZ4" s="44"/>
      <c r="OSA4" s="44"/>
      <c r="OSB4" s="44"/>
      <c r="OSC4" s="44"/>
      <c r="OSD4" s="43"/>
      <c r="OSE4" s="44"/>
      <c r="OSF4" s="44"/>
      <c r="OSG4" s="44"/>
      <c r="OSH4" s="44"/>
      <c r="OSI4" s="44"/>
      <c r="OSJ4" s="44"/>
      <c r="OSK4" s="44"/>
      <c r="OSL4" s="44"/>
      <c r="OSM4" s="44"/>
      <c r="OSN4" s="44"/>
      <c r="OSO4" s="44"/>
      <c r="OSP4" s="44"/>
      <c r="OSQ4" s="44"/>
      <c r="OSR4" s="44"/>
      <c r="OSS4" s="43"/>
      <c r="OST4" s="44"/>
      <c r="OSU4" s="44"/>
      <c r="OSV4" s="44"/>
      <c r="OSW4" s="44"/>
      <c r="OSX4" s="44"/>
      <c r="OSY4" s="44"/>
      <c r="OSZ4" s="44"/>
      <c r="OTA4" s="44"/>
      <c r="OTB4" s="44"/>
      <c r="OTC4" s="44"/>
      <c r="OTD4" s="44"/>
      <c r="OTE4" s="44"/>
      <c r="OTF4" s="44"/>
      <c r="OTG4" s="44"/>
      <c r="OTH4" s="43"/>
      <c r="OTI4" s="44"/>
      <c r="OTJ4" s="44"/>
      <c r="OTK4" s="44"/>
      <c r="OTL4" s="44"/>
      <c r="OTM4" s="44"/>
      <c r="OTN4" s="44"/>
      <c r="OTO4" s="44"/>
      <c r="OTP4" s="44"/>
      <c r="OTQ4" s="44"/>
      <c r="OTR4" s="44"/>
      <c r="OTS4" s="44"/>
      <c r="OTT4" s="44"/>
      <c r="OTU4" s="44"/>
      <c r="OTV4" s="44"/>
      <c r="OTW4" s="43"/>
      <c r="OTX4" s="44"/>
      <c r="OTY4" s="44"/>
      <c r="OTZ4" s="44"/>
      <c r="OUA4" s="44"/>
      <c r="OUB4" s="44"/>
      <c r="OUC4" s="44"/>
      <c r="OUD4" s="44"/>
      <c r="OUE4" s="44"/>
      <c r="OUF4" s="44"/>
      <c r="OUG4" s="44"/>
      <c r="OUH4" s="44"/>
      <c r="OUI4" s="44"/>
      <c r="OUJ4" s="44"/>
      <c r="OUK4" s="44"/>
      <c r="OUL4" s="43"/>
      <c r="OUM4" s="44"/>
      <c r="OUN4" s="44"/>
      <c r="OUO4" s="44"/>
      <c r="OUP4" s="44"/>
      <c r="OUQ4" s="44"/>
      <c r="OUR4" s="44"/>
      <c r="OUS4" s="44"/>
      <c r="OUT4" s="44"/>
      <c r="OUU4" s="44"/>
      <c r="OUV4" s="44"/>
      <c r="OUW4" s="44"/>
      <c r="OUX4" s="44"/>
      <c r="OUY4" s="44"/>
      <c r="OUZ4" s="44"/>
      <c r="OVA4" s="43"/>
      <c r="OVB4" s="44"/>
      <c r="OVC4" s="44"/>
      <c r="OVD4" s="44"/>
      <c r="OVE4" s="44"/>
      <c r="OVF4" s="44"/>
      <c r="OVG4" s="44"/>
      <c r="OVH4" s="44"/>
      <c r="OVI4" s="44"/>
      <c r="OVJ4" s="44"/>
      <c r="OVK4" s="44"/>
      <c r="OVL4" s="44"/>
      <c r="OVM4" s="44"/>
      <c r="OVN4" s="44"/>
      <c r="OVO4" s="44"/>
      <c r="OVP4" s="43"/>
      <c r="OVQ4" s="44"/>
      <c r="OVR4" s="44"/>
      <c r="OVS4" s="44"/>
      <c r="OVT4" s="44"/>
      <c r="OVU4" s="44"/>
      <c r="OVV4" s="44"/>
      <c r="OVW4" s="44"/>
      <c r="OVX4" s="44"/>
      <c r="OVY4" s="44"/>
      <c r="OVZ4" s="44"/>
      <c r="OWA4" s="44"/>
      <c r="OWB4" s="44"/>
      <c r="OWC4" s="44"/>
      <c r="OWD4" s="44"/>
      <c r="OWE4" s="43"/>
      <c r="OWF4" s="44"/>
      <c r="OWG4" s="44"/>
      <c r="OWH4" s="44"/>
      <c r="OWI4" s="44"/>
      <c r="OWJ4" s="44"/>
      <c r="OWK4" s="44"/>
      <c r="OWL4" s="44"/>
      <c r="OWM4" s="44"/>
      <c r="OWN4" s="44"/>
      <c r="OWO4" s="44"/>
      <c r="OWP4" s="44"/>
      <c r="OWQ4" s="44"/>
      <c r="OWR4" s="44"/>
      <c r="OWS4" s="44"/>
      <c r="OWT4" s="43"/>
      <c r="OWU4" s="44"/>
      <c r="OWV4" s="44"/>
      <c r="OWW4" s="44"/>
      <c r="OWX4" s="44"/>
      <c r="OWY4" s="44"/>
      <c r="OWZ4" s="44"/>
      <c r="OXA4" s="44"/>
      <c r="OXB4" s="44"/>
      <c r="OXC4" s="44"/>
      <c r="OXD4" s="44"/>
      <c r="OXE4" s="44"/>
      <c r="OXF4" s="44"/>
      <c r="OXG4" s="44"/>
      <c r="OXH4" s="44"/>
      <c r="OXI4" s="43"/>
      <c r="OXJ4" s="44"/>
      <c r="OXK4" s="44"/>
      <c r="OXL4" s="44"/>
      <c r="OXM4" s="44"/>
      <c r="OXN4" s="44"/>
      <c r="OXO4" s="44"/>
      <c r="OXP4" s="44"/>
      <c r="OXQ4" s="44"/>
      <c r="OXR4" s="44"/>
      <c r="OXS4" s="44"/>
      <c r="OXT4" s="44"/>
      <c r="OXU4" s="44"/>
      <c r="OXV4" s="44"/>
      <c r="OXW4" s="44"/>
      <c r="OXX4" s="43"/>
      <c r="OXY4" s="44"/>
      <c r="OXZ4" s="44"/>
      <c r="OYA4" s="44"/>
      <c r="OYB4" s="44"/>
      <c r="OYC4" s="44"/>
      <c r="OYD4" s="44"/>
      <c r="OYE4" s="44"/>
      <c r="OYF4" s="44"/>
      <c r="OYG4" s="44"/>
      <c r="OYH4" s="44"/>
      <c r="OYI4" s="44"/>
      <c r="OYJ4" s="44"/>
      <c r="OYK4" s="44"/>
      <c r="OYL4" s="44"/>
      <c r="OYM4" s="43"/>
      <c r="OYN4" s="44"/>
      <c r="OYO4" s="44"/>
      <c r="OYP4" s="44"/>
      <c r="OYQ4" s="44"/>
      <c r="OYR4" s="44"/>
      <c r="OYS4" s="44"/>
      <c r="OYT4" s="44"/>
      <c r="OYU4" s="44"/>
      <c r="OYV4" s="44"/>
      <c r="OYW4" s="44"/>
      <c r="OYX4" s="44"/>
      <c r="OYY4" s="44"/>
      <c r="OYZ4" s="44"/>
      <c r="OZA4" s="44"/>
      <c r="OZB4" s="43"/>
      <c r="OZC4" s="44"/>
      <c r="OZD4" s="44"/>
      <c r="OZE4" s="44"/>
      <c r="OZF4" s="44"/>
      <c r="OZG4" s="44"/>
      <c r="OZH4" s="44"/>
      <c r="OZI4" s="44"/>
      <c r="OZJ4" s="44"/>
      <c r="OZK4" s="44"/>
      <c r="OZL4" s="44"/>
      <c r="OZM4" s="44"/>
      <c r="OZN4" s="44"/>
      <c r="OZO4" s="44"/>
      <c r="OZP4" s="44"/>
      <c r="OZQ4" s="43"/>
      <c r="OZR4" s="44"/>
      <c r="OZS4" s="44"/>
      <c r="OZT4" s="44"/>
      <c r="OZU4" s="44"/>
      <c r="OZV4" s="44"/>
      <c r="OZW4" s="44"/>
      <c r="OZX4" s="44"/>
      <c r="OZY4" s="44"/>
      <c r="OZZ4" s="44"/>
      <c r="PAA4" s="44"/>
      <c r="PAB4" s="44"/>
      <c r="PAC4" s="44"/>
      <c r="PAD4" s="44"/>
      <c r="PAE4" s="44"/>
      <c r="PAF4" s="43"/>
      <c r="PAG4" s="44"/>
      <c r="PAH4" s="44"/>
      <c r="PAI4" s="44"/>
      <c r="PAJ4" s="44"/>
      <c r="PAK4" s="44"/>
      <c r="PAL4" s="44"/>
      <c r="PAM4" s="44"/>
      <c r="PAN4" s="44"/>
      <c r="PAO4" s="44"/>
      <c r="PAP4" s="44"/>
      <c r="PAQ4" s="44"/>
      <c r="PAR4" s="44"/>
      <c r="PAS4" s="44"/>
      <c r="PAT4" s="44"/>
      <c r="PAU4" s="43"/>
      <c r="PAV4" s="44"/>
      <c r="PAW4" s="44"/>
      <c r="PAX4" s="44"/>
      <c r="PAY4" s="44"/>
      <c r="PAZ4" s="44"/>
      <c r="PBA4" s="44"/>
      <c r="PBB4" s="44"/>
      <c r="PBC4" s="44"/>
      <c r="PBD4" s="44"/>
      <c r="PBE4" s="44"/>
      <c r="PBF4" s="44"/>
      <c r="PBG4" s="44"/>
      <c r="PBH4" s="44"/>
      <c r="PBI4" s="44"/>
      <c r="PBJ4" s="43"/>
      <c r="PBK4" s="44"/>
      <c r="PBL4" s="44"/>
      <c r="PBM4" s="44"/>
      <c r="PBN4" s="44"/>
      <c r="PBO4" s="44"/>
      <c r="PBP4" s="44"/>
      <c r="PBQ4" s="44"/>
      <c r="PBR4" s="44"/>
      <c r="PBS4" s="44"/>
      <c r="PBT4" s="44"/>
      <c r="PBU4" s="44"/>
      <c r="PBV4" s="44"/>
      <c r="PBW4" s="44"/>
      <c r="PBX4" s="44"/>
      <c r="PBY4" s="43"/>
      <c r="PBZ4" s="44"/>
      <c r="PCA4" s="44"/>
      <c r="PCB4" s="44"/>
      <c r="PCC4" s="44"/>
      <c r="PCD4" s="44"/>
      <c r="PCE4" s="44"/>
      <c r="PCF4" s="44"/>
      <c r="PCG4" s="44"/>
      <c r="PCH4" s="44"/>
      <c r="PCI4" s="44"/>
      <c r="PCJ4" s="44"/>
      <c r="PCK4" s="44"/>
      <c r="PCL4" s="44"/>
      <c r="PCM4" s="44"/>
      <c r="PCN4" s="43"/>
      <c r="PCO4" s="44"/>
      <c r="PCP4" s="44"/>
      <c r="PCQ4" s="44"/>
      <c r="PCR4" s="44"/>
      <c r="PCS4" s="44"/>
      <c r="PCT4" s="44"/>
      <c r="PCU4" s="44"/>
      <c r="PCV4" s="44"/>
      <c r="PCW4" s="44"/>
      <c r="PCX4" s="44"/>
      <c r="PCY4" s="44"/>
      <c r="PCZ4" s="44"/>
      <c r="PDA4" s="44"/>
      <c r="PDB4" s="44"/>
      <c r="PDC4" s="43"/>
      <c r="PDD4" s="44"/>
      <c r="PDE4" s="44"/>
      <c r="PDF4" s="44"/>
      <c r="PDG4" s="44"/>
      <c r="PDH4" s="44"/>
      <c r="PDI4" s="44"/>
      <c r="PDJ4" s="44"/>
      <c r="PDK4" s="44"/>
      <c r="PDL4" s="44"/>
      <c r="PDM4" s="44"/>
      <c r="PDN4" s="44"/>
      <c r="PDO4" s="44"/>
      <c r="PDP4" s="44"/>
      <c r="PDQ4" s="44"/>
      <c r="PDR4" s="43"/>
      <c r="PDS4" s="44"/>
      <c r="PDT4" s="44"/>
      <c r="PDU4" s="44"/>
      <c r="PDV4" s="44"/>
      <c r="PDW4" s="44"/>
      <c r="PDX4" s="44"/>
      <c r="PDY4" s="44"/>
      <c r="PDZ4" s="44"/>
      <c r="PEA4" s="44"/>
      <c r="PEB4" s="44"/>
      <c r="PEC4" s="44"/>
      <c r="PED4" s="44"/>
      <c r="PEE4" s="44"/>
      <c r="PEF4" s="44"/>
      <c r="PEG4" s="43"/>
      <c r="PEH4" s="44"/>
      <c r="PEI4" s="44"/>
      <c r="PEJ4" s="44"/>
      <c r="PEK4" s="44"/>
      <c r="PEL4" s="44"/>
      <c r="PEM4" s="44"/>
      <c r="PEN4" s="44"/>
      <c r="PEO4" s="44"/>
      <c r="PEP4" s="44"/>
      <c r="PEQ4" s="44"/>
      <c r="PER4" s="44"/>
      <c r="PES4" s="44"/>
      <c r="PET4" s="44"/>
      <c r="PEU4" s="44"/>
      <c r="PEV4" s="43"/>
      <c r="PEW4" s="44"/>
      <c r="PEX4" s="44"/>
      <c r="PEY4" s="44"/>
      <c r="PEZ4" s="44"/>
      <c r="PFA4" s="44"/>
      <c r="PFB4" s="44"/>
      <c r="PFC4" s="44"/>
      <c r="PFD4" s="44"/>
      <c r="PFE4" s="44"/>
      <c r="PFF4" s="44"/>
      <c r="PFG4" s="44"/>
      <c r="PFH4" s="44"/>
      <c r="PFI4" s="44"/>
      <c r="PFJ4" s="44"/>
      <c r="PFK4" s="43"/>
      <c r="PFL4" s="44"/>
      <c r="PFM4" s="44"/>
      <c r="PFN4" s="44"/>
      <c r="PFO4" s="44"/>
      <c r="PFP4" s="44"/>
      <c r="PFQ4" s="44"/>
      <c r="PFR4" s="44"/>
      <c r="PFS4" s="44"/>
      <c r="PFT4" s="44"/>
      <c r="PFU4" s="44"/>
      <c r="PFV4" s="44"/>
      <c r="PFW4" s="44"/>
      <c r="PFX4" s="44"/>
      <c r="PFY4" s="44"/>
      <c r="PFZ4" s="43"/>
      <c r="PGA4" s="44"/>
      <c r="PGB4" s="44"/>
      <c r="PGC4" s="44"/>
      <c r="PGD4" s="44"/>
      <c r="PGE4" s="44"/>
      <c r="PGF4" s="44"/>
      <c r="PGG4" s="44"/>
      <c r="PGH4" s="44"/>
      <c r="PGI4" s="44"/>
      <c r="PGJ4" s="44"/>
      <c r="PGK4" s="44"/>
      <c r="PGL4" s="44"/>
      <c r="PGM4" s="44"/>
      <c r="PGN4" s="44"/>
      <c r="PGO4" s="43"/>
      <c r="PGP4" s="44"/>
      <c r="PGQ4" s="44"/>
      <c r="PGR4" s="44"/>
      <c r="PGS4" s="44"/>
      <c r="PGT4" s="44"/>
      <c r="PGU4" s="44"/>
      <c r="PGV4" s="44"/>
      <c r="PGW4" s="44"/>
      <c r="PGX4" s="44"/>
      <c r="PGY4" s="44"/>
      <c r="PGZ4" s="44"/>
      <c r="PHA4" s="44"/>
      <c r="PHB4" s="44"/>
      <c r="PHC4" s="44"/>
      <c r="PHD4" s="43"/>
      <c r="PHE4" s="44"/>
      <c r="PHF4" s="44"/>
      <c r="PHG4" s="44"/>
      <c r="PHH4" s="44"/>
      <c r="PHI4" s="44"/>
      <c r="PHJ4" s="44"/>
      <c r="PHK4" s="44"/>
      <c r="PHL4" s="44"/>
      <c r="PHM4" s="44"/>
      <c r="PHN4" s="44"/>
      <c r="PHO4" s="44"/>
      <c r="PHP4" s="44"/>
      <c r="PHQ4" s="44"/>
      <c r="PHR4" s="44"/>
      <c r="PHS4" s="43"/>
      <c r="PHT4" s="44"/>
      <c r="PHU4" s="44"/>
      <c r="PHV4" s="44"/>
      <c r="PHW4" s="44"/>
      <c r="PHX4" s="44"/>
      <c r="PHY4" s="44"/>
      <c r="PHZ4" s="44"/>
      <c r="PIA4" s="44"/>
      <c r="PIB4" s="44"/>
      <c r="PIC4" s="44"/>
      <c r="PID4" s="44"/>
      <c r="PIE4" s="44"/>
      <c r="PIF4" s="44"/>
      <c r="PIG4" s="44"/>
      <c r="PIH4" s="43"/>
      <c r="PII4" s="44"/>
      <c r="PIJ4" s="44"/>
      <c r="PIK4" s="44"/>
      <c r="PIL4" s="44"/>
      <c r="PIM4" s="44"/>
      <c r="PIN4" s="44"/>
      <c r="PIO4" s="44"/>
      <c r="PIP4" s="44"/>
      <c r="PIQ4" s="44"/>
      <c r="PIR4" s="44"/>
      <c r="PIS4" s="44"/>
      <c r="PIT4" s="44"/>
      <c r="PIU4" s="44"/>
      <c r="PIV4" s="44"/>
      <c r="PIW4" s="43"/>
      <c r="PIX4" s="44"/>
      <c r="PIY4" s="44"/>
      <c r="PIZ4" s="44"/>
      <c r="PJA4" s="44"/>
      <c r="PJB4" s="44"/>
      <c r="PJC4" s="44"/>
      <c r="PJD4" s="44"/>
      <c r="PJE4" s="44"/>
      <c r="PJF4" s="44"/>
      <c r="PJG4" s="44"/>
      <c r="PJH4" s="44"/>
      <c r="PJI4" s="44"/>
      <c r="PJJ4" s="44"/>
      <c r="PJK4" s="44"/>
      <c r="PJL4" s="43"/>
      <c r="PJM4" s="44"/>
      <c r="PJN4" s="44"/>
      <c r="PJO4" s="44"/>
      <c r="PJP4" s="44"/>
      <c r="PJQ4" s="44"/>
      <c r="PJR4" s="44"/>
      <c r="PJS4" s="44"/>
      <c r="PJT4" s="44"/>
      <c r="PJU4" s="44"/>
      <c r="PJV4" s="44"/>
      <c r="PJW4" s="44"/>
      <c r="PJX4" s="44"/>
      <c r="PJY4" s="44"/>
      <c r="PJZ4" s="44"/>
      <c r="PKA4" s="43"/>
      <c r="PKB4" s="44"/>
      <c r="PKC4" s="44"/>
      <c r="PKD4" s="44"/>
      <c r="PKE4" s="44"/>
      <c r="PKF4" s="44"/>
      <c r="PKG4" s="44"/>
      <c r="PKH4" s="44"/>
      <c r="PKI4" s="44"/>
      <c r="PKJ4" s="44"/>
      <c r="PKK4" s="44"/>
      <c r="PKL4" s="44"/>
      <c r="PKM4" s="44"/>
      <c r="PKN4" s="44"/>
      <c r="PKO4" s="44"/>
      <c r="PKP4" s="43"/>
      <c r="PKQ4" s="44"/>
      <c r="PKR4" s="44"/>
      <c r="PKS4" s="44"/>
      <c r="PKT4" s="44"/>
      <c r="PKU4" s="44"/>
      <c r="PKV4" s="44"/>
      <c r="PKW4" s="44"/>
      <c r="PKX4" s="44"/>
      <c r="PKY4" s="44"/>
      <c r="PKZ4" s="44"/>
      <c r="PLA4" s="44"/>
      <c r="PLB4" s="44"/>
      <c r="PLC4" s="44"/>
      <c r="PLD4" s="44"/>
      <c r="PLE4" s="43"/>
      <c r="PLF4" s="44"/>
      <c r="PLG4" s="44"/>
      <c r="PLH4" s="44"/>
      <c r="PLI4" s="44"/>
      <c r="PLJ4" s="44"/>
      <c r="PLK4" s="44"/>
      <c r="PLL4" s="44"/>
      <c r="PLM4" s="44"/>
      <c r="PLN4" s="44"/>
      <c r="PLO4" s="44"/>
      <c r="PLP4" s="44"/>
      <c r="PLQ4" s="44"/>
      <c r="PLR4" s="44"/>
      <c r="PLS4" s="44"/>
      <c r="PLT4" s="43"/>
      <c r="PLU4" s="44"/>
      <c r="PLV4" s="44"/>
      <c r="PLW4" s="44"/>
      <c r="PLX4" s="44"/>
      <c r="PLY4" s="44"/>
      <c r="PLZ4" s="44"/>
      <c r="PMA4" s="44"/>
      <c r="PMB4" s="44"/>
      <c r="PMC4" s="44"/>
      <c r="PMD4" s="44"/>
      <c r="PME4" s="44"/>
      <c r="PMF4" s="44"/>
      <c r="PMG4" s="44"/>
      <c r="PMH4" s="44"/>
      <c r="PMI4" s="43"/>
      <c r="PMJ4" s="44"/>
      <c r="PMK4" s="44"/>
      <c r="PML4" s="44"/>
      <c r="PMM4" s="44"/>
      <c r="PMN4" s="44"/>
      <c r="PMO4" s="44"/>
      <c r="PMP4" s="44"/>
      <c r="PMQ4" s="44"/>
      <c r="PMR4" s="44"/>
      <c r="PMS4" s="44"/>
      <c r="PMT4" s="44"/>
      <c r="PMU4" s="44"/>
      <c r="PMV4" s="44"/>
      <c r="PMW4" s="44"/>
      <c r="PMX4" s="43"/>
      <c r="PMY4" s="44"/>
      <c r="PMZ4" s="44"/>
      <c r="PNA4" s="44"/>
      <c r="PNB4" s="44"/>
      <c r="PNC4" s="44"/>
      <c r="PND4" s="44"/>
      <c r="PNE4" s="44"/>
      <c r="PNF4" s="44"/>
      <c r="PNG4" s="44"/>
      <c r="PNH4" s="44"/>
      <c r="PNI4" s="44"/>
      <c r="PNJ4" s="44"/>
      <c r="PNK4" s="44"/>
      <c r="PNL4" s="44"/>
      <c r="PNM4" s="43"/>
      <c r="PNN4" s="44"/>
      <c r="PNO4" s="44"/>
      <c r="PNP4" s="44"/>
      <c r="PNQ4" s="44"/>
      <c r="PNR4" s="44"/>
      <c r="PNS4" s="44"/>
      <c r="PNT4" s="44"/>
      <c r="PNU4" s="44"/>
      <c r="PNV4" s="44"/>
      <c r="PNW4" s="44"/>
      <c r="PNX4" s="44"/>
      <c r="PNY4" s="44"/>
      <c r="PNZ4" s="44"/>
      <c r="POA4" s="44"/>
      <c r="POB4" s="43"/>
      <c r="POC4" s="44"/>
      <c r="POD4" s="44"/>
      <c r="POE4" s="44"/>
      <c r="POF4" s="44"/>
      <c r="POG4" s="44"/>
      <c r="POH4" s="44"/>
      <c r="POI4" s="44"/>
      <c r="POJ4" s="44"/>
      <c r="POK4" s="44"/>
      <c r="POL4" s="44"/>
      <c r="POM4" s="44"/>
      <c r="PON4" s="44"/>
      <c r="POO4" s="44"/>
      <c r="POP4" s="44"/>
      <c r="POQ4" s="43"/>
      <c r="POR4" s="44"/>
      <c r="POS4" s="44"/>
      <c r="POT4" s="44"/>
      <c r="POU4" s="44"/>
      <c r="POV4" s="44"/>
      <c r="POW4" s="44"/>
      <c r="POX4" s="44"/>
      <c r="POY4" s="44"/>
      <c r="POZ4" s="44"/>
      <c r="PPA4" s="44"/>
      <c r="PPB4" s="44"/>
      <c r="PPC4" s="44"/>
      <c r="PPD4" s="44"/>
      <c r="PPE4" s="44"/>
      <c r="PPF4" s="43"/>
      <c r="PPG4" s="44"/>
      <c r="PPH4" s="44"/>
      <c r="PPI4" s="44"/>
      <c r="PPJ4" s="44"/>
      <c r="PPK4" s="44"/>
      <c r="PPL4" s="44"/>
      <c r="PPM4" s="44"/>
      <c r="PPN4" s="44"/>
      <c r="PPO4" s="44"/>
      <c r="PPP4" s="44"/>
      <c r="PPQ4" s="44"/>
      <c r="PPR4" s="44"/>
      <c r="PPS4" s="44"/>
      <c r="PPT4" s="44"/>
      <c r="PPU4" s="43"/>
      <c r="PPV4" s="44"/>
      <c r="PPW4" s="44"/>
      <c r="PPX4" s="44"/>
      <c r="PPY4" s="44"/>
      <c r="PPZ4" s="44"/>
      <c r="PQA4" s="44"/>
      <c r="PQB4" s="44"/>
      <c r="PQC4" s="44"/>
      <c r="PQD4" s="44"/>
      <c r="PQE4" s="44"/>
      <c r="PQF4" s="44"/>
      <c r="PQG4" s="44"/>
      <c r="PQH4" s="44"/>
      <c r="PQI4" s="44"/>
      <c r="PQJ4" s="43"/>
      <c r="PQK4" s="44"/>
      <c r="PQL4" s="44"/>
      <c r="PQM4" s="44"/>
      <c r="PQN4" s="44"/>
      <c r="PQO4" s="44"/>
      <c r="PQP4" s="44"/>
      <c r="PQQ4" s="44"/>
      <c r="PQR4" s="44"/>
      <c r="PQS4" s="44"/>
      <c r="PQT4" s="44"/>
      <c r="PQU4" s="44"/>
      <c r="PQV4" s="44"/>
      <c r="PQW4" s="44"/>
      <c r="PQX4" s="44"/>
      <c r="PQY4" s="43"/>
      <c r="PQZ4" s="44"/>
      <c r="PRA4" s="44"/>
      <c r="PRB4" s="44"/>
      <c r="PRC4" s="44"/>
      <c r="PRD4" s="44"/>
      <c r="PRE4" s="44"/>
      <c r="PRF4" s="44"/>
      <c r="PRG4" s="44"/>
      <c r="PRH4" s="44"/>
      <c r="PRI4" s="44"/>
      <c r="PRJ4" s="44"/>
      <c r="PRK4" s="44"/>
      <c r="PRL4" s="44"/>
      <c r="PRM4" s="44"/>
      <c r="PRN4" s="43"/>
      <c r="PRO4" s="44"/>
      <c r="PRP4" s="44"/>
      <c r="PRQ4" s="44"/>
      <c r="PRR4" s="44"/>
      <c r="PRS4" s="44"/>
      <c r="PRT4" s="44"/>
      <c r="PRU4" s="44"/>
      <c r="PRV4" s="44"/>
      <c r="PRW4" s="44"/>
      <c r="PRX4" s="44"/>
      <c r="PRY4" s="44"/>
      <c r="PRZ4" s="44"/>
      <c r="PSA4" s="44"/>
      <c r="PSB4" s="44"/>
      <c r="PSC4" s="43"/>
      <c r="PSD4" s="44"/>
      <c r="PSE4" s="44"/>
      <c r="PSF4" s="44"/>
      <c r="PSG4" s="44"/>
      <c r="PSH4" s="44"/>
      <c r="PSI4" s="44"/>
      <c r="PSJ4" s="44"/>
      <c r="PSK4" s="44"/>
      <c r="PSL4" s="44"/>
      <c r="PSM4" s="44"/>
      <c r="PSN4" s="44"/>
      <c r="PSO4" s="44"/>
      <c r="PSP4" s="44"/>
      <c r="PSQ4" s="44"/>
      <c r="PSR4" s="43"/>
      <c r="PSS4" s="44"/>
      <c r="PST4" s="44"/>
      <c r="PSU4" s="44"/>
      <c r="PSV4" s="44"/>
      <c r="PSW4" s="44"/>
      <c r="PSX4" s="44"/>
      <c r="PSY4" s="44"/>
      <c r="PSZ4" s="44"/>
      <c r="PTA4" s="44"/>
      <c r="PTB4" s="44"/>
      <c r="PTC4" s="44"/>
      <c r="PTD4" s="44"/>
      <c r="PTE4" s="44"/>
      <c r="PTF4" s="44"/>
      <c r="PTG4" s="43"/>
      <c r="PTH4" s="44"/>
      <c r="PTI4" s="44"/>
      <c r="PTJ4" s="44"/>
      <c r="PTK4" s="44"/>
      <c r="PTL4" s="44"/>
      <c r="PTM4" s="44"/>
      <c r="PTN4" s="44"/>
      <c r="PTO4" s="44"/>
      <c r="PTP4" s="44"/>
      <c r="PTQ4" s="44"/>
      <c r="PTR4" s="44"/>
      <c r="PTS4" s="44"/>
      <c r="PTT4" s="44"/>
      <c r="PTU4" s="44"/>
      <c r="PTV4" s="43"/>
      <c r="PTW4" s="44"/>
      <c r="PTX4" s="44"/>
      <c r="PTY4" s="44"/>
      <c r="PTZ4" s="44"/>
      <c r="PUA4" s="44"/>
      <c r="PUB4" s="44"/>
      <c r="PUC4" s="44"/>
      <c r="PUD4" s="44"/>
      <c r="PUE4" s="44"/>
      <c r="PUF4" s="44"/>
      <c r="PUG4" s="44"/>
      <c r="PUH4" s="44"/>
      <c r="PUI4" s="44"/>
      <c r="PUJ4" s="44"/>
      <c r="PUK4" s="43"/>
      <c r="PUL4" s="44"/>
      <c r="PUM4" s="44"/>
      <c r="PUN4" s="44"/>
      <c r="PUO4" s="44"/>
      <c r="PUP4" s="44"/>
      <c r="PUQ4" s="44"/>
      <c r="PUR4" s="44"/>
      <c r="PUS4" s="44"/>
      <c r="PUT4" s="44"/>
      <c r="PUU4" s="44"/>
      <c r="PUV4" s="44"/>
      <c r="PUW4" s="44"/>
      <c r="PUX4" s="44"/>
      <c r="PUY4" s="44"/>
      <c r="PUZ4" s="43"/>
      <c r="PVA4" s="44"/>
      <c r="PVB4" s="44"/>
      <c r="PVC4" s="44"/>
      <c r="PVD4" s="44"/>
      <c r="PVE4" s="44"/>
      <c r="PVF4" s="44"/>
      <c r="PVG4" s="44"/>
      <c r="PVH4" s="44"/>
      <c r="PVI4" s="44"/>
      <c r="PVJ4" s="44"/>
      <c r="PVK4" s="44"/>
      <c r="PVL4" s="44"/>
      <c r="PVM4" s="44"/>
      <c r="PVN4" s="44"/>
      <c r="PVO4" s="43"/>
      <c r="PVP4" s="44"/>
      <c r="PVQ4" s="44"/>
      <c r="PVR4" s="44"/>
      <c r="PVS4" s="44"/>
      <c r="PVT4" s="44"/>
      <c r="PVU4" s="44"/>
      <c r="PVV4" s="44"/>
      <c r="PVW4" s="44"/>
      <c r="PVX4" s="44"/>
      <c r="PVY4" s="44"/>
      <c r="PVZ4" s="44"/>
      <c r="PWA4" s="44"/>
      <c r="PWB4" s="44"/>
      <c r="PWC4" s="44"/>
      <c r="PWD4" s="43"/>
      <c r="PWE4" s="44"/>
      <c r="PWF4" s="44"/>
      <c r="PWG4" s="44"/>
      <c r="PWH4" s="44"/>
      <c r="PWI4" s="44"/>
      <c r="PWJ4" s="44"/>
      <c r="PWK4" s="44"/>
      <c r="PWL4" s="44"/>
      <c r="PWM4" s="44"/>
      <c r="PWN4" s="44"/>
      <c r="PWO4" s="44"/>
      <c r="PWP4" s="44"/>
      <c r="PWQ4" s="44"/>
      <c r="PWR4" s="44"/>
      <c r="PWS4" s="43"/>
      <c r="PWT4" s="44"/>
      <c r="PWU4" s="44"/>
      <c r="PWV4" s="44"/>
      <c r="PWW4" s="44"/>
      <c r="PWX4" s="44"/>
      <c r="PWY4" s="44"/>
      <c r="PWZ4" s="44"/>
      <c r="PXA4" s="44"/>
      <c r="PXB4" s="44"/>
      <c r="PXC4" s="44"/>
      <c r="PXD4" s="44"/>
      <c r="PXE4" s="44"/>
      <c r="PXF4" s="44"/>
      <c r="PXG4" s="44"/>
      <c r="PXH4" s="43"/>
      <c r="PXI4" s="44"/>
      <c r="PXJ4" s="44"/>
      <c r="PXK4" s="44"/>
      <c r="PXL4" s="44"/>
      <c r="PXM4" s="44"/>
      <c r="PXN4" s="44"/>
      <c r="PXO4" s="44"/>
      <c r="PXP4" s="44"/>
      <c r="PXQ4" s="44"/>
      <c r="PXR4" s="44"/>
      <c r="PXS4" s="44"/>
      <c r="PXT4" s="44"/>
      <c r="PXU4" s="44"/>
      <c r="PXV4" s="44"/>
      <c r="PXW4" s="43"/>
      <c r="PXX4" s="44"/>
      <c r="PXY4" s="44"/>
      <c r="PXZ4" s="44"/>
      <c r="PYA4" s="44"/>
      <c r="PYB4" s="44"/>
      <c r="PYC4" s="44"/>
      <c r="PYD4" s="44"/>
      <c r="PYE4" s="44"/>
      <c r="PYF4" s="44"/>
      <c r="PYG4" s="44"/>
      <c r="PYH4" s="44"/>
      <c r="PYI4" s="44"/>
      <c r="PYJ4" s="44"/>
      <c r="PYK4" s="44"/>
      <c r="PYL4" s="43"/>
      <c r="PYM4" s="44"/>
      <c r="PYN4" s="44"/>
      <c r="PYO4" s="44"/>
      <c r="PYP4" s="44"/>
      <c r="PYQ4" s="44"/>
      <c r="PYR4" s="44"/>
      <c r="PYS4" s="44"/>
      <c r="PYT4" s="44"/>
      <c r="PYU4" s="44"/>
      <c r="PYV4" s="44"/>
      <c r="PYW4" s="44"/>
      <c r="PYX4" s="44"/>
      <c r="PYY4" s="44"/>
      <c r="PYZ4" s="44"/>
      <c r="PZA4" s="43"/>
      <c r="PZB4" s="44"/>
      <c r="PZC4" s="44"/>
      <c r="PZD4" s="44"/>
      <c r="PZE4" s="44"/>
      <c r="PZF4" s="44"/>
      <c r="PZG4" s="44"/>
      <c r="PZH4" s="44"/>
      <c r="PZI4" s="44"/>
      <c r="PZJ4" s="44"/>
      <c r="PZK4" s="44"/>
      <c r="PZL4" s="44"/>
      <c r="PZM4" s="44"/>
      <c r="PZN4" s="44"/>
      <c r="PZO4" s="44"/>
      <c r="PZP4" s="43"/>
      <c r="PZQ4" s="44"/>
      <c r="PZR4" s="44"/>
      <c r="PZS4" s="44"/>
      <c r="PZT4" s="44"/>
      <c r="PZU4" s="44"/>
      <c r="PZV4" s="44"/>
      <c r="PZW4" s="44"/>
      <c r="PZX4" s="44"/>
      <c r="PZY4" s="44"/>
      <c r="PZZ4" s="44"/>
      <c r="QAA4" s="44"/>
      <c r="QAB4" s="44"/>
      <c r="QAC4" s="44"/>
      <c r="QAD4" s="44"/>
      <c r="QAE4" s="43"/>
      <c r="QAF4" s="44"/>
      <c r="QAG4" s="44"/>
      <c r="QAH4" s="44"/>
      <c r="QAI4" s="44"/>
      <c r="QAJ4" s="44"/>
      <c r="QAK4" s="44"/>
      <c r="QAL4" s="44"/>
      <c r="QAM4" s="44"/>
      <c r="QAN4" s="44"/>
      <c r="QAO4" s="44"/>
      <c r="QAP4" s="44"/>
      <c r="QAQ4" s="44"/>
      <c r="QAR4" s="44"/>
      <c r="QAS4" s="44"/>
      <c r="QAT4" s="43"/>
      <c r="QAU4" s="44"/>
      <c r="QAV4" s="44"/>
      <c r="QAW4" s="44"/>
      <c r="QAX4" s="44"/>
      <c r="QAY4" s="44"/>
      <c r="QAZ4" s="44"/>
      <c r="QBA4" s="44"/>
      <c r="QBB4" s="44"/>
      <c r="QBC4" s="44"/>
      <c r="QBD4" s="44"/>
      <c r="QBE4" s="44"/>
      <c r="QBF4" s="44"/>
      <c r="QBG4" s="44"/>
      <c r="QBH4" s="44"/>
      <c r="QBI4" s="43"/>
      <c r="QBJ4" s="44"/>
      <c r="QBK4" s="44"/>
      <c r="QBL4" s="44"/>
      <c r="QBM4" s="44"/>
      <c r="QBN4" s="44"/>
      <c r="QBO4" s="44"/>
      <c r="QBP4" s="44"/>
      <c r="QBQ4" s="44"/>
      <c r="QBR4" s="44"/>
      <c r="QBS4" s="44"/>
      <c r="QBT4" s="44"/>
      <c r="QBU4" s="44"/>
      <c r="QBV4" s="44"/>
      <c r="QBW4" s="44"/>
      <c r="QBX4" s="43"/>
      <c r="QBY4" s="44"/>
      <c r="QBZ4" s="44"/>
      <c r="QCA4" s="44"/>
      <c r="QCB4" s="44"/>
      <c r="QCC4" s="44"/>
      <c r="QCD4" s="44"/>
      <c r="QCE4" s="44"/>
      <c r="QCF4" s="44"/>
      <c r="QCG4" s="44"/>
      <c r="QCH4" s="44"/>
      <c r="QCI4" s="44"/>
      <c r="QCJ4" s="44"/>
      <c r="QCK4" s="44"/>
      <c r="QCL4" s="44"/>
      <c r="QCM4" s="43"/>
      <c r="QCN4" s="44"/>
      <c r="QCO4" s="44"/>
      <c r="QCP4" s="44"/>
      <c r="QCQ4" s="44"/>
      <c r="QCR4" s="44"/>
      <c r="QCS4" s="44"/>
      <c r="QCT4" s="44"/>
      <c r="QCU4" s="44"/>
      <c r="QCV4" s="44"/>
      <c r="QCW4" s="44"/>
      <c r="QCX4" s="44"/>
      <c r="QCY4" s="44"/>
      <c r="QCZ4" s="44"/>
      <c r="QDA4" s="44"/>
      <c r="QDB4" s="43"/>
      <c r="QDC4" s="44"/>
      <c r="QDD4" s="44"/>
      <c r="QDE4" s="44"/>
      <c r="QDF4" s="44"/>
      <c r="QDG4" s="44"/>
      <c r="QDH4" s="44"/>
      <c r="QDI4" s="44"/>
      <c r="QDJ4" s="44"/>
      <c r="QDK4" s="44"/>
      <c r="QDL4" s="44"/>
      <c r="QDM4" s="44"/>
      <c r="QDN4" s="44"/>
      <c r="QDO4" s="44"/>
      <c r="QDP4" s="44"/>
      <c r="QDQ4" s="43"/>
      <c r="QDR4" s="44"/>
      <c r="QDS4" s="44"/>
      <c r="QDT4" s="44"/>
      <c r="QDU4" s="44"/>
      <c r="QDV4" s="44"/>
      <c r="QDW4" s="44"/>
      <c r="QDX4" s="44"/>
      <c r="QDY4" s="44"/>
      <c r="QDZ4" s="44"/>
      <c r="QEA4" s="44"/>
      <c r="QEB4" s="44"/>
      <c r="QEC4" s="44"/>
      <c r="QED4" s="44"/>
      <c r="QEE4" s="44"/>
      <c r="QEF4" s="43"/>
      <c r="QEG4" s="44"/>
      <c r="QEH4" s="44"/>
      <c r="QEI4" s="44"/>
      <c r="QEJ4" s="44"/>
      <c r="QEK4" s="44"/>
      <c r="QEL4" s="44"/>
      <c r="QEM4" s="44"/>
      <c r="QEN4" s="44"/>
      <c r="QEO4" s="44"/>
      <c r="QEP4" s="44"/>
      <c r="QEQ4" s="44"/>
      <c r="QER4" s="44"/>
      <c r="QES4" s="44"/>
      <c r="QET4" s="44"/>
      <c r="QEU4" s="43"/>
      <c r="QEV4" s="44"/>
      <c r="QEW4" s="44"/>
      <c r="QEX4" s="44"/>
      <c r="QEY4" s="44"/>
      <c r="QEZ4" s="44"/>
      <c r="QFA4" s="44"/>
      <c r="QFB4" s="44"/>
      <c r="QFC4" s="44"/>
      <c r="QFD4" s="44"/>
      <c r="QFE4" s="44"/>
      <c r="QFF4" s="44"/>
      <c r="QFG4" s="44"/>
      <c r="QFH4" s="44"/>
      <c r="QFI4" s="44"/>
      <c r="QFJ4" s="43"/>
      <c r="QFK4" s="44"/>
      <c r="QFL4" s="44"/>
      <c r="QFM4" s="44"/>
      <c r="QFN4" s="44"/>
      <c r="QFO4" s="44"/>
      <c r="QFP4" s="44"/>
      <c r="QFQ4" s="44"/>
      <c r="QFR4" s="44"/>
      <c r="QFS4" s="44"/>
      <c r="QFT4" s="44"/>
      <c r="QFU4" s="44"/>
      <c r="QFV4" s="44"/>
      <c r="QFW4" s="44"/>
      <c r="QFX4" s="44"/>
      <c r="QFY4" s="43"/>
      <c r="QFZ4" s="44"/>
      <c r="QGA4" s="44"/>
      <c r="QGB4" s="44"/>
      <c r="QGC4" s="44"/>
      <c r="QGD4" s="44"/>
      <c r="QGE4" s="44"/>
      <c r="QGF4" s="44"/>
      <c r="QGG4" s="44"/>
      <c r="QGH4" s="44"/>
      <c r="QGI4" s="44"/>
      <c r="QGJ4" s="44"/>
      <c r="QGK4" s="44"/>
      <c r="QGL4" s="44"/>
      <c r="QGM4" s="44"/>
      <c r="QGN4" s="43"/>
      <c r="QGO4" s="44"/>
      <c r="QGP4" s="44"/>
      <c r="QGQ4" s="44"/>
      <c r="QGR4" s="44"/>
      <c r="QGS4" s="44"/>
      <c r="QGT4" s="44"/>
      <c r="QGU4" s="44"/>
      <c r="QGV4" s="44"/>
      <c r="QGW4" s="44"/>
      <c r="QGX4" s="44"/>
      <c r="QGY4" s="44"/>
      <c r="QGZ4" s="44"/>
      <c r="QHA4" s="44"/>
      <c r="QHB4" s="44"/>
      <c r="QHC4" s="43"/>
      <c r="QHD4" s="44"/>
      <c r="QHE4" s="44"/>
      <c r="QHF4" s="44"/>
      <c r="QHG4" s="44"/>
      <c r="QHH4" s="44"/>
      <c r="QHI4" s="44"/>
      <c r="QHJ4" s="44"/>
      <c r="QHK4" s="44"/>
      <c r="QHL4" s="44"/>
      <c r="QHM4" s="44"/>
      <c r="QHN4" s="44"/>
      <c r="QHO4" s="44"/>
      <c r="QHP4" s="44"/>
      <c r="QHQ4" s="44"/>
      <c r="QHR4" s="43"/>
      <c r="QHS4" s="44"/>
      <c r="QHT4" s="44"/>
      <c r="QHU4" s="44"/>
      <c r="QHV4" s="44"/>
      <c r="QHW4" s="44"/>
      <c r="QHX4" s="44"/>
      <c r="QHY4" s="44"/>
      <c r="QHZ4" s="44"/>
      <c r="QIA4" s="44"/>
      <c r="QIB4" s="44"/>
      <c r="QIC4" s="44"/>
      <c r="QID4" s="44"/>
      <c r="QIE4" s="44"/>
      <c r="QIF4" s="44"/>
      <c r="QIG4" s="43"/>
      <c r="QIH4" s="44"/>
      <c r="QII4" s="44"/>
      <c r="QIJ4" s="44"/>
      <c r="QIK4" s="44"/>
      <c r="QIL4" s="44"/>
      <c r="QIM4" s="44"/>
      <c r="QIN4" s="44"/>
      <c r="QIO4" s="44"/>
      <c r="QIP4" s="44"/>
      <c r="QIQ4" s="44"/>
      <c r="QIR4" s="44"/>
      <c r="QIS4" s="44"/>
      <c r="QIT4" s="44"/>
      <c r="QIU4" s="44"/>
      <c r="QIV4" s="43"/>
      <c r="QIW4" s="44"/>
      <c r="QIX4" s="44"/>
      <c r="QIY4" s="44"/>
      <c r="QIZ4" s="44"/>
      <c r="QJA4" s="44"/>
      <c r="QJB4" s="44"/>
      <c r="QJC4" s="44"/>
      <c r="QJD4" s="44"/>
      <c r="QJE4" s="44"/>
      <c r="QJF4" s="44"/>
      <c r="QJG4" s="44"/>
      <c r="QJH4" s="44"/>
      <c r="QJI4" s="44"/>
      <c r="QJJ4" s="44"/>
      <c r="QJK4" s="43"/>
      <c r="QJL4" s="44"/>
      <c r="QJM4" s="44"/>
      <c r="QJN4" s="44"/>
      <c r="QJO4" s="44"/>
      <c r="QJP4" s="44"/>
      <c r="QJQ4" s="44"/>
      <c r="QJR4" s="44"/>
      <c r="QJS4" s="44"/>
      <c r="QJT4" s="44"/>
      <c r="QJU4" s="44"/>
      <c r="QJV4" s="44"/>
      <c r="QJW4" s="44"/>
      <c r="QJX4" s="44"/>
      <c r="QJY4" s="44"/>
      <c r="QJZ4" s="43"/>
      <c r="QKA4" s="44"/>
      <c r="QKB4" s="44"/>
      <c r="QKC4" s="44"/>
      <c r="QKD4" s="44"/>
      <c r="QKE4" s="44"/>
      <c r="QKF4" s="44"/>
      <c r="QKG4" s="44"/>
      <c r="QKH4" s="44"/>
      <c r="QKI4" s="44"/>
      <c r="QKJ4" s="44"/>
      <c r="QKK4" s="44"/>
      <c r="QKL4" s="44"/>
      <c r="QKM4" s="44"/>
      <c r="QKN4" s="44"/>
      <c r="QKO4" s="43"/>
      <c r="QKP4" s="44"/>
      <c r="QKQ4" s="44"/>
      <c r="QKR4" s="44"/>
      <c r="QKS4" s="44"/>
      <c r="QKT4" s="44"/>
      <c r="QKU4" s="44"/>
      <c r="QKV4" s="44"/>
      <c r="QKW4" s="44"/>
      <c r="QKX4" s="44"/>
      <c r="QKY4" s="44"/>
      <c r="QKZ4" s="44"/>
      <c r="QLA4" s="44"/>
      <c r="QLB4" s="44"/>
      <c r="QLC4" s="44"/>
      <c r="QLD4" s="43"/>
      <c r="QLE4" s="44"/>
      <c r="QLF4" s="44"/>
      <c r="QLG4" s="44"/>
      <c r="QLH4" s="44"/>
      <c r="QLI4" s="44"/>
      <c r="QLJ4" s="44"/>
      <c r="QLK4" s="44"/>
      <c r="QLL4" s="44"/>
      <c r="QLM4" s="44"/>
      <c r="QLN4" s="44"/>
      <c r="QLO4" s="44"/>
      <c r="QLP4" s="44"/>
      <c r="QLQ4" s="44"/>
      <c r="QLR4" s="44"/>
      <c r="QLS4" s="43"/>
      <c r="QLT4" s="44"/>
      <c r="QLU4" s="44"/>
      <c r="QLV4" s="44"/>
      <c r="QLW4" s="44"/>
      <c r="QLX4" s="44"/>
      <c r="QLY4" s="44"/>
      <c r="QLZ4" s="44"/>
      <c r="QMA4" s="44"/>
      <c r="QMB4" s="44"/>
      <c r="QMC4" s="44"/>
      <c r="QMD4" s="44"/>
      <c r="QME4" s="44"/>
      <c r="QMF4" s="44"/>
      <c r="QMG4" s="44"/>
      <c r="QMH4" s="43"/>
      <c r="QMI4" s="44"/>
      <c r="QMJ4" s="44"/>
      <c r="QMK4" s="44"/>
      <c r="QML4" s="44"/>
      <c r="QMM4" s="44"/>
      <c r="QMN4" s="44"/>
      <c r="QMO4" s="44"/>
      <c r="QMP4" s="44"/>
      <c r="QMQ4" s="44"/>
      <c r="QMR4" s="44"/>
      <c r="QMS4" s="44"/>
      <c r="QMT4" s="44"/>
      <c r="QMU4" s="44"/>
      <c r="QMV4" s="44"/>
      <c r="QMW4" s="43"/>
      <c r="QMX4" s="44"/>
      <c r="QMY4" s="44"/>
      <c r="QMZ4" s="44"/>
      <c r="QNA4" s="44"/>
      <c r="QNB4" s="44"/>
      <c r="QNC4" s="44"/>
      <c r="QND4" s="44"/>
      <c r="QNE4" s="44"/>
      <c r="QNF4" s="44"/>
      <c r="QNG4" s="44"/>
      <c r="QNH4" s="44"/>
      <c r="QNI4" s="44"/>
      <c r="QNJ4" s="44"/>
      <c r="QNK4" s="44"/>
      <c r="QNL4" s="43"/>
      <c r="QNM4" s="44"/>
      <c r="QNN4" s="44"/>
      <c r="QNO4" s="44"/>
      <c r="QNP4" s="44"/>
      <c r="QNQ4" s="44"/>
      <c r="QNR4" s="44"/>
      <c r="QNS4" s="44"/>
      <c r="QNT4" s="44"/>
      <c r="QNU4" s="44"/>
      <c r="QNV4" s="44"/>
      <c r="QNW4" s="44"/>
      <c r="QNX4" s="44"/>
      <c r="QNY4" s="44"/>
      <c r="QNZ4" s="44"/>
      <c r="QOA4" s="43"/>
      <c r="QOB4" s="44"/>
      <c r="QOC4" s="44"/>
      <c r="QOD4" s="44"/>
      <c r="QOE4" s="44"/>
      <c r="QOF4" s="44"/>
      <c r="QOG4" s="44"/>
      <c r="QOH4" s="44"/>
      <c r="QOI4" s="44"/>
      <c r="QOJ4" s="44"/>
      <c r="QOK4" s="44"/>
      <c r="QOL4" s="44"/>
      <c r="QOM4" s="44"/>
      <c r="QON4" s="44"/>
      <c r="QOO4" s="44"/>
      <c r="QOP4" s="43"/>
      <c r="QOQ4" s="44"/>
      <c r="QOR4" s="44"/>
      <c r="QOS4" s="44"/>
      <c r="QOT4" s="44"/>
      <c r="QOU4" s="44"/>
      <c r="QOV4" s="44"/>
      <c r="QOW4" s="44"/>
      <c r="QOX4" s="44"/>
      <c r="QOY4" s="44"/>
      <c r="QOZ4" s="44"/>
      <c r="QPA4" s="44"/>
      <c r="QPB4" s="44"/>
      <c r="QPC4" s="44"/>
      <c r="QPD4" s="44"/>
      <c r="QPE4" s="43"/>
      <c r="QPF4" s="44"/>
      <c r="QPG4" s="44"/>
      <c r="QPH4" s="44"/>
      <c r="QPI4" s="44"/>
      <c r="QPJ4" s="44"/>
      <c r="QPK4" s="44"/>
      <c r="QPL4" s="44"/>
      <c r="QPM4" s="44"/>
      <c r="QPN4" s="44"/>
      <c r="QPO4" s="44"/>
      <c r="QPP4" s="44"/>
      <c r="QPQ4" s="44"/>
      <c r="QPR4" s="44"/>
      <c r="QPS4" s="44"/>
      <c r="QPT4" s="43"/>
      <c r="QPU4" s="44"/>
      <c r="QPV4" s="44"/>
      <c r="QPW4" s="44"/>
      <c r="QPX4" s="44"/>
      <c r="QPY4" s="44"/>
      <c r="QPZ4" s="44"/>
      <c r="QQA4" s="44"/>
      <c r="QQB4" s="44"/>
      <c r="QQC4" s="44"/>
      <c r="QQD4" s="44"/>
      <c r="QQE4" s="44"/>
      <c r="QQF4" s="44"/>
      <c r="QQG4" s="44"/>
      <c r="QQH4" s="44"/>
      <c r="QQI4" s="43"/>
      <c r="QQJ4" s="44"/>
      <c r="QQK4" s="44"/>
      <c r="QQL4" s="44"/>
      <c r="QQM4" s="44"/>
      <c r="QQN4" s="44"/>
      <c r="QQO4" s="44"/>
      <c r="QQP4" s="44"/>
      <c r="QQQ4" s="44"/>
      <c r="QQR4" s="44"/>
      <c r="QQS4" s="44"/>
      <c r="QQT4" s="44"/>
      <c r="QQU4" s="44"/>
      <c r="QQV4" s="44"/>
      <c r="QQW4" s="44"/>
      <c r="QQX4" s="43"/>
      <c r="QQY4" s="44"/>
      <c r="QQZ4" s="44"/>
      <c r="QRA4" s="44"/>
      <c r="QRB4" s="44"/>
      <c r="QRC4" s="44"/>
      <c r="QRD4" s="44"/>
      <c r="QRE4" s="44"/>
      <c r="QRF4" s="44"/>
      <c r="QRG4" s="44"/>
      <c r="QRH4" s="44"/>
      <c r="QRI4" s="44"/>
      <c r="QRJ4" s="44"/>
      <c r="QRK4" s="44"/>
      <c r="QRL4" s="44"/>
      <c r="QRM4" s="43"/>
      <c r="QRN4" s="44"/>
      <c r="QRO4" s="44"/>
      <c r="QRP4" s="44"/>
      <c r="QRQ4" s="44"/>
      <c r="QRR4" s="44"/>
      <c r="QRS4" s="44"/>
      <c r="QRT4" s="44"/>
      <c r="QRU4" s="44"/>
      <c r="QRV4" s="44"/>
      <c r="QRW4" s="44"/>
      <c r="QRX4" s="44"/>
      <c r="QRY4" s="44"/>
      <c r="QRZ4" s="44"/>
      <c r="QSA4" s="44"/>
      <c r="QSB4" s="43"/>
      <c r="QSC4" s="44"/>
      <c r="QSD4" s="44"/>
      <c r="QSE4" s="44"/>
      <c r="QSF4" s="44"/>
      <c r="QSG4" s="44"/>
      <c r="QSH4" s="44"/>
      <c r="QSI4" s="44"/>
      <c r="QSJ4" s="44"/>
      <c r="QSK4" s="44"/>
      <c r="QSL4" s="44"/>
      <c r="QSM4" s="44"/>
      <c r="QSN4" s="44"/>
      <c r="QSO4" s="44"/>
      <c r="QSP4" s="44"/>
      <c r="QSQ4" s="43"/>
      <c r="QSR4" s="44"/>
      <c r="QSS4" s="44"/>
      <c r="QST4" s="44"/>
      <c r="QSU4" s="44"/>
      <c r="QSV4" s="44"/>
      <c r="QSW4" s="44"/>
      <c r="QSX4" s="44"/>
      <c r="QSY4" s="44"/>
      <c r="QSZ4" s="44"/>
      <c r="QTA4" s="44"/>
      <c r="QTB4" s="44"/>
      <c r="QTC4" s="44"/>
      <c r="QTD4" s="44"/>
      <c r="QTE4" s="44"/>
      <c r="QTF4" s="43"/>
      <c r="QTG4" s="44"/>
      <c r="QTH4" s="44"/>
      <c r="QTI4" s="44"/>
      <c r="QTJ4" s="44"/>
      <c r="QTK4" s="44"/>
      <c r="QTL4" s="44"/>
      <c r="QTM4" s="44"/>
      <c r="QTN4" s="44"/>
      <c r="QTO4" s="44"/>
      <c r="QTP4" s="44"/>
      <c r="QTQ4" s="44"/>
      <c r="QTR4" s="44"/>
      <c r="QTS4" s="44"/>
      <c r="QTT4" s="44"/>
      <c r="QTU4" s="43"/>
      <c r="QTV4" s="44"/>
      <c r="QTW4" s="44"/>
      <c r="QTX4" s="44"/>
      <c r="QTY4" s="44"/>
      <c r="QTZ4" s="44"/>
      <c r="QUA4" s="44"/>
      <c r="QUB4" s="44"/>
      <c r="QUC4" s="44"/>
      <c r="QUD4" s="44"/>
      <c r="QUE4" s="44"/>
      <c r="QUF4" s="44"/>
      <c r="QUG4" s="44"/>
      <c r="QUH4" s="44"/>
      <c r="QUI4" s="44"/>
      <c r="QUJ4" s="43"/>
      <c r="QUK4" s="44"/>
      <c r="QUL4" s="44"/>
      <c r="QUM4" s="44"/>
      <c r="QUN4" s="44"/>
      <c r="QUO4" s="44"/>
      <c r="QUP4" s="44"/>
      <c r="QUQ4" s="44"/>
      <c r="QUR4" s="44"/>
      <c r="QUS4" s="44"/>
      <c r="QUT4" s="44"/>
      <c r="QUU4" s="44"/>
      <c r="QUV4" s="44"/>
      <c r="QUW4" s="44"/>
      <c r="QUX4" s="44"/>
      <c r="QUY4" s="43"/>
      <c r="QUZ4" s="44"/>
      <c r="QVA4" s="44"/>
      <c r="QVB4" s="44"/>
      <c r="QVC4" s="44"/>
      <c r="QVD4" s="44"/>
      <c r="QVE4" s="44"/>
      <c r="QVF4" s="44"/>
      <c r="QVG4" s="44"/>
      <c r="QVH4" s="44"/>
      <c r="QVI4" s="44"/>
      <c r="QVJ4" s="44"/>
      <c r="QVK4" s="44"/>
      <c r="QVL4" s="44"/>
      <c r="QVM4" s="44"/>
      <c r="QVN4" s="43"/>
      <c r="QVO4" s="44"/>
      <c r="QVP4" s="44"/>
      <c r="QVQ4" s="44"/>
      <c r="QVR4" s="44"/>
      <c r="QVS4" s="44"/>
      <c r="QVT4" s="44"/>
      <c r="QVU4" s="44"/>
      <c r="QVV4" s="44"/>
      <c r="QVW4" s="44"/>
      <c r="QVX4" s="44"/>
      <c r="QVY4" s="44"/>
      <c r="QVZ4" s="44"/>
      <c r="QWA4" s="44"/>
      <c r="QWB4" s="44"/>
      <c r="QWC4" s="43"/>
      <c r="QWD4" s="44"/>
      <c r="QWE4" s="44"/>
      <c r="QWF4" s="44"/>
      <c r="QWG4" s="44"/>
      <c r="QWH4" s="44"/>
      <c r="QWI4" s="44"/>
      <c r="QWJ4" s="44"/>
      <c r="QWK4" s="44"/>
      <c r="QWL4" s="44"/>
      <c r="QWM4" s="44"/>
      <c r="QWN4" s="44"/>
      <c r="QWO4" s="44"/>
      <c r="QWP4" s="44"/>
      <c r="QWQ4" s="44"/>
      <c r="QWR4" s="43"/>
      <c r="QWS4" s="44"/>
      <c r="QWT4" s="44"/>
      <c r="QWU4" s="44"/>
      <c r="QWV4" s="44"/>
      <c r="QWW4" s="44"/>
      <c r="QWX4" s="44"/>
      <c r="QWY4" s="44"/>
      <c r="QWZ4" s="44"/>
      <c r="QXA4" s="44"/>
      <c r="QXB4" s="44"/>
      <c r="QXC4" s="44"/>
      <c r="QXD4" s="44"/>
      <c r="QXE4" s="44"/>
      <c r="QXF4" s="44"/>
      <c r="QXG4" s="43"/>
      <c r="QXH4" s="44"/>
      <c r="QXI4" s="44"/>
      <c r="QXJ4" s="44"/>
      <c r="QXK4" s="44"/>
      <c r="QXL4" s="44"/>
      <c r="QXM4" s="44"/>
      <c r="QXN4" s="44"/>
      <c r="QXO4" s="44"/>
      <c r="QXP4" s="44"/>
      <c r="QXQ4" s="44"/>
      <c r="QXR4" s="44"/>
      <c r="QXS4" s="44"/>
      <c r="QXT4" s="44"/>
      <c r="QXU4" s="44"/>
      <c r="QXV4" s="43"/>
      <c r="QXW4" s="44"/>
      <c r="QXX4" s="44"/>
      <c r="QXY4" s="44"/>
      <c r="QXZ4" s="44"/>
      <c r="QYA4" s="44"/>
      <c r="QYB4" s="44"/>
      <c r="QYC4" s="44"/>
      <c r="QYD4" s="44"/>
      <c r="QYE4" s="44"/>
      <c r="QYF4" s="44"/>
      <c r="QYG4" s="44"/>
      <c r="QYH4" s="44"/>
      <c r="QYI4" s="44"/>
      <c r="QYJ4" s="44"/>
      <c r="QYK4" s="43"/>
      <c r="QYL4" s="44"/>
      <c r="QYM4" s="44"/>
      <c r="QYN4" s="44"/>
      <c r="QYO4" s="44"/>
      <c r="QYP4" s="44"/>
      <c r="QYQ4" s="44"/>
      <c r="QYR4" s="44"/>
      <c r="QYS4" s="44"/>
      <c r="QYT4" s="44"/>
      <c r="QYU4" s="44"/>
      <c r="QYV4" s="44"/>
      <c r="QYW4" s="44"/>
      <c r="QYX4" s="44"/>
      <c r="QYY4" s="44"/>
      <c r="QYZ4" s="43"/>
      <c r="QZA4" s="44"/>
      <c r="QZB4" s="44"/>
      <c r="QZC4" s="44"/>
      <c r="QZD4" s="44"/>
      <c r="QZE4" s="44"/>
      <c r="QZF4" s="44"/>
      <c r="QZG4" s="44"/>
      <c r="QZH4" s="44"/>
      <c r="QZI4" s="44"/>
      <c r="QZJ4" s="44"/>
      <c r="QZK4" s="44"/>
      <c r="QZL4" s="44"/>
      <c r="QZM4" s="44"/>
      <c r="QZN4" s="44"/>
      <c r="QZO4" s="43"/>
      <c r="QZP4" s="44"/>
      <c r="QZQ4" s="44"/>
      <c r="QZR4" s="44"/>
      <c r="QZS4" s="44"/>
      <c r="QZT4" s="44"/>
      <c r="QZU4" s="44"/>
      <c r="QZV4" s="44"/>
      <c r="QZW4" s="44"/>
      <c r="QZX4" s="44"/>
      <c r="QZY4" s="44"/>
      <c r="QZZ4" s="44"/>
      <c r="RAA4" s="44"/>
      <c r="RAB4" s="44"/>
      <c r="RAC4" s="44"/>
      <c r="RAD4" s="43"/>
      <c r="RAE4" s="44"/>
      <c r="RAF4" s="44"/>
      <c r="RAG4" s="44"/>
      <c r="RAH4" s="44"/>
      <c r="RAI4" s="44"/>
      <c r="RAJ4" s="44"/>
      <c r="RAK4" s="44"/>
      <c r="RAL4" s="44"/>
      <c r="RAM4" s="44"/>
      <c r="RAN4" s="44"/>
      <c r="RAO4" s="44"/>
      <c r="RAP4" s="44"/>
      <c r="RAQ4" s="44"/>
      <c r="RAR4" s="44"/>
      <c r="RAS4" s="43"/>
      <c r="RAT4" s="44"/>
      <c r="RAU4" s="44"/>
      <c r="RAV4" s="44"/>
      <c r="RAW4" s="44"/>
      <c r="RAX4" s="44"/>
      <c r="RAY4" s="44"/>
      <c r="RAZ4" s="44"/>
      <c r="RBA4" s="44"/>
      <c r="RBB4" s="44"/>
      <c r="RBC4" s="44"/>
      <c r="RBD4" s="44"/>
      <c r="RBE4" s="44"/>
      <c r="RBF4" s="44"/>
      <c r="RBG4" s="44"/>
      <c r="RBH4" s="43"/>
      <c r="RBI4" s="44"/>
      <c r="RBJ4" s="44"/>
      <c r="RBK4" s="44"/>
      <c r="RBL4" s="44"/>
      <c r="RBM4" s="44"/>
      <c r="RBN4" s="44"/>
      <c r="RBO4" s="44"/>
      <c r="RBP4" s="44"/>
      <c r="RBQ4" s="44"/>
      <c r="RBR4" s="44"/>
      <c r="RBS4" s="44"/>
      <c r="RBT4" s="44"/>
      <c r="RBU4" s="44"/>
      <c r="RBV4" s="44"/>
      <c r="RBW4" s="43"/>
      <c r="RBX4" s="44"/>
      <c r="RBY4" s="44"/>
      <c r="RBZ4" s="44"/>
      <c r="RCA4" s="44"/>
      <c r="RCB4" s="44"/>
      <c r="RCC4" s="44"/>
      <c r="RCD4" s="44"/>
      <c r="RCE4" s="44"/>
      <c r="RCF4" s="44"/>
      <c r="RCG4" s="44"/>
      <c r="RCH4" s="44"/>
      <c r="RCI4" s="44"/>
      <c r="RCJ4" s="44"/>
      <c r="RCK4" s="44"/>
      <c r="RCL4" s="43"/>
      <c r="RCM4" s="44"/>
      <c r="RCN4" s="44"/>
      <c r="RCO4" s="44"/>
      <c r="RCP4" s="44"/>
      <c r="RCQ4" s="44"/>
      <c r="RCR4" s="44"/>
      <c r="RCS4" s="44"/>
      <c r="RCT4" s="44"/>
      <c r="RCU4" s="44"/>
      <c r="RCV4" s="44"/>
      <c r="RCW4" s="44"/>
      <c r="RCX4" s="44"/>
      <c r="RCY4" s="44"/>
      <c r="RCZ4" s="44"/>
      <c r="RDA4" s="43"/>
      <c r="RDB4" s="44"/>
      <c r="RDC4" s="44"/>
      <c r="RDD4" s="44"/>
      <c r="RDE4" s="44"/>
      <c r="RDF4" s="44"/>
      <c r="RDG4" s="44"/>
      <c r="RDH4" s="44"/>
      <c r="RDI4" s="44"/>
      <c r="RDJ4" s="44"/>
      <c r="RDK4" s="44"/>
      <c r="RDL4" s="44"/>
      <c r="RDM4" s="44"/>
      <c r="RDN4" s="44"/>
      <c r="RDO4" s="44"/>
      <c r="RDP4" s="43"/>
      <c r="RDQ4" s="44"/>
      <c r="RDR4" s="44"/>
      <c r="RDS4" s="44"/>
      <c r="RDT4" s="44"/>
      <c r="RDU4" s="44"/>
      <c r="RDV4" s="44"/>
      <c r="RDW4" s="44"/>
      <c r="RDX4" s="44"/>
      <c r="RDY4" s="44"/>
      <c r="RDZ4" s="44"/>
      <c r="REA4" s="44"/>
      <c r="REB4" s="44"/>
      <c r="REC4" s="44"/>
      <c r="RED4" s="44"/>
      <c r="REE4" s="43"/>
      <c r="REF4" s="44"/>
      <c r="REG4" s="44"/>
      <c r="REH4" s="44"/>
      <c r="REI4" s="44"/>
      <c r="REJ4" s="44"/>
      <c r="REK4" s="44"/>
      <c r="REL4" s="44"/>
      <c r="REM4" s="44"/>
      <c r="REN4" s="44"/>
      <c r="REO4" s="44"/>
      <c r="REP4" s="44"/>
      <c r="REQ4" s="44"/>
      <c r="RER4" s="44"/>
      <c r="RES4" s="44"/>
      <c r="RET4" s="43"/>
      <c r="REU4" s="44"/>
      <c r="REV4" s="44"/>
      <c r="REW4" s="44"/>
      <c r="REX4" s="44"/>
      <c r="REY4" s="44"/>
      <c r="REZ4" s="44"/>
      <c r="RFA4" s="44"/>
      <c r="RFB4" s="44"/>
      <c r="RFC4" s="44"/>
      <c r="RFD4" s="44"/>
      <c r="RFE4" s="44"/>
      <c r="RFF4" s="44"/>
      <c r="RFG4" s="44"/>
      <c r="RFH4" s="44"/>
      <c r="RFI4" s="43"/>
      <c r="RFJ4" s="44"/>
      <c r="RFK4" s="44"/>
      <c r="RFL4" s="44"/>
      <c r="RFM4" s="44"/>
      <c r="RFN4" s="44"/>
      <c r="RFO4" s="44"/>
      <c r="RFP4" s="44"/>
      <c r="RFQ4" s="44"/>
      <c r="RFR4" s="44"/>
      <c r="RFS4" s="44"/>
      <c r="RFT4" s="44"/>
      <c r="RFU4" s="44"/>
      <c r="RFV4" s="44"/>
      <c r="RFW4" s="44"/>
      <c r="RFX4" s="43"/>
      <c r="RFY4" s="44"/>
      <c r="RFZ4" s="44"/>
      <c r="RGA4" s="44"/>
      <c r="RGB4" s="44"/>
      <c r="RGC4" s="44"/>
      <c r="RGD4" s="44"/>
      <c r="RGE4" s="44"/>
      <c r="RGF4" s="44"/>
      <c r="RGG4" s="44"/>
      <c r="RGH4" s="44"/>
      <c r="RGI4" s="44"/>
      <c r="RGJ4" s="44"/>
      <c r="RGK4" s="44"/>
      <c r="RGL4" s="44"/>
      <c r="RGM4" s="43"/>
      <c r="RGN4" s="44"/>
      <c r="RGO4" s="44"/>
      <c r="RGP4" s="44"/>
      <c r="RGQ4" s="44"/>
      <c r="RGR4" s="44"/>
      <c r="RGS4" s="44"/>
      <c r="RGT4" s="44"/>
      <c r="RGU4" s="44"/>
      <c r="RGV4" s="44"/>
      <c r="RGW4" s="44"/>
      <c r="RGX4" s="44"/>
      <c r="RGY4" s="44"/>
      <c r="RGZ4" s="44"/>
      <c r="RHA4" s="44"/>
      <c r="RHB4" s="43"/>
      <c r="RHC4" s="44"/>
      <c r="RHD4" s="44"/>
      <c r="RHE4" s="44"/>
      <c r="RHF4" s="44"/>
      <c r="RHG4" s="44"/>
      <c r="RHH4" s="44"/>
      <c r="RHI4" s="44"/>
      <c r="RHJ4" s="44"/>
      <c r="RHK4" s="44"/>
      <c r="RHL4" s="44"/>
      <c r="RHM4" s="44"/>
      <c r="RHN4" s="44"/>
      <c r="RHO4" s="44"/>
      <c r="RHP4" s="44"/>
      <c r="RHQ4" s="43"/>
      <c r="RHR4" s="44"/>
      <c r="RHS4" s="44"/>
      <c r="RHT4" s="44"/>
      <c r="RHU4" s="44"/>
      <c r="RHV4" s="44"/>
      <c r="RHW4" s="44"/>
      <c r="RHX4" s="44"/>
      <c r="RHY4" s="44"/>
      <c r="RHZ4" s="44"/>
      <c r="RIA4" s="44"/>
      <c r="RIB4" s="44"/>
      <c r="RIC4" s="44"/>
      <c r="RID4" s="44"/>
      <c r="RIE4" s="44"/>
      <c r="RIF4" s="43"/>
      <c r="RIG4" s="44"/>
      <c r="RIH4" s="44"/>
      <c r="RII4" s="44"/>
      <c r="RIJ4" s="44"/>
      <c r="RIK4" s="44"/>
      <c r="RIL4" s="44"/>
      <c r="RIM4" s="44"/>
      <c r="RIN4" s="44"/>
      <c r="RIO4" s="44"/>
      <c r="RIP4" s="44"/>
      <c r="RIQ4" s="44"/>
      <c r="RIR4" s="44"/>
      <c r="RIS4" s="44"/>
      <c r="RIT4" s="44"/>
      <c r="RIU4" s="43"/>
      <c r="RIV4" s="44"/>
      <c r="RIW4" s="44"/>
      <c r="RIX4" s="44"/>
      <c r="RIY4" s="44"/>
      <c r="RIZ4" s="44"/>
      <c r="RJA4" s="44"/>
      <c r="RJB4" s="44"/>
      <c r="RJC4" s="44"/>
      <c r="RJD4" s="44"/>
      <c r="RJE4" s="44"/>
      <c r="RJF4" s="44"/>
      <c r="RJG4" s="44"/>
      <c r="RJH4" s="44"/>
      <c r="RJI4" s="44"/>
      <c r="RJJ4" s="43"/>
      <c r="RJK4" s="44"/>
      <c r="RJL4" s="44"/>
      <c r="RJM4" s="44"/>
      <c r="RJN4" s="44"/>
      <c r="RJO4" s="44"/>
      <c r="RJP4" s="44"/>
      <c r="RJQ4" s="44"/>
      <c r="RJR4" s="44"/>
      <c r="RJS4" s="44"/>
      <c r="RJT4" s="44"/>
      <c r="RJU4" s="44"/>
      <c r="RJV4" s="44"/>
      <c r="RJW4" s="44"/>
      <c r="RJX4" s="44"/>
      <c r="RJY4" s="43"/>
      <c r="RJZ4" s="44"/>
      <c r="RKA4" s="44"/>
      <c r="RKB4" s="44"/>
      <c r="RKC4" s="44"/>
      <c r="RKD4" s="44"/>
      <c r="RKE4" s="44"/>
      <c r="RKF4" s="44"/>
      <c r="RKG4" s="44"/>
      <c r="RKH4" s="44"/>
      <c r="RKI4" s="44"/>
      <c r="RKJ4" s="44"/>
      <c r="RKK4" s="44"/>
      <c r="RKL4" s="44"/>
      <c r="RKM4" s="44"/>
      <c r="RKN4" s="43"/>
      <c r="RKO4" s="44"/>
      <c r="RKP4" s="44"/>
      <c r="RKQ4" s="44"/>
      <c r="RKR4" s="44"/>
      <c r="RKS4" s="44"/>
      <c r="RKT4" s="44"/>
      <c r="RKU4" s="44"/>
      <c r="RKV4" s="44"/>
      <c r="RKW4" s="44"/>
      <c r="RKX4" s="44"/>
      <c r="RKY4" s="44"/>
      <c r="RKZ4" s="44"/>
      <c r="RLA4" s="44"/>
      <c r="RLB4" s="44"/>
      <c r="RLC4" s="43"/>
      <c r="RLD4" s="44"/>
      <c r="RLE4" s="44"/>
      <c r="RLF4" s="44"/>
      <c r="RLG4" s="44"/>
      <c r="RLH4" s="44"/>
      <c r="RLI4" s="44"/>
      <c r="RLJ4" s="44"/>
      <c r="RLK4" s="44"/>
      <c r="RLL4" s="44"/>
      <c r="RLM4" s="44"/>
      <c r="RLN4" s="44"/>
      <c r="RLO4" s="44"/>
      <c r="RLP4" s="44"/>
      <c r="RLQ4" s="44"/>
      <c r="RLR4" s="43"/>
      <c r="RLS4" s="44"/>
      <c r="RLT4" s="44"/>
      <c r="RLU4" s="44"/>
      <c r="RLV4" s="44"/>
      <c r="RLW4" s="44"/>
      <c r="RLX4" s="44"/>
      <c r="RLY4" s="44"/>
      <c r="RLZ4" s="44"/>
      <c r="RMA4" s="44"/>
      <c r="RMB4" s="44"/>
      <c r="RMC4" s="44"/>
      <c r="RMD4" s="44"/>
      <c r="RME4" s="44"/>
      <c r="RMF4" s="44"/>
      <c r="RMG4" s="43"/>
      <c r="RMH4" s="44"/>
      <c r="RMI4" s="44"/>
      <c r="RMJ4" s="44"/>
      <c r="RMK4" s="44"/>
      <c r="RML4" s="44"/>
      <c r="RMM4" s="44"/>
      <c r="RMN4" s="44"/>
      <c r="RMO4" s="44"/>
      <c r="RMP4" s="44"/>
      <c r="RMQ4" s="44"/>
      <c r="RMR4" s="44"/>
      <c r="RMS4" s="44"/>
      <c r="RMT4" s="44"/>
      <c r="RMU4" s="44"/>
      <c r="RMV4" s="43"/>
      <c r="RMW4" s="44"/>
      <c r="RMX4" s="44"/>
      <c r="RMY4" s="44"/>
      <c r="RMZ4" s="44"/>
      <c r="RNA4" s="44"/>
      <c r="RNB4" s="44"/>
      <c r="RNC4" s="44"/>
      <c r="RND4" s="44"/>
      <c r="RNE4" s="44"/>
      <c r="RNF4" s="44"/>
      <c r="RNG4" s="44"/>
      <c r="RNH4" s="44"/>
      <c r="RNI4" s="44"/>
      <c r="RNJ4" s="44"/>
      <c r="RNK4" s="43"/>
      <c r="RNL4" s="44"/>
      <c r="RNM4" s="44"/>
      <c r="RNN4" s="44"/>
      <c r="RNO4" s="44"/>
      <c r="RNP4" s="44"/>
      <c r="RNQ4" s="44"/>
      <c r="RNR4" s="44"/>
      <c r="RNS4" s="44"/>
      <c r="RNT4" s="44"/>
      <c r="RNU4" s="44"/>
      <c r="RNV4" s="44"/>
      <c r="RNW4" s="44"/>
      <c r="RNX4" s="44"/>
      <c r="RNY4" s="44"/>
      <c r="RNZ4" s="43"/>
      <c r="ROA4" s="44"/>
      <c r="ROB4" s="44"/>
      <c r="ROC4" s="44"/>
      <c r="ROD4" s="44"/>
      <c r="ROE4" s="44"/>
      <c r="ROF4" s="44"/>
      <c r="ROG4" s="44"/>
      <c r="ROH4" s="44"/>
      <c r="ROI4" s="44"/>
      <c r="ROJ4" s="44"/>
      <c r="ROK4" s="44"/>
      <c r="ROL4" s="44"/>
      <c r="ROM4" s="44"/>
      <c r="RON4" s="44"/>
      <c r="ROO4" s="43"/>
      <c r="ROP4" s="44"/>
      <c r="ROQ4" s="44"/>
      <c r="ROR4" s="44"/>
      <c r="ROS4" s="44"/>
      <c r="ROT4" s="44"/>
      <c r="ROU4" s="44"/>
      <c r="ROV4" s="44"/>
      <c r="ROW4" s="44"/>
      <c r="ROX4" s="44"/>
      <c r="ROY4" s="44"/>
      <c r="ROZ4" s="44"/>
      <c r="RPA4" s="44"/>
      <c r="RPB4" s="44"/>
      <c r="RPC4" s="44"/>
      <c r="RPD4" s="43"/>
      <c r="RPE4" s="44"/>
      <c r="RPF4" s="44"/>
      <c r="RPG4" s="44"/>
      <c r="RPH4" s="44"/>
      <c r="RPI4" s="44"/>
      <c r="RPJ4" s="44"/>
      <c r="RPK4" s="44"/>
      <c r="RPL4" s="44"/>
      <c r="RPM4" s="44"/>
      <c r="RPN4" s="44"/>
      <c r="RPO4" s="44"/>
      <c r="RPP4" s="44"/>
      <c r="RPQ4" s="44"/>
      <c r="RPR4" s="44"/>
      <c r="RPS4" s="43"/>
      <c r="RPT4" s="44"/>
      <c r="RPU4" s="44"/>
      <c r="RPV4" s="44"/>
      <c r="RPW4" s="44"/>
      <c r="RPX4" s="44"/>
      <c r="RPY4" s="44"/>
      <c r="RPZ4" s="44"/>
      <c r="RQA4" s="44"/>
      <c r="RQB4" s="44"/>
      <c r="RQC4" s="44"/>
      <c r="RQD4" s="44"/>
      <c r="RQE4" s="44"/>
      <c r="RQF4" s="44"/>
      <c r="RQG4" s="44"/>
      <c r="RQH4" s="43"/>
      <c r="RQI4" s="44"/>
      <c r="RQJ4" s="44"/>
      <c r="RQK4" s="44"/>
      <c r="RQL4" s="44"/>
      <c r="RQM4" s="44"/>
      <c r="RQN4" s="44"/>
      <c r="RQO4" s="44"/>
      <c r="RQP4" s="44"/>
      <c r="RQQ4" s="44"/>
      <c r="RQR4" s="44"/>
      <c r="RQS4" s="44"/>
      <c r="RQT4" s="44"/>
      <c r="RQU4" s="44"/>
      <c r="RQV4" s="44"/>
      <c r="RQW4" s="43"/>
      <c r="RQX4" s="44"/>
      <c r="RQY4" s="44"/>
      <c r="RQZ4" s="44"/>
      <c r="RRA4" s="44"/>
      <c r="RRB4" s="44"/>
      <c r="RRC4" s="44"/>
      <c r="RRD4" s="44"/>
      <c r="RRE4" s="44"/>
      <c r="RRF4" s="44"/>
      <c r="RRG4" s="44"/>
      <c r="RRH4" s="44"/>
      <c r="RRI4" s="44"/>
      <c r="RRJ4" s="44"/>
      <c r="RRK4" s="44"/>
      <c r="RRL4" s="43"/>
      <c r="RRM4" s="44"/>
      <c r="RRN4" s="44"/>
      <c r="RRO4" s="44"/>
      <c r="RRP4" s="44"/>
      <c r="RRQ4" s="44"/>
      <c r="RRR4" s="44"/>
      <c r="RRS4" s="44"/>
      <c r="RRT4" s="44"/>
      <c r="RRU4" s="44"/>
      <c r="RRV4" s="44"/>
      <c r="RRW4" s="44"/>
      <c r="RRX4" s="44"/>
      <c r="RRY4" s="44"/>
      <c r="RRZ4" s="44"/>
      <c r="RSA4" s="43"/>
      <c r="RSB4" s="44"/>
      <c r="RSC4" s="44"/>
      <c r="RSD4" s="44"/>
      <c r="RSE4" s="44"/>
      <c r="RSF4" s="44"/>
      <c r="RSG4" s="44"/>
      <c r="RSH4" s="44"/>
      <c r="RSI4" s="44"/>
      <c r="RSJ4" s="44"/>
      <c r="RSK4" s="44"/>
      <c r="RSL4" s="44"/>
      <c r="RSM4" s="44"/>
      <c r="RSN4" s="44"/>
      <c r="RSO4" s="44"/>
      <c r="RSP4" s="43"/>
      <c r="RSQ4" s="44"/>
      <c r="RSR4" s="44"/>
      <c r="RSS4" s="44"/>
      <c r="RST4" s="44"/>
      <c r="RSU4" s="44"/>
      <c r="RSV4" s="44"/>
      <c r="RSW4" s="44"/>
      <c r="RSX4" s="44"/>
      <c r="RSY4" s="44"/>
      <c r="RSZ4" s="44"/>
      <c r="RTA4" s="44"/>
      <c r="RTB4" s="44"/>
      <c r="RTC4" s="44"/>
      <c r="RTD4" s="44"/>
      <c r="RTE4" s="43"/>
      <c r="RTF4" s="44"/>
      <c r="RTG4" s="44"/>
      <c r="RTH4" s="44"/>
      <c r="RTI4" s="44"/>
      <c r="RTJ4" s="44"/>
      <c r="RTK4" s="44"/>
      <c r="RTL4" s="44"/>
      <c r="RTM4" s="44"/>
      <c r="RTN4" s="44"/>
      <c r="RTO4" s="44"/>
      <c r="RTP4" s="44"/>
      <c r="RTQ4" s="44"/>
      <c r="RTR4" s="44"/>
      <c r="RTS4" s="44"/>
      <c r="RTT4" s="43"/>
      <c r="RTU4" s="44"/>
      <c r="RTV4" s="44"/>
      <c r="RTW4" s="44"/>
      <c r="RTX4" s="44"/>
      <c r="RTY4" s="44"/>
      <c r="RTZ4" s="44"/>
      <c r="RUA4" s="44"/>
      <c r="RUB4" s="44"/>
      <c r="RUC4" s="44"/>
      <c r="RUD4" s="44"/>
      <c r="RUE4" s="44"/>
      <c r="RUF4" s="44"/>
      <c r="RUG4" s="44"/>
      <c r="RUH4" s="44"/>
      <c r="RUI4" s="43"/>
      <c r="RUJ4" s="44"/>
      <c r="RUK4" s="44"/>
      <c r="RUL4" s="44"/>
      <c r="RUM4" s="44"/>
      <c r="RUN4" s="44"/>
      <c r="RUO4" s="44"/>
      <c r="RUP4" s="44"/>
      <c r="RUQ4" s="44"/>
      <c r="RUR4" s="44"/>
      <c r="RUS4" s="44"/>
      <c r="RUT4" s="44"/>
      <c r="RUU4" s="44"/>
      <c r="RUV4" s="44"/>
      <c r="RUW4" s="44"/>
      <c r="RUX4" s="43"/>
      <c r="RUY4" s="44"/>
      <c r="RUZ4" s="44"/>
      <c r="RVA4" s="44"/>
      <c r="RVB4" s="44"/>
      <c r="RVC4" s="44"/>
      <c r="RVD4" s="44"/>
      <c r="RVE4" s="44"/>
      <c r="RVF4" s="44"/>
      <c r="RVG4" s="44"/>
      <c r="RVH4" s="44"/>
      <c r="RVI4" s="44"/>
      <c r="RVJ4" s="44"/>
      <c r="RVK4" s="44"/>
      <c r="RVL4" s="44"/>
      <c r="RVM4" s="43"/>
      <c r="RVN4" s="44"/>
      <c r="RVO4" s="44"/>
      <c r="RVP4" s="44"/>
      <c r="RVQ4" s="44"/>
      <c r="RVR4" s="44"/>
      <c r="RVS4" s="44"/>
      <c r="RVT4" s="44"/>
      <c r="RVU4" s="44"/>
      <c r="RVV4" s="44"/>
      <c r="RVW4" s="44"/>
      <c r="RVX4" s="44"/>
      <c r="RVY4" s="44"/>
      <c r="RVZ4" s="44"/>
      <c r="RWA4" s="44"/>
      <c r="RWB4" s="43"/>
      <c r="RWC4" s="44"/>
      <c r="RWD4" s="44"/>
      <c r="RWE4" s="44"/>
      <c r="RWF4" s="44"/>
      <c r="RWG4" s="44"/>
      <c r="RWH4" s="44"/>
      <c r="RWI4" s="44"/>
      <c r="RWJ4" s="44"/>
      <c r="RWK4" s="44"/>
      <c r="RWL4" s="44"/>
      <c r="RWM4" s="44"/>
      <c r="RWN4" s="44"/>
      <c r="RWO4" s="44"/>
      <c r="RWP4" s="44"/>
      <c r="RWQ4" s="43"/>
      <c r="RWR4" s="44"/>
      <c r="RWS4" s="44"/>
      <c r="RWT4" s="44"/>
      <c r="RWU4" s="44"/>
      <c r="RWV4" s="44"/>
      <c r="RWW4" s="44"/>
      <c r="RWX4" s="44"/>
      <c r="RWY4" s="44"/>
      <c r="RWZ4" s="44"/>
      <c r="RXA4" s="44"/>
      <c r="RXB4" s="44"/>
      <c r="RXC4" s="44"/>
      <c r="RXD4" s="44"/>
      <c r="RXE4" s="44"/>
      <c r="RXF4" s="43"/>
      <c r="RXG4" s="44"/>
      <c r="RXH4" s="44"/>
      <c r="RXI4" s="44"/>
      <c r="RXJ4" s="44"/>
      <c r="RXK4" s="44"/>
      <c r="RXL4" s="44"/>
      <c r="RXM4" s="44"/>
      <c r="RXN4" s="44"/>
      <c r="RXO4" s="44"/>
      <c r="RXP4" s="44"/>
      <c r="RXQ4" s="44"/>
      <c r="RXR4" s="44"/>
      <c r="RXS4" s="44"/>
      <c r="RXT4" s="44"/>
      <c r="RXU4" s="43"/>
      <c r="RXV4" s="44"/>
      <c r="RXW4" s="44"/>
      <c r="RXX4" s="44"/>
      <c r="RXY4" s="44"/>
      <c r="RXZ4" s="44"/>
      <c r="RYA4" s="44"/>
      <c r="RYB4" s="44"/>
      <c r="RYC4" s="44"/>
      <c r="RYD4" s="44"/>
      <c r="RYE4" s="44"/>
      <c r="RYF4" s="44"/>
      <c r="RYG4" s="44"/>
      <c r="RYH4" s="44"/>
      <c r="RYI4" s="44"/>
      <c r="RYJ4" s="43"/>
      <c r="RYK4" s="44"/>
      <c r="RYL4" s="44"/>
      <c r="RYM4" s="44"/>
      <c r="RYN4" s="44"/>
      <c r="RYO4" s="44"/>
      <c r="RYP4" s="44"/>
      <c r="RYQ4" s="44"/>
      <c r="RYR4" s="44"/>
      <c r="RYS4" s="44"/>
      <c r="RYT4" s="44"/>
      <c r="RYU4" s="44"/>
      <c r="RYV4" s="44"/>
      <c r="RYW4" s="44"/>
      <c r="RYX4" s="44"/>
      <c r="RYY4" s="43"/>
      <c r="RYZ4" s="44"/>
      <c r="RZA4" s="44"/>
      <c r="RZB4" s="44"/>
      <c r="RZC4" s="44"/>
      <c r="RZD4" s="44"/>
      <c r="RZE4" s="44"/>
      <c r="RZF4" s="44"/>
      <c r="RZG4" s="44"/>
      <c r="RZH4" s="44"/>
      <c r="RZI4" s="44"/>
      <c r="RZJ4" s="44"/>
      <c r="RZK4" s="44"/>
      <c r="RZL4" s="44"/>
      <c r="RZM4" s="44"/>
      <c r="RZN4" s="43"/>
      <c r="RZO4" s="44"/>
      <c r="RZP4" s="44"/>
      <c r="RZQ4" s="44"/>
      <c r="RZR4" s="44"/>
      <c r="RZS4" s="44"/>
      <c r="RZT4" s="44"/>
      <c r="RZU4" s="44"/>
      <c r="RZV4" s="44"/>
      <c r="RZW4" s="44"/>
      <c r="RZX4" s="44"/>
      <c r="RZY4" s="44"/>
      <c r="RZZ4" s="44"/>
      <c r="SAA4" s="44"/>
      <c r="SAB4" s="44"/>
      <c r="SAC4" s="43"/>
      <c r="SAD4" s="44"/>
      <c r="SAE4" s="44"/>
      <c r="SAF4" s="44"/>
      <c r="SAG4" s="44"/>
      <c r="SAH4" s="44"/>
      <c r="SAI4" s="44"/>
      <c r="SAJ4" s="44"/>
      <c r="SAK4" s="44"/>
      <c r="SAL4" s="44"/>
      <c r="SAM4" s="44"/>
      <c r="SAN4" s="44"/>
      <c r="SAO4" s="44"/>
      <c r="SAP4" s="44"/>
      <c r="SAQ4" s="44"/>
      <c r="SAR4" s="43"/>
      <c r="SAS4" s="44"/>
      <c r="SAT4" s="44"/>
      <c r="SAU4" s="44"/>
      <c r="SAV4" s="44"/>
      <c r="SAW4" s="44"/>
      <c r="SAX4" s="44"/>
      <c r="SAY4" s="44"/>
      <c r="SAZ4" s="44"/>
      <c r="SBA4" s="44"/>
      <c r="SBB4" s="44"/>
      <c r="SBC4" s="44"/>
      <c r="SBD4" s="44"/>
      <c r="SBE4" s="44"/>
      <c r="SBF4" s="44"/>
      <c r="SBG4" s="43"/>
      <c r="SBH4" s="44"/>
      <c r="SBI4" s="44"/>
      <c r="SBJ4" s="44"/>
      <c r="SBK4" s="44"/>
      <c r="SBL4" s="44"/>
      <c r="SBM4" s="44"/>
      <c r="SBN4" s="44"/>
      <c r="SBO4" s="44"/>
      <c r="SBP4" s="44"/>
      <c r="SBQ4" s="44"/>
      <c r="SBR4" s="44"/>
      <c r="SBS4" s="44"/>
      <c r="SBT4" s="44"/>
      <c r="SBU4" s="44"/>
      <c r="SBV4" s="43"/>
      <c r="SBW4" s="44"/>
      <c r="SBX4" s="44"/>
      <c r="SBY4" s="44"/>
      <c r="SBZ4" s="44"/>
      <c r="SCA4" s="44"/>
      <c r="SCB4" s="44"/>
      <c r="SCC4" s="44"/>
      <c r="SCD4" s="44"/>
      <c r="SCE4" s="44"/>
      <c r="SCF4" s="44"/>
      <c r="SCG4" s="44"/>
      <c r="SCH4" s="44"/>
      <c r="SCI4" s="44"/>
      <c r="SCJ4" s="44"/>
      <c r="SCK4" s="43"/>
      <c r="SCL4" s="44"/>
      <c r="SCM4" s="44"/>
      <c r="SCN4" s="44"/>
      <c r="SCO4" s="44"/>
      <c r="SCP4" s="44"/>
      <c r="SCQ4" s="44"/>
      <c r="SCR4" s="44"/>
      <c r="SCS4" s="44"/>
      <c r="SCT4" s="44"/>
      <c r="SCU4" s="44"/>
      <c r="SCV4" s="44"/>
      <c r="SCW4" s="44"/>
      <c r="SCX4" s="44"/>
      <c r="SCY4" s="44"/>
      <c r="SCZ4" s="43"/>
      <c r="SDA4" s="44"/>
      <c r="SDB4" s="44"/>
      <c r="SDC4" s="44"/>
      <c r="SDD4" s="44"/>
      <c r="SDE4" s="44"/>
      <c r="SDF4" s="44"/>
      <c r="SDG4" s="44"/>
      <c r="SDH4" s="44"/>
      <c r="SDI4" s="44"/>
      <c r="SDJ4" s="44"/>
      <c r="SDK4" s="44"/>
      <c r="SDL4" s="44"/>
      <c r="SDM4" s="44"/>
      <c r="SDN4" s="44"/>
      <c r="SDO4" s="43"/>
      <c r="SDP4" s="44"/>
      <c r="SDQ4" s="44"/>
      <c r="SDR4" s="44"/>
      <c r="SDS4" s="44"/>
      <c r="SDT4" s="44"/>
      <c r="SDU4" s="44"/>
      <c r="SDV4" s="44"/>
      <c r="SDW4" s="44"/>
      <c r="SDX4" s="44"/>
      <c r="SDY4" s="44"/>
      <c r="SDZ4" s="44"/>
      <c r="SEA4" s="44"/>
      <c r="SEB4" s="44"/>
      <c r="SEC4" s="44"/>
      <c r="SED4" s="43"/>
      <c r="SEE4" s="44"/>
      <c r="SEF4" s="44"/>
      <c r="SEG4" s="44"/>
      <c r="SEH4" s="44"/>
      <c r="SEI4" s="44"/>
      <c r="SEJ4" s="44"/>
      <c r="SEK4" s="44"/>
      <c r="SEL4" s="44"/>
      <c r="SEM4" s="44"/>
      <c r="SEN4" s="44"/>
      <c r="SEO4" s="44"/>
      <c r="SEP4" s="44"/>
      <c r="SEQ4" s="44"/>
      <c r="SER4" s="44"/>
      <c r="SES4" s="43"/>
      <c r="SET4" s="44"/>
      <c r="SEU4" s="44"/>
      <c r="SEV4" s="44"/>
      <c r="SEW4" s="44"/>
      <c r="SEX4" s="44"/>
      <c r="SEY4" s="44"/>
      <c r="SEZ4" s="44"/>
      <c r="SFA4" s="44"/>
      <c r="SFB4" s="44"/>
      <c r="SFC4" s="44"/>
      <c r="SFD4" s="44"/>
      <c r="SFE4" s="44"/>
      <c r="SFF4" s="44"/>
      <c r="SFG4" s="44"/>
      <c r="SFH4" s="43"/>
      <c r="SFI4" s="44"/>
      <c r="SFJ4" s="44"/>
      <c r="SFK4" s="44"/>
      <c r="SFL4" s="44"/>
      <c r="SFM4" s="44"/>
      <c r="SFN4" s="44"/>
      <c r="SFO4" s="44"/>
      <c r="SFP4" s="44"/>
      <c r="SFQ4" s="44"/>
      <c r="SFR4" s="44"/>
      <c r="SFS4" s="44"/>
      <c r="SFT4" s="44"/>
      <c r="SFU4" s="44"/>
      <c r="SFV4" s="44"/>
      <c r="SFW4" s="43"/>
      <c r="SFX4" s="44"/>
      <c r="SFY4" s="44"/>
      <c r="SFZ4" s="44"/>
      <c r="SGA4" s="44"/>
      <c r="SGB4" s="44"/>
      <c r="SGC4" s="44"/>
      <c r="SGD4" s="44"/>
      <c r="SGE4" s="44"/>
      <c r="SGF4" s="44"/>
      <c r="SGG4" s="44"/>
      <c r="SGH4" s="44"/>
      <c r="SGI4" s="44"/>
      <c r="SGJ4" s="44"/>
      <c r="SGK4" s="44"/>
      <c r="SGL4" s="43"/>
      <c r="SGM4" s="44"/>
      <c r="SGN4" s="44"/>
      <c r="SGO4" s="44"/>
      <c r="SGP4" s="44"/>
      <c r="SGQ4" s="44"/>
      <c r="SGR4" s="44"/>
      <c r="SGS4" s="44"/>
      <c r="SGT4" s="44"/>
      <c r="SGU4" s="44"/>
      <c r="SGV4" s="44"/>
      <c r="SGW4" s="44"/>
      <c r="SGX4" s="44"/>
      <c r="SGY4" s="44"/>
      <c r="SGZ4" s="44"/>
      <c r="SHA4" s="43"/>
      <c r="SHB4" s="44"/>
      <c r="SHC4" s="44"/>
      <c r="SHD4" s="44"/>
      <c r="SHE4" s="44"/>
      <c r="SHF4" s="44"/>
      <c r="SHG4" s="44"/>
      <c r="SHH4" s="44"/>
      <c r="SHI4" s="44"/>
      <c r="SHJ4" s="44"/>
      <c r="SHK4" s="44"/>
      <c r="SHL4" s="44"/>
      <c r="SHM4" s="44"/>
      <c r="SHN4" s="44"/>
      <c r="SHO4" s="44"/>
      <c r="SHP4" s="43"/>
      <c r="SHQ4" s="44"/>
      <c r="SHR4" s="44"/>
      <c r="SHS4" s="44"/>
      <c r="SHT4" s="44"/>
      <c r="SHU4" s="44"/>
      <c r="SHV4" s="44"/>
      <c r="SHW4" s="44"/>
      <c r="SHX4" s="44"/>
      <c r="SHY4" s="44"/>
      <c r="SHZ4" s="44"/>
      <c r="SIA4" s="44"/>
      <c r="SIB4" s="44"/>
      <c r="SIC4" s="44"/>
      <c r="SID4" s="44"/>
      <c r="SIE4" s="43"/>
      <c r="SIF4" s="44"/>
      <c r="SIG4" s="44"/>
      <c r="SIH4" s="44"/>
      <c r="SII4" s="44"/>
      <c r="SIJ4" s="44"/>
      <c r="SIK4" s="44"/>
      <c r="SIL4" s="44"/>
      <c r="SIM4" s="44"/>
      <c r="SIN4" s="44"/>
      <c r="SIO4" s="44"/>
      <c r="SIP4" s="44"/>
      <c r="SIQ4" s="44"/>
      <c r="SIR4" s="44"/>
      <c r="SIS4" s="44"/>
      <c r="SIT4" s="43"/>
      <c r="SIU4" s="44"/>
      <c r="SIV4" s="44"/>
      <c r="SIW4" s="44"/>
      <c r="SIX4" s="44"/>
      <c r="SIY4" s="44"/>
      <c r="SIZ4" s="44"/>
      <c r="SJA4" s="44"/>
      <c r="SJB4" s="44"/>
      <c r="SJC4" s="44"/>
      <c r="SJD4" s="44"/>
      <c r="SJE4" s="44"/>
      <c r="SJF4" s="44"/>
      <c r="SJG4" s="44"/>
      <c r="SJH4" s="44"/>
      <c r="SJI4" s="43"/>
      <c r="SJJ4" s="44"/>
      <c r="SJK4" s="44"/>
      <c r="SJL4" s="44"/>
      <c r="SJM4" s="44"/>
      <c r="SJN4" s="44"/>
      <c r="SJO4" s="44"/>
      <c r="SJP4" s="44"/>
      <c r="SJQ4" s="44"/>
      <c r="SJR4" s="44"/>
      <c r="SJS4" s="44"/>
      <c r="SJT4" s="44"/>
      <c r="SJU4" s="44"/>
      <c r="SJV4" s="44"/>
      <c r="SJW4" s="44"/>
      <c r="SJX4" s="43"/>
      <c r="SJY4" s="44"/>
      <c r="SJZ4" s="44"/>
      <c r="SKA4" s="44"/>
      <c r="SKB4" s="44"/>
      <c r="SKC4" s="44"/>
      <c r="SKD4" s="44"/>
      <c r="SKE4" s="44"/>
      <c r="SKF4" s="44"/>
      <c r="SKG4" s="44"/>
      <c r="SKH4" s="44"/>
      <c r="SKI4" s="44"/>
      <c r="SKJ4" s="44"/>
      <c r="SKK4" s="44"/>
      <c r="SKL4" s="44"/>
      <c r="SKM4" s="43"/>
      <c r="SKN4" s="44"/>
      <c r="SKO4" s="44"/>
      <c r="SKP4" s="44"/>
      <c r="SKQ4" s="44"/>
      <c r="SKR4" s="44"/>
      <c r="SKS4" s="44"/>
      <c r="SKT4" s="44"/>
      <c r="SKU4" s="44"/>
      <c r="SKV4" s="44"/>
      <c r="SKW4" s="44"/>
      <c r="SKX4" s="44"/>
      <c r="SKY4" s="44"/>
      <c r="SKZ4" s="44"/>
      <c r="SLA4" s="44"/>
      <c r="SLB4" s="43"/>
      <c r="SLC4" s="44"/>
      <c r="SLD4" s="44"/>
      <c r="SLE4" s="44"/>
      <c r="SLF4" s="44"/>
      <c r="SLG4" s="44"/>
      <c r="SLH4" s="44"/>
      <c r="SLI4" s="44"/>
      <c r="SLJ4" s="44"/>
      <c r="SLK4" s="44"/>
      <c r="SLL4" s="44"/>
      <c r="SLM4" s="44"/>
      <c r="SLN4" s="44"/>
      <c r="SLO4" s="44"/>
      <c r="SLP4" s="44"/>
      <c r="SLQ4" s="43"/>
      <c r="SLR4" s="44"/>
      <c r="SLS4" s="44"/>
      <c r="SLT4" s="44"/>
      <c r="SLU4" s="44"/>
      <c r="SLV4" s="44"/>
      <c r="SLW4" s="44"/>
      <c r="SLX4" s="44"/>
      <c r="SLY4" s="44"/>
      <c r="SLZ4" s="44"/>
      <c r="SMA4" s="44"/>
      <c r="SMB4" s="44"/>
      <c r="SMC4" s="44"/>
      <c r="SMD4" s="44"/>
      <c r="SME4" s="44"/>
      <c r="SMF4" s="43"/>
      <c r="SMG4" s="44"/>
      <c r="SMH4" s="44"/>
      <c r="SMI4" s="44"/>
      <c r="SMJ4" s="44"/>
      <c r="SMK4" s="44"/>
      <c r="SML4" s="44"/>
      <c r="SMM4" s="44"/>
      <c r="SMN4" s="44"/>
      <c r="SMO4" s="44"/>
      <c r="SMP4" s="44"/>
      <c r="SMQ4" s="44"/>
      <c r="SMR4" s="44"/>
      <c r="SMS4" s="44"/>
      <c r="SMT4" s="44"/>
      <c r="SMU4" s="43"/>
      <c r="SMV4" s="44"/>
      <c r="SMW4" s="44"/>
      <c r="SMX4" s="44"/>
      <c r="SMY4" s="44"/>
      <c r="SMZ4" s="44"/>
      <c r="SNA4" s="44"/>
      <c r="SNB4" s="44"/>
      <c r="SNC4" s="44"/>
      <c r="SND4" s="44"/>
      <c r="SNE4" s="44"/>
      <c r="SNF4" s="44"/>
      <c r="SNG4" s="44"/>
      <c r="SNH4" s="44"/>
      <c r="SNI4" s="44"/>
      <c r="SNJ4" s="43"/>
      <c r="SNK4" s="44"/>
      <c r="SNL4" s="44"/>
      <c r="SNM4" s="44"/>
      <c r="SNN4" s="44"/>
      <c r="SNO4" s="44"/>
      <c r="SNP4" s="44"/>
      <c r="SNQ4" s="44"/>
      <c r="SNR4" s="44"/>
      <c r="SNS4" s="44"/>
      <c r="SNT4" s="44"/>
      <c r="SNU4" s="44"/>
      <c r="SNV4" s="44"/>
      <c r="SNW4" s="44"/>
      <c r="SNX4" s="44"/>
      <c r="SNY4" s="43"/>
      <c r="SNZ4" s="44"/>
      <c r="SOA4" s="44"/>
      <c r="SOB4" s="44"/>
      <c r="SOC4" s="44"/>
      <c r="SOD4" s="44"/>
      <c r="SOE4" s="44"/>
      <c r="SOF4" s="44"/>
      <c r="SOG4" s="44"/>
      <c r="SOH4" s="44"/>
      <c r="SOI4" s="44"/>
      <c r="SOJ4" s="44"/>
      <c r="SOK4" s="44"/>
      <c r="SOL4" s="44"/>
      <c r="SOM4" s="44"/>
      <c r="SON4" s="43"/>
      <c r="SOO4" s="44"/>
      <c r="SOP4" s="44"/>
      <c r="SOQ4" s="44"/>
      <c r="SOR4" s="44"/>
      <c r="SOS4" s="44"/>
      <c r="SOT4" s="44"/>
      <c r="SOU4" s="44"/>
      <c r="SOV4" s="44"/>
      <c r="SOW4" s="44"/>
      <c r="SOX4" s="44"/>
      <c r="SOY4" s="44"/>
      <c r="SOZ4" s="44"/>
      <c r="SPA4" s="44"/>
      <c r="SPB4" s="44"/>
      <c r="SPC4" s="43"/>
      <c r="SPD4" s="44"/>
      <c r="SPE4" s="44"/>
      <c r="SPF4" s="44"/>
      <c r="SPG4" s="44"/>
      <c r="SPH4" s="44"/>
      <c r="SPI4" s="44"/>
      <c r="SPJ4" s="44"/>
      <c r="SPK4" s="44"/>
      <c r="SPL4" s="44"/>
      <c r="SPM4" s="44"/>
      <c r="SPN4" s="44"/>
      <c r="SPO4" s="44"/>
      <c r="SPP4" s="44"/>
      <c r="SPQ4" s="44"/>
      <c r="SPR4" s="43"/>
      <c r="SPS4" s="44"/>
      <c r="SPT4" s="44"/>
      <c r="SPU4" s="44"/>
      <c r="SPV4" s="44"/>
      <c r="SPW4" s="44"/>
      <c r="SPX4" s="44"/>
      <c r="SPY4" s="44"/>
      <c r="SPZ4" s="44"/>
      <c r="SQA4" s="44"/>
      <c r="SQB4" s="44"/>
      <c r="SQC4" s="44"/>
      <c r="SQD4" s="44"/>
      <c r="SQE4" s="44"/>
      <c r="SQF4" s="44"/>
      <c r="SQG4" s="43"/>
      <c r="SQH4" s="44"/>
      <c r="SQI4" s="44"/>
      <c r="SQJ4" s="44"/>
      <c r="SQK4" s="44"/>
      <c r="SQL4" s="44"/>
      <c r="SQM4" s="44"/>
      <c r="SQN4" s="44"/>
      <c r="SQO4" s="44"/>
      <c r="SQP4" s="44"/>
      <c r="SQQ4" s="44"/>
      <c r="SQR4" s="44"/>
      <c r="SQS4" s="44"/>
      <c r="SQT4" s="44"/>
      <c r="SQU4" s="44"/>
      <c r="SQV4" s="43"/>
      <c r="SQW4" s="44"/>
      <c r="SQX4" s="44"/>
      <c r="SQY4" s="44"/>
      <c r="SQZ4" s="44"/>
      <c r="SRA4" s="44"/>
      <c r="SRB4" s="44"/>
      <c r="SRC4" s="44"/>
      <c r="SRD4" s="44"/>
      <c r="SRE4" s="44"/>
      <c r="SRF4" s="44"/>
      <c r="SRG4" s="44"/>
      <c r="SRH4" s="44"/>
      <c r="SRI4" s="44"/>
      <c r="SRJ4" s="44"/>
      <c r="SRK4" s="43"/>
      <c r="SRL4" s="44"/>
      <c r="SRM4" s="44"/>
      <c r="SRN4" s="44"/>
      <c r="SRO4" s="44"/>
      <c r="SRP4" s="44"/>
      <c r="SRQ4" s="44"/>
      <c r="SRR4" s="44"/>
      <c r="SRS4" s="44"/>
      <c r="SRT4" s="44"/>
      <c r="SRU4" s="44"/>
      <c r="SRV4" s="44"/>
      <c r="SRW4" s="44"/>
      <c r="SRX4" s="44"/>
      <c r="SRY4" s="44"/>
      <c r="SRZ4" s="43"/>
      <c r="SSA4" s="44"/>
      <c r="SSB4" s="44"/>
      <c r="SSC4" s="44"/>
      <c r="SSD4" s="44"/>
      <c r="SSE4" s="44"/>
      <c r="SSF4" s="44"/>
      <c r="SSG4" s="44"/>
      <c r="SSH4" s="44"/>
      <c r="SSI4" s="44"/>
      <c r="SSJ4" s="44"/>
      <c r="SSK4" s="44"/>
      <c r="SSL4" s="44"/>
      <c r="SSM4" s="44"/>
      <c r="SSN4" s="44"/>
      <c r="SSO4" s="43"/>
      <c r="SSP4" s="44"/>
      <c r="SSQ4" s="44"/>
      <c r="SSR4" s="44"/>
      <c r="SSS4" s="44"/>
      <c r="SST4" s="44"/>
      <c r="SSU4" s="44"/>
      <c r="SSV4" s="44"/>
      <c r="SSW4" s="44"/>
      <c r="SSX4" s="44"/>
      <c r="SSY4" s="44"/>
      <c r="SSZ4" s="44"/>
      <c r="STA4" s="44"/>
      <c r="STB4" s="44"/>
      <c r="STC4" s="44"/>
      <c r="STD4" s="43"/>
      <c r="STE4" s="44"/>
      <c r="STF4" s="44"/>
      <c r="STG4" s="44"/>
      <c r="STH4" s="44"/>
      <c r="STI4" s="44"/>
      <c r="STJ4" s="44"/>
      <c r="STK4" s="44"/>
      <c r="STL4" s="44"/>
      <c r="STM4" s="44"/>
      <c r="STN4" s="44"/>
      <c r="STO4" s="44"/>
      <c r="STP4" s="44"/>
      <c r="STQ4" s="44"/>
      <c r="STR4" s="44"/>
      <c r="STS4" s="43"/>
      <c r="STT4" s="44"/>
      <c r="STU4" s="44"/>
      <c r="STV4" s="44"/>
      <c r="STW4" s="44"/>
      <c r="STX4" s="44"/>
      <c r="STY4" s="44"/>
      <c r="STZ4" s="44"/>
      <c r="SUA4" s="44"/>
      <c r="SUB4" s="44"/>
      <c r="SUC4" s="44"/>
      <c r="SUD4" s="44"/>
      <c r="SUE4" s="44"/>
      <c r="SUF4" s="44"/>
      <c r="SUG4" s="44"/>
      <c r="SUH4" s="43"/>
      <c r="SUI4" s="44"/>
      <c r="SUJ4" s="44"/>
      <c r="SUK4" s="44"/>
      <c r="SUL4" s="44"/>
      <c r="SUM4" s="44"/>
      <c r="SUN4" s="44"/>
      <c r="SUO4" s="44"/>
      <c r="SUP4" s="44"/>
      <c r="SUQ4" s="44"/>
      <c r="SUR4" s="44"/>
      <c r="SUS4" s="44"/>
      <c r="SUT4" s="44"/>
      <c r="SUU4" s="44"/>
      <c r="SUV4" s="44"/>
      <c r="SUW4" s="43"/>
      <c r="SUX4" s="44"/>
      <c r="SUY4" s="44"/>
      <c r="SUZ4" s="44"/>
      <c r="SVA4" s="44"/>
      <c r="SVB4" s="44"/>
      <c r="SVC4" s="44"/>
      <c r="SVD4" s="44"/>
      <c r="SVE4" s="44"/>
      <c r="SVF4" s="44"/>
      <c r="SVG4" s="44"/>
      <c r="SVH4" s="44"/>
      <c r="SVI4" s="44"/>
      <c r="SVJ4" s="44"/>
      <c r="SVK4" s="44"/>
      <c r="SVL4" s="43"/>
      <c r="SVM4" s="44"/>
      <c r="SVN4" s="44"/>
      <c r="SVO4" s="44"/>
      <c r="SVP4" s="44"/>
      <c r="SVQ4" s="44"/>
      <c r="SVR4" s="44"/>
      <c r="SVS4" s="44"/>
      <c r="SVT4" s="44"/>
      <c r="SVU4" s="44"/>
      <c r="SVV4" s="44"/>
      <c r="SVW4" s="44"/>
      <c r="SVX4" s="44"/>
      <c r="SVY4" s="44"/>
      <c r="SVZ4" s="44"/>
      <c r="SWA4" s="43"/>
      <c r="SWB4" s="44"/>
      <c r="SWC4" s="44"/>
      <c r="SWD4" s="44"/>
      <c r="SWE4" s="44"/>
      <c r="SWF4" s="44"/>
      <c r="SWG4" s="44"/>
      <c r="SWH4" s="44"/>
      <c r="SWI4" s="44"/>
      <c r="SWJ4" s="44"/>
      <c r="SWK4" s="44"/>
      <c r="SWL4" s="44"/>
      <c r="SWM4" s="44"/>
      <c r="SWN4" s="44"/>
      <c r="SWO4" s="44"/>
      <c r="SWP4" s="43"/>
      <c r="SWQ4" s="44"/>
      <c r="SWR4" s="44"/>
      <c r="SWS4" s="44"/>
      <c r="SWT4" s="44"/>
      <c r="SWU4" s="44"/>
      <c r="SWV4" s="44"/>
      <c r="SWW4" s="44"/>
      <c r="SWX4" s="44"/>
      <c r="SWY4" s="44"/>
      <c r="SWZ4" s="44"/>
      <c r="SXA4" s="44"/>
      <c r="SXB4" s="44"/>
      <c r="SXC4" s="44"/>
      <c r="SXD4" s="44"/>
      <c r="SXE4" s="43"/>
      <c r="SXF4" s="44"/>
      <c r="SXG4" s="44"/>
      <c r="SXH4" s="44"/>
      <c r="SXI4" s="44"/>
      <c r="SXJ4" s="44"/>
      <c r="SXK4" s="44"/>
      <c r="SXL4" s="44"/>
      <c r="SXM4" s="44"/>
      <c r="SXN4" s="44"/>
      <c r="SXO4" s="44"/>
      <c r="SXP4" s="44"/>
      <c r="SXQ4" s="44"/>
      <c r="SXR4" s="44"/>
      <c r="SXS4" s="44"/>
      <c r="SXT4" s="43"/>
      <c r="SXU4" s="44"/>
      <c r="SXV4" s="44"/>
      <c r="SXW4" s="44"/>
      <c r="SXX4" s="44"/>
      <c r="SXY4" s="44"/>
      <c r="SXZ4" s="44"/>
      <c r="SYA4" s="44"/>
      <c r="SYB4" s="44"/>
      <c r="SYC4" s="44"/>
      <c r="SYD4" s="44"/>
      <c r="SYE4" s="44"/>
      <c r="SYF4" s="44"/>
      <c r="SYG4" s="44"/>
      <c r="SYH4" s="44"/>
      <c r="SYI4" s="43"/>
      <c r="SYJ4" s="44"/>
      <c r="SYK4" s="44"/>
      <c r="SYL4" s="44"/>
      <c r="SYM4" s="44"/>
      <c r="SYN4" s="44"/>
      <c r="SYO4" s="44"/>
      <c r="SYP4" s="44"/>
      <c r="SYQ4" s="44"/>
      <c r="SYR4" s="44"/>
      <c r="SYS4" s="44"/>
      <c r="SYT4" s="44"/>
      <c r="SYU4" s="44"/>
      <c r="SYV4" s="44"/>
      <c r="SYW4" s="44"/>
      <c r="SYX4" s="43"/>
      <c r="SYY4" s="44"/>
      <c r="SYZ4" s="44"/>
      <c r="SZA4" s="44"/>
      <c r="SZB4" s="44"/>
      <c r="SZC4" s="44"/>
      <c r="SZD4" s="44"/>
      <c r="SZE4" s="44"/>
      <c r="SZF4" s="44"/>
      <c r="SZG4" s="44"/>
      <c r="SZH4" s="44"/>
      <c r="SZI4" s="44"/>
      <c r="SZJ4" s="44"/>
      <c r="SZK4" s="44"/>
      <c r="SZL4" s="44"/>
      <c r="SZM4" s="43"/>
      <c r="SZN4" s="44"/>
      <c r="SZO4" s="44"/>
      <c r="SZP4" s="44"/>
      <c r="SZQ4" s="44"/>
      <c r="SZR4" s="44"/>
      <c r="SZS4" s="44"/>
      <c r="SZT4" s="44"/>
      <c r="SZU4" s="44"/>
      <c r="SZV4" s="44"/>
      <c r="SZW4" s="44"/>
      <c r="SZX4" s="44"/>
      <c r="SZY4" s="44"/>
      <c r="SZZ4" s="44"/>
      <c r="TAA4" s="44"/>
      <c r="TAB4" s="43"/>
      <c r="TAC4" s="44"/>
      <c r="TAD4" s="44"/>
      <c r="TAE4" s="44"/>
      <c r="TAF4" s="44"/>
      <c r="TAG4" s="44"/>
      <c r="TAH4" s="44"/>
      <c r="TAI4" s="44"/>
      <c r="TAJ4" s="44"/>
      <c r="TAK4" s="44"/>
      <c r="TAL4" s="44"/>
      <c r="TAM4" s="44"/>
      <c r="TAN4" s="44"/>
      <c r="TAO4" s="44"/>
      <c r="TAP4" s="44"/>
      <c r="TAQ4" s="43"/>
      <c r="TAR4" s="44"/>
      <c r="TAS4" s="44"/>
      <c r="TAT4" s="44"/>
      <c r="TAU4" s="44"/>
      <c r="TAV4" s="44"/>
      <c r="TAW4" s="44"/>
      <c r="TAX4" s="44"/>
      <c r="TAY4" s="44"/>
      <c r="TAZ4" s="44"/>
      <c r="TBA4" s="44"/>
      <c r="TBB4" s="44"/>
      <c r="TBC4" s="44"/>
      <c r="TBD4" s="44"/>
      <c r="TBE4" s="44"/>
      <c r="TBF4" s="43"/>
      <c r="TBG4" s="44"/>
      <c r="TBH4" s="44"/>
      <c r="TBI4" s="44"/>
      <c r="TBJ4" s="44"/>
      <c r="TBK4" s="44"/>
      <c r="TBL4" s="44"/>
      <c r="TBM4" s="44"/>
      <c r="TBN4" s="44"/>
      <c r="TBO4" s="44"/>
      <c r="TBP4" s="44"/>
      <c r="TBQ4" s="44"/>
      <c r="TBR4" s="44"/>
      <c r="TBS4" s="44"/>
      <c r="TBT4" s="44"/>
      <c r="TBU4" s="43"/>
      <c r="TBV4" s="44"/>
      <c r="TBW4" s="44"/>
      <c r="TBX4" s="44"/>
      <c r="TBY4" s="44"/>
      <c r="TBZ4" s="44"/>
      <c r="TCA4" s="44"/>
      <c r="TCB4" s="44"/>
      <c r="TCC4" s="44"/>
      <c r="TCD4" s="44"/>
      <c r="TCE4" s="44"/>
      <c r="TCF4" s="44"/>
      <c r="TCG4" s="44"/>
      <c r="TCH4" s="44"/>
      <c r="TCI4" s="44"/>
      <c r="TCJ4" s="43"/>
      <c r="TCK4" s="44"/>
      <c r="TCL4" s="44"/>
      <c r="TCM4" s="44"/>
      <c r="TCN4" s="44"/>
      <c r="TCO4" s="44"/>
      <c r="TCP4" s="44"/>
      <c r="TCQ4" s="44"/>
      <c r="TCR4" s="44"/>
      <c r="TCS4" s="44"/>
      <c r="TCT4" s="44"/>
      <c r="TCU4" s="44"/>
      <c r="TCV4" s="44"/>
      <c r="TCW4" s="44"/>
      <c r="TCX4" s="44"/>
      <c r="TCY4" s="43"/>
      <c r="TCZ4" s="44"/>
      <c r="TDA4" s="44"/>
      <c r="TDB4" s="44"/>
      <c r="TDC4" s="44"/>
      <c r="TDD4" s="44"/>
      <c r="TDE4" s="44"/>
      <c r="TDF4" s="44"/>
      <c r="TDG4" s="44"/>
      <c r="TDH4" s="44"/>
      <c r="TDI4" s="44"/>
      <c r="TDJ4" s="44"/>
      <c r="TDK4" s="44"/>
      <c r="TDL4" s="44"/>
      <c r="TDM4" s="44"/>
      <c r="TDN4" s="43"/>
      <c r="TDO4" s="44"/>
      <c r="TDP4" s="44"/>
      <c r="TDQ4" s="44"/>
      <c r="TDR4" s="44"/>
      <c r="TDS4" s="44"/>
      <c r="TDT4" s="44"/>
      <c r="TDU4" s="44"/>
      <c r="TDV4" s="44"/>
      <c r="TDW4" s="44"/>
      <c r="TDX4" s="44"/>
      <c r="TDY4" s="44"/>
      <c r="TDZ4" s="44"/>
      <c r="TEA4" s="44"/>
      <c r="TEB4" s="44"/>
      <c r="TEC4" s="43"/>
      <c r="TED4" s="44"/>
      <c r="TEE4" s="44"/>
      <c r="TEF4" s="44"/>
      <c r="TEG4" s="44"/>
      <c r="TEH4" s="44"/>
      <c r="TEI4" s="44"/>
      <c r="TEJ4" s="44"/>
      <c r="TEK4" s="44"/>
      <c r="TEL4" s="44"/>
      <c r="TEM4" s="44"/>
      <c r="TEN4" s="44"/>
      <c r="TEO4" s="44"/>
      <c r="TEP4" s="44"/>
      <c r="TEQ4" s="44"/>
      <c r="TER4" s="43"/>
      <c r="TES4" s="44"/>
      <c r="TET4" s="44"/>
      <c r="TEU4" s="44"/>
      <c r="TEV4" s="44"/>
      <c r="TEW4" s="44"/>
      <c r="TEX4" s="44"/>
      <c r="TEY4" s="44"/>
      <c r="TEZ4" s="44"/>
      <c r="TFA4" s="44"/>
      <c r="TFB4" s="44"/>
      <c r="TFC4" s="44"/>
      <c r="TFD4" s="44"/>
      <c r="TFE4" s="44"/>
      <c r="TFF4" s="44"/>
      <c r="TFG4" s="43"/>
      <c r="TFH4" s="44"/>
      <c r="TFI4" s="44"/>
      <c r="TFJ4" s="44"/>
      <c r="TFK4" s="44"/>
      <c r="TFL4" s="44"/>
      <c r="TFM4" s="44"/>
      <c r="TFN4" s="44"/>
      <c r="TFO4" s="44"/>
      <c r="TFP4" s="44"/>
      <c r="TFQ4" s="44"/>
      <c r="TFR4" s="44"/>
      <c r="TFS4" s="44"/>
      <c r="TFT4" s="44"/>
      <c r="TFU4" s="44"/>
      <c r="TFV4" s="43"/>
      <c r="TFW4" s="44"/>
      <c r="TFX4" s="44"/>
      <c r="TFY4" s="44"/>
      <c r="TFZ4" s="44"/>
      <c r="TGA4" s="44"/>
      <c r="TGB4" s="44"/>
      <c r="TGC4" s="44"/>
      <c r="TGD4" s="44"/>
      <c r="TGE4" s="44"/>
      <c r="TGF4" s="44"/>
      <c r="TGG4" s="44"/>
      <c r="TGH4" s="44"/>
      <c r="TGI4" s="44"/>
      <c r="TGJ4" s="44"/>
      <c r="TGK4" s="43"/>
      <c r="TGL4" s="44"/>
      <c r="TGM4" s="44"/>
      <c r="TGN4" s="44"/>
      <c r="TGO4" s="44"/>
      <c r="TGP4" s="44"/>
      <c r="TGQ4" s="44"/>
      <c r="TGR4" s="44"/>
      <c r="TGS4" s="44"/>
      <c r="TGT4" s="44"/>
      <c r="TGU4" s="44"/>
      <c r="TGV4" s="44"/>
      <c r="TGW4" s="44"/>
      <c r="TGX4" s="44"/>
      <c r="TGY4" s="44"/>
      <c r="TGZ4" s="43"/>
      <c r="THA4" s="44"/>
      <c r="THB4" s="44"/>
      <c r="THC4" s="44"/>
      <c r="THD4" s="44"/>
      <c r="THE4" s="44"/>
      <c r="THF4" s="44"/>
      <c r="THG4" s="44"/>
      <c r="THH4" s="44"/>
      <c r="THI4" s="44"/>
      <c r="THJ4" s="44"/>
      <c r="THK4" s="44"/>
      <c r="THL4" s="44"/>
      <c r="THM4" s="44"/>
      <c r="THN4" s="44"/>
      <c r="THO4" s="43"/>
      <c r="THP4" s="44"/>
      <c r="THQ4" s="44"/>
      <c r="THR4" s="44"/>
      <c r="THS4" s="44"/>
      <c r="THT4" s="44"/>
      <c r="THU4" s="44"/>
      <c r="THV4" s="44"/>
      <c r="THW4" s="44"/>
      <c r="THX4" s="44"/>
      <c r="THY4" s="44"/>
      <c r="THZ4" s="44"/>
      <c r="TIA4" s="44"/>
      <c r="TIB4" s="44"/>
      <c r="TIC4" s="44"/>
      <c r="TID4" s="43"/>
      <c r="TIE4" s="44"/>
      <c r="TIF4" s="44"/>
      <c r="TIG4" s="44"/>
      <c r="TIH4" s="44"/>
      <c r="TII4" s="44"/>
      <c r="TIJ4" s="44"/>
      <c r="TIK4" s="44"/>
      <c r="TIL4" s="44"/>
      <c r="TIM4" s="44"/>
      <c r="TIN4" s="44"/>
      <c r="TIO4" s="44"/>
      <c r="TIP4" s="44"/>
      <c r="TIQ4" s="44"/>
      <c r="TIR4" s="44"/>
      <c r="TIS4" s="43"/>
      <c r="TIT4" s="44"/>
      <c r="TIU4" s="44"/>
      <c r="TIV4" s="44"/>
      <c r="TIW4" s="44"/>
      <c r="TIX4" s="44"/>
      <c r="TIY4" s="44"/>
      <c r="TIZ4" s="44"/>
      <c r="TJA4" s="44"/>
      <c r="TJB4" s="44"/>
      <c r="TJC4" s="44"/>
      <c r="TJD4" s="44"/>
      <c r="TJE4" s="44"/>
      <c r="TJF4" s="44"/>
      <c r="TJG4" s="44"/>
      <c r="TJH4" s="43"/>
      <c r="TJI4" s="44"/>
      <c r="TJJ4" s="44"/>
      <c r="TJK4" s="44"/>
      <c r="TJL4" s="44"/>
      <c r="TJM4" s="44"/>
      <c r="TJN4" s="44"/>
      <c r="TJO4" s="44"/>
      <c r="TJP4" s="44"/>
      <c r="TJQ4" s="44"/>
      <c r="TJR4" s="44"/>
      <c r="TJS4" s="44"/>
      <c r="TJT4" s="44"/>
      <c r="TJU4" s="44"/>
      <c r="TJV4" s="44"/>
      <c r="TJW4" s="43"/>
      <c r="TJX4" s="44"/>
      <c r="TJY4" s="44"/>
      <c r="TJZ4" s="44"/>
      <c r="TKA4" s="44"/>
      <c r="TKB4" s="44"/>
      <c r="TKC4" s="44"/>
      <c r="TKD4" s="44"/>
      <c r="TKE4" s="44"/>
      <c r="TKF4" s="44"/>
      <c r="TKG4" s="44"/>
      <c r="TKH4" s="44"/>
      <c r="TKI4" s="44"/>
      <c r="TKJ4" s="44"/>
      <c r="TKK4" s="44"/>
      <c r="TKL4" s="43"/>
      <c r="TKM4" s="44"/>
      <c r="TKN4" s="44"/>
      <c r="TKO4" s="44"/>
      <c r="TKP4" s="44"/>
      <c r="TKQ4" s="44"/>
      <c r="TKR4" s="44"/>
      <c r="TKS4" s="44"/>
      <c r="TKT4" s="44"/>
      <c r="TKU4" s="44"/>
      <c r="TKV4" s="44"/>
      <c r="TKW4" s="44"/>
      <c r="TKX4" s="44"/>
      <c r="TKY4" s="44"/>
      <c r="TKZ4" s="44"/>
      <c r="TLA4" s="43"/>
      <c r="TLB4" s="44"/>
      <c r="TLC4" s="44"/>
      <c r="TLD4" s="44"/>
      <c r="TLE4" s="44"/>
      <c r="TLF4" s="44"/>
      <c r="TLG4" s="44"/>
      <c r="TLH4" s="44"/>
      <c r="TLI4" s="44"/>
      <c r="TLJ4" s="44"/>
      <c r="TLK4" s="44"/>
      <c r="TLL4" s="44"/>
      <c r="TLM4" s="44"/>
      <c r="TLN4" s="44"/>
      <c r="TLO4" s="44"/>
      <c r="TLP4" s="43"/>
      <c r="TLQ4" s="44"/>
      <c r="TLR4" s="44"/>
      <c r="TLS4" s="44"/>
      <c r="TLT4" s="44"/>
      <c r="TLU4" s="44"/>
      <c r="TLV4" s="44"/>
      <c r="TLW4" s="44"/>
      <c r="TLX4" s="44"/>
      <c r="TLY4" s="44"/>
      <c r="TLZ4" s="44"/>
      <c r="TMA4" s="44"/>
      <c r="TMB4" s="44"/>
      <c r="TMC4" s="44"/>
      <c r="TMD4" s="44"/>
      <c r="TME4" s="43"/>
      <c r="TMF4" s="44"/>
      <c r="TMG4" s="44"/>
      <c r="TMH4" s="44"/>
      <c r="TMI4" s="44"/>
      <c r="TMJ4" s="44"/>
      <c r="TMK4" s="44"/>
      <c r="TML4" s="44"/>
      <c r="TMM4" s="44"/>
      <c r="TMN4" s="44"/>
      <c r="TMO4" s="44"/>
      <c r="TMP4" s="44"/>
      <c r="TMQ4" s="44"/>
      <c r="TMR4" s="44"/>
      <c r="TMS4" s="44"/>
      <c r="TMT4" s="43"/>
      <c r="TMU4" s="44"/>
      <c r="TMV4" s="44"/>
      <c r="TMW4" s="44"/>
      <c r="TMX4" s="44"/>
      <c r="TMY4" s="44"/>
      <c r="TMZ4" s="44"/>
      <c r="TNA4" s="44"/>
      <c r="TNB4" s="44"/>
      <c r="TNC4" s="44"/>
      <c r="TND4" s="44"/>
      <c r="TNE4" s="44"/>
      <c r="TNF4" s="44"/>
      <c r="TNG4" s="44"/>
      <c r="TNH4" s="44"/>
      <c r="TNI4" s="43"/>
      <c r="TNJ4" s="44"/>
      <c r="TNK4" s="44"/>
      <c r="TNL4" s="44"/>
      <c r="TNM4" s="44"/>
      <c r="TNN4" s="44"/>
      <c r="TNO4" s="44"/>
      <c r="TNP4" s="44"/>
      <c r="TNQ4" s="44"/>
      <c r="TNR4" s="44"/>
      <c r="TNS4" s="44"/>
      <c r="TNT4" s="44"/>
      <c r="TNU4" s="44"/>
      <c r="TNV4" s="44"/>
      <c r="TNW4" s="44"/>
      <c r="TNX4" s="43"/>
      <c r="TNY4" s="44"/>
      <c r="TNZ4" s="44"/>
      <c r="TOA4" s="44"/>
      <c r="TOB4" s="44"/>
      <c r="TOC4" s="44"/>
      <c r="TOD4" s="44"/>
      <c r="TOE4" s="44"/>
      <c r="TOF4" s="44"/>
      <c r="TOG4" s="44"/>
      <c r="TOH4" s="44"/>
      <c r="TOI4" s="44"/>
      <c r="TOJ4" s="44"/>
      <c r="TOK4" s="44"/>
      <c r="TOL4" s="44"/>
      <c r="TOM4" s="43"/>
      <c r="TON4" s="44"/>
      <c r="TOO4" s="44"/>
      <c r="TOP4" s="44"/>
      <c r="TOQ4" s="44"/>
      <c r="TOR4" s="44"/>
      <c r="TOS4" s="44"/>
      <c r="TOT4" s="44"/>
      <c r="TOU4" s="44"/>
      <c r="TOV4" s="44"/>
      <c r="TOW4" s="44"/>
      <c r="TOX4" s="44"/>
      <c r="TOY4" s="44"/>
      <c r="TOZ4" s="44"/>
      <c r="TPA4" s="44"/>
      <c r="TPB4" s="43"/>
      <c r="TPC4" s="44"/>
      <c r="TPD4" s="44"/>
      <c r="TPE4" s="44"/>
      <c r="TPF4" s="44"/>
      <c r="TPG4" s="44"/>
      <c r="TPH4" s="44"/>
      <c r="TPI4" s="44"/>
      <c r="TPJ4" s="44"/>
      <c r="TPK4" s="44"/>
      <c r="TPL4" s="44"/>
      <c r="TPM4" s="44"/>
      <c r="TPN4" s="44"/>
      <c r="TPO4" s="44"/>
      <c r="TPP4" s="44"/>
      <c r="TPQ4" s="43"/>
      <c r="TPR4" s="44"/>
      <c r="TPS4" s="44"/>
      <c r="TPT4" s="44"/>
      <c r="TPU4" s="44"/>
      <c r="TPV4" s="44"/>
      <c r="TPW4" s="44"/>
      <c r="TPX4" s="44"/>
      <c r="TPY4" s="44"/>
      <c r="TPZ4" s="44"/>
      <c r="TQA4" s="44"/>
      <c r="TQB4" s="44"/>
      <c r="TQC4" s="44"/>
      <c r="TQD4" s="44"/>
      <c r="TQE4" s="44"/>
      <c r="TQF4" s="43"/>
      <c r="TQG4" s="44"/>
      <c r="TQH4" s="44"/>
      <c r="TQI4" s="44"/>
      <c r="TQJ4" s="44"/>
      <c r="TQK4" s="44"/>
      <c r="TQL4" s="44"/>
      <c r="TQM4" s="44"/>
      <c r="TQN4" s="44"/>
      <c r="TQO4" s="44"/>
      <c r="TQP4" s="44"/>
      <c r="TQQ4" s="44"/>
      <c r="TQR4" s="44"/>
      <c r="TQS4" s="44"/>
      <c r="TQT4" s="44"/>
      <c r="TQU4" s="43"/>
      <c r="TQV4" s="44"/>
      <c r="TQW4" s="44"/>
      <c r="TQX4" s="44"/>
      <c r="TQY4" s="44"/>
      <c r="TQZ4" s="44"/>
      <c r="TRA4" s="44"/>
      <c r="TRB4" s="44"/>
      <c r="TRC4" s="44"/>
      <c r="TRD4" s="44"/>
      <c r="TRE4" s="44"/>
      <c r="TRF4" s="44"/>
      <c r="TRG4" s="44"/>
      <c r="TRH4" s="44"/>
      <c r="TRI4" s="44"/>
      <c r="TRJ4" s="43"/>
      <c r="TRK4" s="44"/>
      <c r="TRL4" s="44"/>
      <c r="TRM4" s="44"/>
      <c r="TRN4" s="44"/>
      <c r="TRO4" s="44"/>
      <c r="TRP4" s="44"/>
      <c r="TRQ4" s="44"/>
      <c r="TRR4" s="44"/>
      <c r="TRS4" s="44"/>
      <c r="TRT4" s="44"/>
      <c r="TRU4" s="44"/>
      <c r="TRV4" s="44"/>
      <c r="TRW4" s="44"/>
      <c r="TRX4" s="44"/>
      <c r="TRY4" s="43"/>
      <c r="TRZ4" s="44"/>
      <c r="TSA4" s="44"/>
      <c r="TSB4" s="44"/>
      <c r="TSC4" s="44"/>
      <c r="TSD4" s="44"/>
      <c r="TSE4" s="44"/>
      <c r="TSF4" s="44"/>
      <c r="TSG4" s="44"/>
      <c r="TSH4" s="44"/>
      <c r="TSI4" s="44"/>
      <c r="TSJ4" s="44"/>
      <c r="TSK4" s="44"/>
      <c r="TSL4" s="44"/>
      <c r="TSM4" s="44"/>
      <c r="TSN4" s="43"/>
      <c r="TSO4" s="44"/>
      <c r="TSP4" s="44"/>
      <c r="TSQ4" s="44"/>
      <c r="TSR4" s="44"/>
      <c r="TSS4" s="44"/>
      <c r="TST4" s="44"/>
      <c r="TSU4" s="44"/>
      <c r="TSV4" s="44"/>
      <c r="TSW4" s="44"/>
      <c r="TSX4" s="44"/>
      <c r="TSY4" s="44"/>
      <c r="TSZ4" s="44"/>
      <c r="TTA4" s="44"/>
      <c r="TTB4" s="44"/>
      <c r="TTC4" s="43"/>
      <c r="TTD4" s="44"/>
      <c r="TTE4" s="44"/>
      <c r="TTF4" s="44"/>
      <c r="TTG4" s="44"/>
      <c r="TTH4" s="44"/>
      <c r="TTI4" s="44"/>
      <c r="TTJ4" s="44"/>
      <c r="TTK4" s="44"/>
      <c r="TTL4" s="44"/>
      <c r="TTM4" s="44"/>
      <c r="TTN4" s="44"/>
      <c r="TTO4" s="44"/>
      <c r="TTP4" s="44"/>
      <c r="TTQ4" s="44"/>
      <c r="TTR4" s="43"/>
      <c r="TTS4" s="44"/>
      <c r="TTT4" s="44"/>
      <c r="TTU4" s="44"/>
      <c r="TTV4" s="44"/>
      <c r="TTW4" s="44"/>
      <c r="TTX4" s="44"/>
      <c r="TTY4" s="44"/>
      <c r="TTZ4" s="44"/>
      <c r="TUA4" s="44"/>
      <c r="TUB4" s="44"/>
      <c r="TUC4" s="44"/>
      <c r="TUD4" s="44"/>
      <c r="TUE4" s="44"/>
      <c r="TUF4" s="44"/>
      <c r="TUG4" s="43"/>
      <c r="TUH4" s="44"/>
      <c r="TUI4" s="44"/>
      <c r="TUJ4" s="44"/>
      <c r="TUK4" s="44"/>
      <c r="TUL4" s="44"/>
      <c r="TUM4" s="44"/>
      <c r="TUN4" s="44"/>
      <c r="TUO4" s="44"/>
      <c r="TUP4" s="44"/>
      <c r="TUQ4" s="44"/>
      <c r="TUR4" s="44"/>
      <c r="TUS4" s="44"/>
      <c r="TUT4" s="44"/>
      <c r="TUU4" s="44"/>
      <c r="TUV4" s="43"/>
      <c r="TUW4" s="44"/>
      <c r="TUX4" s="44"/>
      <c r="TUY4" s="44"/>
      <c r="TUZ4" s="44"/>
      <c r="TVA4" s="44"/>
      <c r="TVB4" s="44"/>
      <c r="TVC4" s="44"/>
      <c r="TVD4" s="44"/>
      <c r="TVE4" s="44"/>
      <c r="TVF4" s="44"/>
      <c r="TVG4" s="44"/>
      <c r="TVH4" s="44"/>
      <c r="TVI4" s="44"/>
      <c r="TVJ4" s="44"/>
      <c r="TVK4" s="43"/>
      <c r="TVL4" s="44"/>
      <c r="TVM4" s="44"/>
      <c r="TVN4" s="44"/>
      <c r="TVO4" s="44"/>
      <c r="TVP4" s="44"/>
      <c r="TVQ4" s="44"/>
      <c r="TVR4" s="44"/>
      <c r="TVS4" s="44"/>
      <c r="TVT4" s="44"/>
      <c r="TVU4" s="44"/>
      <c r="TVV4" s="44"/>
      <c r="TVW4" s="44"/>
      <c r="TVX4" s="44"/>
      <c r="TVY4" s="44"/>
      <c r="TVZ4" s="43"/>
      <c r="TWA4" s="44"/>
      <c r="TWB4" s="44"/>
      <c r="TWC4" s="44"/>
      <c r="TWD4" s="44"/>
      <c r="TWE4" s="44"/>
      <c r="TWF4" s="44"/>
      <c r="TWG4" s="44"/>
      <c r="TWH4" s="44"/>
      <c r="TWI4" s="44"/>
      <c r="TWJ4" s="44"/>
      <c r="TWK4" s="44"/>
      <c r="TWL4" s="44"/>
      <c r="TWM4" s="44"/>
      <c r="TWN4" s="44"/>
      <c r="TWO4" s="43"/>
      <c r="TWP4" s="44"/>
      <c r="TWQ4" s="44"/>
      <c r="TWR4" s="44"/>
      <c r="TWS4" s="44"/>
      <c r="TWT4" s="44"/>
      <c r="TWU4" s="44"/>
      <c r="TWV4" s="44"/>
      <c r="TWW4" s="44"/>
      <c r="TWX4" s="44"/>
      <c r="TWY4" s="44"/>
      <c r="TWZ4" s="44"/>
      <c r="TXA4" s="44"/>
      <c r="TXB4" s="44"/>
      <c r="TXC4" s="44"/>
      <c r="TXD4" s="43"/>
      <c r="TXE4" s="44"/>
      <c r="TXF4" s="44"/>
      <c r="TXG4" s="44"/>
      <c r="TXH4" s="44"/>
      <c r="TXI4" s="44"/>
      <c r="TXJ4" s="44"/>
      <c r="TXK4" s="44"/>
      <c r="TXL4" s="44"/>
      <c r="TXM4" s="44"/>
      <c r="TXN4" s="44"/>
      <c r="TXO4" s="44"/>
      <c r="TXP4" s="44"/>
      <c r="TXQ4" s="44"/>
      <c r="TXR4" s="44"/>
      <c r="TXS4" s="43"/>
      <c r="TXT4" s="44"/>
      <c r="TXU4" s="44"/>
      <c r="TXV4" s="44"/>
      <c r="TXW4" s="44"/>
      <c r="TXX4" s="44"/>
      <c r="TXY4" s="44"/>
      <c r="TXZ4" s="44"/>
      <c r="TYA4" s="44"/>
      <c r="TYB4" s="44"/>
      <c r="TYC4" s="44"/>
      <c r="TYD4" s="44"/>
      <c r="TYE4" s="44"/>
      <c r="TYF4" s="44"/>
      <c r="TYG4" s="44"/>
      <c r="TYH4" s="43"/>
      <c r="TYI4" s="44"/>
      <c r="TYJ4" s="44"/>
      <c r="TYK4" s="44"/>
      <c r="TYL4" s="44"/>
      <c r="TYM4" s="44"/>
      <c r="TYN4" s="44"/>
      <c r="TYO4" s="44"/>
      <c r="TYP4" s="44"/>
      <c r="TYQ4" s="44"/>
      <c r="TYR4" s="44"/>
      <c r="TYS4" s="44"/>
      <c r="TYT4" s="44"/>
      <c r="TYU4" s="44"/>
      <c r="TYV4" s="44"/>
      <c r="TYW4" s="43"/>
      <c r="TYX4" s="44"/>
      <c r="TYY4" s="44"/>
      <c r="TYZ4" s="44"/>
      <c r="TZA4" s="44"/>
      <c r="TZB4" s="44"/>
      <c r="TZC4" s="44"/>
      <c r="TZD4" s="44"/>
      <c r="TZE4" s="44"/>
      <c r="TZF4" s="44"/>
      <c r="TZG4" s="44"/>
      <c r="TZH4" s="44"/>
      <c r="TZI4" s="44"/>
      <c r="TZJ4" s="44"/>
      <c r="TZK4" s="44"/>
      <c r="TZL4" s="43"/>
      <c r="TZM4" s="44"/>
      <c r="TZN4" s="44"/>
      <c r="TZO4" s="44"/>
      <c r="TZP4" s="44"/>
      <c r="TZQ4" s="44"/>
      <c r="TZR4" s="44"/>
      <c r="TZS4" s="44"/>
      <c r="TZT4" s="44"/>
      <c r="TZU4" s="44"/>
      <c r="TZV4" s="44"/>
      <c r="TZW4" s="44"/>
      <c r="TZX4" s="44"/>
      <c r="TZY4" s="44"/>
      <c r="TZZ4" s="44"/>
      <c r="UAA4" s="43"/>
      <c r="UAB4" s="44"/>
      <c r="UAC4" s="44"/>
      <c r="UAD4" s="44"/>
      <c r="UAE4" s="44"/>
      <c r="UAF4" s="44"/>
      <c r="UAG4" s="44"/>
      <c r="UAH4" s="44"/>
      <c r="UAI4" s="44"/>
      <c r="UAJ4" s="44"/>
      <c r="UAK4" s="44"/>
      <c r="UAL4" s="44"/>
      <c r="UAM4" s="44"/>
      <c r="UAN4" s="44"/>
      <c r="UAO4" s="44"/>
      <c r="UAP4" s="43"/>
      <c r="UAQ4" s="44"/>
      <c r="UAR4" s="44"/>
      <c r="UAS4" s="44"/>
      <c r="UAT4" s="44"/>
      <c r="UAU4" s="44"/>
      <c r="UAV4" s="44"/>
      <c r="UAW4" s="44"/>
      <c r="UAX4" s="44"/>
      <c r="UAY4" s="44"/>
      <c r="UAZ4" s="44"/>
      <c r="UBA4" s="44"/>
      <c r="UBB4" s="44"/>
      <c r="UBC4" s="44"/>
      <c r="UBD4" s="44"/>
      <c r="UBE4" s="43"/>
      <c r="UBF4" s="44"/>
      <c r="UBG4" s="44"/>
      <c r="UBH4" s="44"/>
      <c r="UBI4" s="44"/>
      <c r="UBJ4" s="44"/>
      <c r="UBK4" s="44"/>
      <c r="UBL4" s="44"/>
      <c r="UBM4" s="44"/>
      <c r="UBN4" s="44"/>
      <c r="UBO4" s="44"/>
      <c r="UBP4" s="44"/>
      <c r="UBQ4" s="44"/>
      <c r="UBR4" s="44"/>
      <c r="UBS4" s="44"/>
      <c r="UBT4" s="43"/>
      <c r="UBU4" s="44"/>
      <c r="UBV4" s="44"/>
      <c r="UBW4" s="44"/>
      <c r="UBX4" s="44"/>
      <c r="UBY4" s="44"/>
      <c r="UBZ4" s="44"/>
      <c r="UCA4" s="44"/>
      <c r="UCB4" s="44"/>
      <c r="UCC4" s="44"/>
      <c r="UCD4" s="44"/>
      <c r="UCE4" s="44"/>
      <c r="UCF4" s="44"/>
      <c r="UCG4" s="44"/>
      <c r="UCH4" s="44"/>
      <c r="UCI4" s="43"/>
      <c r="UCJ4" s="44"/>
      <c r="UCK4" s="44"/>
      <c r="UCL4" s="44"/>
      <c r="UCM4" s="44"/>
      <c r="UCN4" s="44"/>
      <c r="UCO4" s="44"/>
      <c r="UCP4" s="44"/>
      <c r="UCQ4" s="44"/>
      <c r="UCR4" s="44"/>
      <c r="UCS4" s="44"/>
      <c r="UCT4" s="44"/>
      <c r="UCU4" s="44"/>
      <c r="UCV4" s="44"/>
      <c r="UCW4" s="44"/>
      <c r="UCX4" s="43"/>
      <c r="UCY4" s="44"/>
      <c r="UCZ4" s="44"/>
      <c r="UDA4" s="44"/>
      <c r="UDB4" s="44"/>
      <c r="UDC4" s="44"/>
      <c r="UDD4" s="44"/>
      <c r="UDE4" s="44"/>
      <c r="UDF4" s="44"/>
      <c r="UDG4" s="44"/>
      <c r="UDH4" s="44"/>
      <c r="UDI4" s="44"/>
      <c r="UDJ4" s="44"/>
      <c r="UDK4" s="44"/>
      <c r="UDL4" s="44"/>
      <c r="UDM4" s="43"/>
      <c r="UDN4" s="44"/>
      <c r="UDO4" s="44"/>
      <c r="UDP4" s="44"/>
      <c r="UDQ4" s="44"/>
      <c r="UDR4" s="44"/>
      <c r="UDS4" s="44"/>
      <c r="UDT4" s="44"/>
      <c r="UDU4" s="44"/>
      <c r="UDV4" s="44"/>
      <c r="UDW4" s="44"/>
      <c r="UDX4" s="44"/>
      <c r="UDY4" s="44"/>
      <c r="UDZ4" s="44"/>
      <c r="UEA4" s="44"/>
      <c r="UEB4" s="43"/>
      <c r="UEC4" s="44"/>
      <c r="UED4" s="44"/>
      <c r="UEE4" s="44"/>
      <c r="UEF4" s="44"/>
      <c r="UEG4" s="44"/>
      <c r="UEH4" s="44"/>
      <c r="UEI4" s="44"/>
      <c r="UEJ4" s="44"/>
      <c r="UEK4" s="44"/>
      <c r="UEL4" s="44"/>
      <c r="UEM4" s="44"/>
      <c r="UEN4" s="44"/>
      <c r="UEO4" s="44"/>
      <c r="UEP4" s="44"/>
      <c r="UEQ4" s="43"/>
      <c r="UER4" s="44"/>
      <c r="UES4" s="44"/>
      <c r="UET4" s="44"/>
      <c r="UEU4" s="44"/>
      <c r="UEV4" s="44"/>
      <c r="UEW4" s="44"/>
      <c r="UEX4" s="44"/>
      <c r="UEY4" s="44"/>
      <c r="UEZ4" s="44"/>
      <c r="UFA4" s="44"/>
      <c r="UFB4" s="44"/>
      <c r="UFC4" s="44"/>
      <c r="UFD4" s="44"/>
      <c r="UFE4" s="44"/>
      <c r="UFF4" s="43"/>
      <c r="UFG4" s="44"/>
      <c r="UFH4" s="44"/>
      <c r="UFI4" s="44"/>
      <c r="UFJ4" s="44"/>
      <c r="UFK4" s="44"/>
      <c r="UFL4" s="44"/>
      <c r="UFM4" s="44"/>
      <c r="UFN4" s="44"/>
      <c r="UFO4" s="44"/>
      <c r="UFP4" s="44"/>
      <c r="UFQ4" s="44"/>
      <c r="UFR4" s="44"/>
      <c r="UFS4" s="44"/>
      <c r="UFT4" s="44"/>
      <c r="UFU4" s="43"/>
      <c r="UFV4" s="44"/>
      <c r="UFW4" s="44"/>
      <c r="UFX4" s="44"/>
      <c r="UFY4" s="44"/>
      <c r="UFZ4" s="44"/>
      <c r="UGA4" s="44"/>
      <c r="UGB4" s="44"/>
      <c r="UGC4" s="44"/>
      <c r="UGD4" s="44"/>
      <c r="UGE4" s="44"/>
      <c r="UGF4" s="44"/>
      <c r="UGG4" s="44"/>
      <c r="UGH4" s="44"/>
      <c r="UGI4" s="44"/>
      <c r="UGJ4" s="43"/>
      <c r="UGK4" s="44"/>
      <c r="UGL4" s="44"/>
      <c r="UGM4" s="44"/>
      <c r="UGN4" s="44"/>
      <c r="UGO4" s="44"/>
      <c r="UGP4" s="44"/>
      <c r="UGQ4" s="44"/>
      <c r="UGR4" s="44"/>
      <c r="UGS4" s="44"/>
      <c r="UGT4" s="44"/>
      <c r="UGU4" s="44"/>
      <c r="UGV4" s="44"/>
      <c r="UGW4" s="44"/>
      <c r="UGX4" s="44"/>
      <c r="UGY4" s="43"/>
      <c r="UGZ4" s="44"/>
      <c r="UHA4" s="44"/>
      <c r="UHB4" s="44"/>
      <c r="UHC4" s="44"/>
      <c r="UHD4" s="44"/>
      <c r="UHE4" s="44"/>
      <c r="UHF4" s="44"/>
      <c r="UHG4" s="44"/>
      <c r="UHH4" s="44"/>
      <c r="UHI4" s="44"/>
      <c r="UHJ4" s="44"/>
      <c r="UHK4" s="44"/>
      <c r="UHL4" s="44"/>
      <c r="UHM4" s="44"/>
      <c r="UHN4" s="43"/>
      <c r="UHO4" s="44"/>
      <c r="UHP4" s="44"/>
      <c r="UHQ4" s="44"/>
      <c r="UHR4" s="44"/>
      <c r="UHS4" s="44"/>
      <c r="UHT4" s="44"/>
      <c r="UHU4" s="44"/>
      <c r="UHV4" s="44"/>
      <c r="UHW4" s="44"/>
      <c r="UHX4" s="44"/>
      <c r="UHY4" s="44"/>
      <c r="UHZ4" s="44"/>
      <c r="UIA4" s="44"/>
      <c r="UIB4" s="44"/>
      <c r="UIC4" s="43"/>
      <c r="UID4" s="44"/>
      <c r="UIE4" s="44"/>
      <c r="UIF4" s="44"/>
      <c r="UIG4" s="44"/>
      <c r="UIH4" s="44"/>
      <c r="UII4" s="44"/>
      <c r="UIJ4" s="44"/>
      <c r="UIK4" s="44"/>
      <c r="UIL4" s="44"/>
      <c r="UIM4" s="44"/>
      <c r="UIN4" s="44"/>
      <c r="UIO4" s="44"/>
      <c r="UIP4" s="44"/>
      <c r="UIQ4" s="44"/>
      <c r="UIR4" s="43"/>
      <c r="UIS4" s="44"/>
      <c r="UIT4" s="44"/>
      <c r="UIU4" s="44"/>
      <c r="UIV4" s="44"/>
      <c r="UIW4" s="44"/>
      <c r="UIX4" s="44"/>
      <c r="UIY4" s="44"/>
      <c r="UIZ4" s="44"/>
      <c r="UJA4" s="44"/>
      <c r="UJB4" s="44"/>
      <c r="UJC4" s="44"/>
      <c r="UJD4" s="44"/>
      <c r="UJE4" s="44"/>
      <c r="UJF4" s="44"/>
      <c r="UJG4" s="43"/>
      <c r="UJH4" s="44"/>
      <c r="UJI4" s="44"/>
      <c r="UJJ4" s="44"/>
      <c r="UJK4" s="44"/>
      <c r="UJL4" s="44"/>
      <c r="UJM4" s="44"/>
      <c r="UJN4" s="44"/>
      <c r="UJO4" s="44"/>
      <c r="UJP4" s="44"/>
      <c r="UJQ4" s="44"/>
      <c r="UJR4" s="44"/>
      <c r="UJS4" s="44"/>
      <c r="UJT4" s="44"/>
      <c r="UJU4" s="44"/>
      <c r="UJV4" s="43"/>
      <c r="UJW4" s="44"/>
      <c r="UJX4" s="44"/>
      <c r="UJY4" s="44"/>
      <c r="UJZ4" s="44"/>
      <c r="UKA4" s="44"/>
      <c r="UKB4" s="44"/>
      <c r="UKC4" s="44"/>
      <c r="UKD4" s="44"/>
      <c r="UKE4" s="44"/>
      <c r="UKF4" s="44"/>
      <c r="UKG4" s="44"/>
      <c r="UKH4" s="44"/>
      <c r="UKI4" s="44"/>
      <c r="UKJ4" s="44"/>
      <c r="UKK4" s="43"/>
      <c r="UKL4" s="44"/>
      <c r="UKM4" s="44"/>
      <c r="UKN4" s="44"/>
      <c r="UKO4" s="44"/>
      <c r="UKP4" s="44"/>
      <c r="UKQ4" s="44"/>
      <c r="UKR4" s="44"/>
      <c r="UKS4" s="44"/>
      <c r="UKT4" s="44"/>
      <c r="UKU4" s="44"/>
      <c r="UKV4" s="44"/>
      <c r="UKW4" s="44"/>
      <c r="UKX4" s="44"/>
      <c r="UKY4" s="44"/>
      <c r="UKZ4" s="43"/>
      <c r="ULA4" s="44"/>
      <c r="ULB4" s="44"/>
      <c r="ULC4" s="44"/>
      <c r="ULD4" s="44"/>
      <c r="ULE4" s="44"/>
      <c r="ULF4" s="44"/>
      <c r="ULG4" s="44"/>
      <c r="ULH4" s="44"/>
      <c r="ULI4" s="44"/>
      <c r="ULJ4" s="44"/>
      <c r="ULK4" s="44"/>
      <c r="ULL4" s="44"/>
      <c r="ULM4" s="44"/>
      <c r="ULN4" s="44"/>
      <c r="ULO4" s="43"/>
      <c r="ULP4" s="44"/>
      <c r="ULQ4" s="44"/>
      <c r="ULR4" s="44"/>
      <c r="ULS4" s="44"/>
      <c r="ULT4" s="44"/>
      <c r="ULU4" s="44"/>
      <c r="ULV4" s="44"/>
      <c r="ULW4" s="44"/>
      <c r="ULX4" s="44"/>
      <c r="ULY4" s="44"/>
      <c r="ULZ4" s="44"/>
      <c r="UMA4" s="44"/>
      <c r="UMB4" s="44"/>
      <c r="UMC4" s="44"/>
      <c r="UMD4" s="43"/>
      <c r="UME4" s="44"/>
      <c r="UMF4" s="44"/>
      <c r="UMG4" s="44"/>
      <c r="UMH4" s="44"/>
      <c r="UMI4" s="44"/>
      <c r="UMJ4" s="44"/>
      <c r="UMK4" s="44"/>
      <c r="UML4" s="44"/>
      <c r="UMM4" s="44"/>
      <c r="UMN4" s="44"/>
      <c r="UMO4" s="44"/>
      <c r="UMP4" s="44"/>
      <c r="UMQ4" s="44"/>
      <c r="UMR4" s="44"/>
      <c r="UMS4" s="43"/>
      <c r="UMT4" s="44"/>
      <c r="UMU4" s="44"/>
      <c r="UMV4" s="44"/>
      <c r="UMW4" s="44"/>
      <c r="UMX4" s="44"/>
      <c r="UMY4" s="44"/>
      <c r="UMZ4" s="44"/>
      <c r="UNA4" s="44"/>
      <c r="UNB4" s="44"/>
      <c r="UNC4" s="44"/>
      <c r="UND4" s="44"/>
      <c r="UNE4" s="44"/>
      <c r="UNF4" s="44"/>
      <c r="UNG4" s="44"/>
      <c r="UNH4" s="43"/>
      <c r="UNI4" s="44"/>
      <c r="UNJ4" s="44"/>
      <c r="UNK4" s="44"/>
      <c r="UNL4" s="44"/>
      <c r="UNM4" s="44"/>
      <c r="UNN4" s="44"/>
      <c r="UNO4" s="44"/>
      <c r="UNP4" s="44"/>
      <c r="UNQ4" s="44"/>
      <c r="UNR4" s="44"/>
      <c r="UNS4" s="44"/>
      <c r="UNT4" s="44"/>
      <c r="UNU4" s="44"/>
      <c r="UNV4" s="44"/>
      <c r="UNW4" s="43"/>
      <c r="UNX4" s="44"/>
      <c r="UNY4" s="44"/>
      <c r="UNZ4" s="44"/>
      <c r="UOA4" s="44"/>
      <c r="UOB4" s="44"/>
      <c r="UOC4" s="44"/>
      <c r="UOD4" s="44"/>
      <c r="UOE4" s="44"/>
      <c r="UOF4" s="44"/>
      <c r="UOG4" s="44"/>
      <c r="UOH4" s="44"/>
      <c r="UOI4" s="44"/>
      <c r="UOJ4" s="44"/>
      <c r="UOK4" s="44"/>
      <c r="UOL4" s="43"/>
      <c r="UOM4" s="44"/>
      <c r="UON4" s="44"/>
      <c r="UOO4" s="44"/>
      <c r="UOP4" s="44"/>
      <c r="UOQ4" s="44"/>
      <c r="UOR4" s="44"/>
      <c r="UOS4" s="44"/>
      <c r="UOT4" s="44"/>
      <c r="UOU4" s="44"/>
      <c r="UOV4" s="44"/>
      <c r="UOW4" s="44"/>
      <c r="UOX4" s="44"/>
      <c r="UOY4" s="44"/>
      <c r="UOZ4" s="44"/>
      <c r="UPA4" s="43"/>
      <c r="UPB4" s="44"/>
      <c r="UPC4" s="44"/>
      <c r="UPD4" s="44"/>
      <c r="UPE4" s="44"/>
      <c r="UPF4" s="44"/>
      <c r="UPG4" s="44"/>
      <c r="UPH4" s="44"/>
      <c r="UPI4" s="44"/>
      <c r="UPJ4" s="44"/>
      <c r="UPK4" s="44"/>
      <c r="UPL4" s="44"/>
      <c r="UPM4" s="44"/>
      <c r="UPN4" s="44"/>
      <c r="UPO4" s="44"/>
      <c r="UPP4" s="43"/>
      <c r="UPQ4" s="44"/>
      <c r="UPR4" s="44"/>
      <c r="UPS4" s="44"/>
      <c r="UPT4" s="44"/>
      <c r="UPU4" s="44"/>
      <c r="UPV4" s="44"/>
      <c r="UPW4" s="44"/>
      <c r="UPX4" s="44"/>
      <c r="UPY4" s="44"/>
      <c r="UPZ4" s="44"/>
      <c r="UQA4" s="44"/>
      <c r="UQB4" s="44"/>
      <c r="UQC4" s="44"/>
      <c r="UQD4" s="44"/>
      <c r="UQE4" s="43"/>
      <c r="UQF4" s="44"/>
      <c r="UQG4" s="44"/>
      <c r="UQH4" s="44"/>
      <c r="UQI4" s="44"/>
      <c r="UQJ4" s="44"/>
      <c r="UQK4" s="44"/>
      <c r="UQL4" s="44"/>
      <c r="UQM4" s="44"/>
      <c r="UQN4" s="44"/>
      <c r="UQO4" s="44"/>
      <c r="UQP4" s="44"/>
      <c r="UQQ4" s="44"/>
      <c r="UQR4" s="44"/>
      <c r="UQS4" s="44"/>
      <c r="UQT4" s="43"/>
      <c r="UQU4" s="44"/>
      <c r="UQV4" s="44"/>
      <c r="UQW4" s="44"/>
      <c r="UQX4" s="44"/>
      <c r="UQY4" s="44"/>
      <c r="UQZ4" s="44"/>
      <c r="URA4" s="44"/>
      <c r="URB4" s="44"/>
      <c r="URC4" s="44"/>
      <c r="URD4" s="44"/>
      <c r="URE4" s="44"/>
      <c r="URF4" s="44"/>
      <c r="URG4" s="44"/>
      <c r="URH4" s="44"/>
      <c r="URI4" s="43"/>
      <c r="URJ4" s="44"/>
      <c r="URK4" s="44"/>
      <c r="URL4" s="44"/>
      <c r="URM4" s="44"/>
      <c r="URN4" s="44"/>
      <c r="URO4" s="44"/>
      <c r="URP4" s="44"/>
      <c r="URQ4" s="44"/>
      <c r="URR4" s="44"/>
      <c r="URS4" s="44"/>
      <c r="URT4" s="44"/>
      <c r="URU4" s="44"/>
      <c r="URV4" s="44"/>
      <c r="URW4" s="44"/>
      <c r="URX4" s="43"/>
      <c r="URY4" s="44"/>
      <c r="URZ4" s="44"/>
      <c r="USA4" s="44"/>
      <c r="USB4" s="44"/>
      <c r="USC4" s="44"/>
      <c r="USD4" s="44"/>
      <c r="USE4" s="44"/>
      <c r="USF4" s="44"/>
      <c r="USG4" s="44"/>
      <c r="USH4" s="44"/>
      <c r="USI4" s="44"/>
      <c r="USJ4" s="44"/>
      <c r="USK4" s="44"/>
      <c r="USL4" s="44"/>
      <c r="USM4" s="43"/>
      <c r="USN4" s="44"/>
      <c r="USO4" s="44"/>
      <c r="USP4" s="44"/>
      <c r="USQ4" s="44"/>
      <c r="USR4" s="44"/>
      <c r="USS4" s="44"/>
      <c r="UST4" s="44"/>
      <c r="USU4" s="44"/>
      <c r="USV4" s="44"/>
      <c r="USW4" s="44"/>
      <c r="USX4" s="44"/>
      <c r="USY4" s="44"/>
      <c r="USZ4" s="44"/>
      <c r="UTA4" s="44"/>
      <c r="UTB4" s="43"/>
      <c r="UTC4" s="44"/>
      <c r="UTD4" s="44"/>
      <c r="UTE4" s="44"/>
      <c r="UTF4" s="44"/>
      <c r="UTG4" s="44"/>
      <c r="UTH4" s="44"/>
      <c r="UTI4" s="44"/>
      <c r="UTJ4" s="44"/>
      <c r="UTK4" s="44"/>
      <c r="UTL4" s="44"/>
      <c r="UTM4" s="44"/>
      <c r="UTN4" s="44"/>
      <c r="UTO4" s="44"/>
      <c r="UTP4" s="44"/>
      <c r="UTQ4" s="43"/>
      <c r="UTR4" s="44"/>
      <c r="UTS4" s="44"/>
      <c r="UTT4" s="44"/>
      <c r="UTU4" s="44"/>
      <c r="UTV4" s="44"/>
      <c r="UTW4" s="44"/>
      <c r="UTX4" s="44"/>
      <c r="UTY4" s="44"/>
      <c r="UTZ4" s="44"/>
      <c r="UUA4" s="44"/>
      <c r="UUB4" s="44"/>
      <c r="UUC4" s="44"/>
      <c r="UUD4" s="44"/>
      <c r="UUE4" s="44"/>
      <c r="UUF4" s="43"/>
      <c r="UUG4" s="44"/>
      <c r="UUH4" s="44"/>
      <c r="UUI4" s="44"/>
      <c r="UUJ4" s="44"/>
      <c r="UUK4" s="44"/>
      <c r="UUL4" s="44"/>
      <c r="UUM4" s="44"/>
      <c r="UUN4" s="44"/>
      <c r="UUO4" s="44"/>
      <c r="UUP4" s="44"/>
      <c r="UUQ4" s="44"/>
      <c r="UUR4" s="44"/>
      <c r="UUS4" s="44"/>
      <c r="UUT4" s="44"/>
      <c r="UUU4" s="43"/>
      <c r="UUV4" s="44"/>
      <c r="UUW4" s="44"/>
      <c r="UUX4" s="44"/>
      <c r="UUY4" s="44"/>
      <c r="UUZ4" s="44"/>
      <c r="UVA4" s="44"/>
      <c r="UVB4" s="44"/>
      <c r="UVC4" s="44"/>
      <c r="UVD4" s="44"/>
      <c r="UVE4" s="44"/>
      <c r="UVF4" s="44"/>
      <c r="UVG4" s="44"/>
      <c r="UVH4" s="44"/>
      <c r="UVI4" s="44"/>
      <c r="UVJ4" s="43"/>
      <c r="UVK4" s="44"/>
      <c r="UVL4" s="44"/>
      <c r="UVM4" s="44"/>
      <c r="UVN4" s="44"/>
      <c r="UVO4" s="44"/>
      <c r="UVP4" s="44"/>
      <c r="UVQ4" s="44"/>
      <c r="UVR4" s="44"/>
      <c r="UVS4" s="44"/>
      <c r="UVT4" s="44"/>
      <c r="UVU4" s="44"/>
      <c r="UVV4" s="44"/>
      <c r="UVW4" s="44"/>
      <c r="UVX4" s="44"/>
      <c r="UVY4" s="43"/>
      <c r="UVZ4" s="44"/>
      <c r="UWA4" s="44"/>
      <c r="UWB4" s="44"/>
      <c r="UWC4" s="44"/>
      <c r="UWD4" s="44"/>
      <c r="UWE4" s="44"/>
      <c r="UWF4" s="44"/>
      <c r="UWG4" s="44"/>
      <c r="UWH4" s="44"/>
      <c r="UWI4" s="44"/>
      <c r="UWJ4" s="44"/>
      <c r="UWK4" s="44"/>
      <c r="UWL4" s="44"/>
      <c r="UWM4" s="44"/>
      <c r="UWN4" s="43"/>
      <c r="UWO4" s="44"/>
      <c r="UWP4" s="44"/>
      <c r="UWQ4" s="44"/>
      <c r="UWR4" s="44"/>
      <c r="UWS4" s="44"/>
      <c r="UWT4" s="44"/>
      <c r="UWU4" s="44"/>
      <c r="UWV4" s="44"/>
      <c r="UWW4" s="44"/>
      <c r="UWX4" s="44"/>
      <c r="UWY4" s="44"/>
      <c r="UWZ4" s="44"/>
      <c r="UXA4" s="44"/>
      <c r="UXB4" s="44"/>
      <c r="UXC4" s="43"/>
      <c r="UXD4" s="44"/>
      <c r="UXE4" s="44"/>
      <c r="UXF4" s="44"/>
      <c r="UXG4" s="44"/>
      <c r="UXH4" s="44"/>
      <c r="UXI4" s="44"/>
      <c r="UXJ4" s="44"/>
      <c r="UXK4" s="44"/>
      <c r="UXL4" s="44"/>
      <c r="UXM4" s="44"/>
      <c r="UXN4" s="44"/>
      <c r="UXO4" s="44"/>
      <c r="UXP4" s="44"/>
      <c r="UXQ4" s="44"/>
      <c r="UXR4" s="43"/>
      <c r="UXS4" s="44"/>
      <c r="UXT4" s="44"/>
      <c r="UXU4" s="44"/>
      <c r="UXV4" s="44"/>
      <c r="UXW4" s="44"/>
      <c r="UXX4" s="44"/>
      <c r="UXY4" s="44"/>
      <c r="UXZ4" s="44"/>
      <c r="UYA4" s="44"/>
      <c r="UYB4" s="44"/>
      <c r="UYC4" s="44"/>
      <c r="UYD4" s="44"/>
      <c r="UYE4" s="44"/>
      <c r="UYF4" s="44"/>
      <c r="UYG4" s="43"/>
      <c r="UYH4" s="44"/>
      <c r="UYI4" s="44"/>
      <c r="UYJ4" s="44"/>
      <c r="UYK4" s="44"/>
      <c r="UYL4" s="44"/>
      <c r="UYM4" s="44"/>
      <c r="UYN4" s="44"/>
      <c r="UYO4" s="44"/>
      <c r="UYP4" s="44"/>
      <c r="UYQ4" s="44"/>
      <c r="UYR4" s="44"/>
      <c r="UYS4" s="44"/>
      <c r="UYT4" s="44"/>
      <c r="UYU4" s="44"/>
      <c r="UYV4" s="43"/>
      <c r="UYW4" s="44"/>
      <c r="UYX4" s="44"/>
      <c r="UYY4" s="44"/>
      <c r="UYZ4" s="44"/>
      <c r="UZA4" s="44"/>
      <c r="UZB4" s="44"/>
      <c r="UZC4" s="44"/>
      <c r="UZD4" s="44"/>
      <c r="UZE4" s="44"/>
      <c r="UZF4" s="44"/>
      <c r="UZG4" s="44"/>
      <c r="UZH4" s="44"/>
      <c r="UZI4" s="44"/>
      <c r="UZJ4" s="44"/>
      <c r="UZK4" s="43"/>
      <c r="UZL4" s="44"/>
      <c r="UZM4" s="44"/>
      <c r="UZN4" s="44"/>
      <c r="UZO4" s="44"/>
      <c r="UZP4" s="44"/>
      <c r="UZQ4" s="44"/>
      <c r="UZR4" s="44"/>
      <c r="UZS4" s="44"/>
      <c r="UZT4" s="44"/>
      <c r="UZU4" s="44"/>
      <c r="UZV4" s="44"/>
      <c r="UZW4" s="44"/>
      <c r="UZX4" s="44"/>
      <c r="UZY4" s="44"/>
      <c r="UZZ4" s="43"/>
      <c r="VAA4" s="44"/>
      <c r="VAB4" s="44"/>
      <c r="VAC4" s="44"/>
      <c r="VAD4" s="44"/>
      <c r="VAE4" s="44"/>
      <c r="VAF4" s="44"/>
      <c r="VAG4" s="44"/>
      <c r="VAH4" s="44"/>
      <c r="VAI4" s="44"/>
      <c r="VAJ4" s="44"/>
      <c r="VAK4" s="44"/>
      <c r="VAL4" s="44"/>
      <c r="VAM4" s="44"/>
      <c r="VAN4" s="44"/>
      <c r="VAO4" s="43"/>
      <c r="VAP4" s="44"/>
      <c r="VAQ4" s="44"/>
      <c r="VAR4" s="44"/>
      <c r="VAS4" s="44"/>
      <c r="VAT4" s="44"/>
      <c r="VAU4" s="44"/>
      <c r="VAV4" s="44"/>
      <c r="VAW4" s="44"/>
      <c r="VAX4" s="44"/>
      <c r="VAY4" s="44"/>
      <c r="VAZ4" s="44"/>
      <c r="VBA4" s="44"/>
      <c r="VBB4" s="44"/>
      <c r="VBC4" s="44"/>
      <c r="VBD4" s="43"/>
      <c r="VBE4" s="44"/>
      <c r="VBF4" s="44"/>
      <c r="VBG4" s="44"/>
      <c r="VBH4" s="44"/>
      <c r="VBI4" s="44"/>
      <c r="VBJ4" s="44"/>
      <c r="VBK4" s="44"/>
      <c r="VBL4" s="44"/>
      <c r="VBM4" s="44"/>
      <c r="VBN4" s="44"/>
      <c r="VBO4" s="44"/>
      <c r="VBP4" s="44"/>
      <c r="VBQ4" s="44"/>
      <c r="VBR4" s="44"/>
      <c r="VBS4" s="43"/>
      <c r="VBT4" s="44"/>
      <c r="VBU4" s="44"/>
      <c r="VBV4" s="44"/>
      <c r="VBW4" s="44"/>
      <c r="VBX4" s="44"/>
      <c r="VBY4" s="44"/>
      <c r="VBZ4" s="44"/>
      <c r="VCA4" s="44"/>
      <c r="VCB4" s="44"/>
      <c r="VCC4" s="44"/>
      <c r="VCD4" s="44"/>
      <c r="VCE4" s="44"/>
      <c r="VCF4" s="44"/>
      <c r="VCG4" s="44"/>
      <c r="VCH4" s="43"/>
      <c r="VCI4" s="44"/>
      <c r="VCJ4" s="44"/>
      <c r="VCK4" s="44"/>
      <c r="VCL4" s="44"/>
      <c r="VCM4" s="44"/>
      <c r="VCN4" s="44"/>
      <c r="VCO4" s="44"/>
      <c r="VCP4" s="44"/>
      <c r="VCQ4" s="44"/>
      <c r="VCR4" s="44"/>
      <c r="VCS4" s="44"/>
      <c r="VCT4" s="44"/>
      <c r="VCU4" s="44"/>
      <c r="VCV4" s="44"/>
      <c r="VCW4" s="43"/>
      <c r="VCX4" s="44"/>
      <c r="VCY4" s="44"/>
      <c r="VCZ4" s="44"/>
      <c r="VDA4" s="44"/>
      <c r="VDB4" s="44"/>
      <c r="VDC4" s="44"/>
      <c r="VDD4" s="44"/>
      <c r="VDE4" s="44"/>
      <c r="VDF4" s="44"/>
      <c r="VDG4" s="44"/>
      <c r="VDH4" s="44"/>
      <c r="VDI4" s="44"/>
      <c r="VDJ4" s="44"/>
      <c r="VDK4" s="44"/>
      <c r="VDL4" s="43"/>
      <c r="VDM4" s="44"/>
      <c r="VDN4" s="44"/>
      <c r="VDO4" s="44"/>
      <c r="VDP4" s="44"/>
      <c r="VDQ4" s="44"/>
      <c r="VDR4" s="44"/>
      <c r="VDS4" s="44"/>
      <c r="VDT4" s="44"/>
      <c r="VDU4" s="44"/>
      <c r="VDV4" s="44"/>
      <c r="VDW4" s="44"/>
      <c r="VDX4" s="44"/>
      <c r="VDY4" s="44"/>
      <c r="VDZ4" s="44"/>
      <c r="VEA4" s="43"/>
      <c r="VEB4" s="44"/>
      <c r="VEC4" s="44"/>
      <c r="VED4" s="44"/>
      <c r="VEE4" s="44"/>
      <c r="VEF4" s="44"/>
      <c r="VEG4" s="44"/>
      <c r="VEH4" s="44"/>
      <c r="VEI4" s="44"/>
      <c r="VEJ4" s="44"/>
      <c r="VEK4" s="44"/>
      <c r="VEL4" s="44"/>
      <c r="VEM4" s="44"/>
      <c r="VEN4" s="44"/>
      <c r="VEO4" s="44"/>
      <c r="VEP4" s="43"/>
      <c r="VEQ4" s="44"/>
      <c r="VER4" s="44"/>
      <c r="VES4" s="44"/>
      <c r="VET4" s="44"/>
      <c r="VEU4" s="44"/>
      <c r="VEV4" s="44"/>
      <c r="VEW4" s="44"/>
      <c r="VEX4" s="44"/>
      <c r="VEY4" s="44"/>
      <c r="VEZ4" s="44"/>
      <c r="VFA4" s="44"/>
      <c r="VFB4" s="44"/>
      <c r="VFC4" s="44"/>
      <c r="VFD4" s="44"/>
      <c r="VFE4" s="43"/>
      <c r="VFF4" s="44"/>
      <c r="VFG4" s="44"/>
      <c r="VFH4" s="44"/>
      <c r="VFI4" s="44"/>
      <c r="VFJ4" s="44"/>
      <c r="VFK4" s="44"/>
      <c r="VFL4" s="44"/>
      <c r="VFM4" s="44"/>
      <c r="VFN4" s="44"/>
      <c r="VFO4" s="44"/>
      <c r="VFP4" s="44"/>
      <c r="VFQ4" s="44"/>
      <c r="VFR4" s="44"/>
      <c r="VFS4" s="44"/>
      <c r="VFT4" s="43"/>
      <c r="VFU4" s="44"/>
      <c r="VFV4" s="44"/>
      <c r="VFW4" s="44"/>
      <c r="VFX4" s="44"/>
      <c r="VFY4" s="44"/>
      <c r="VFZ4" s="44"/>
      <c r="VGA4" s="44"/>
      <c r="VGB4" s="44"/>
      <c r="VGC4" s="44"/>
      <c r="VGD4" s="44"/>
      <c r="VGE4" s="44"/>
      <c r="VGF4" s="44"/>
      <c r="VGG4" s="44"/>
      <c r="VGH4" s="44"/>
      <c r="VGI4" s="43"/>
      <c r="VGJ4" s="44"/>
      <c r="VGK4" s="44"/>
      <c r="VGL4" s="44"/>
      <c r="VGM4" s="44"/>
      <c r="VGN4" s="44"/>
      <c r="VGO4" s="44"/>
      <c r="VGP4" s="44"/>
      <c r="VGQ4" s="44"/>
      <c r="VGR4" s="44"/>
      <c r="VGS4" s="44"/>
      <c r="VGT4" s="44"/>
      <c r="VGU4" s="44"/>
      <c r="VGV4" s="44"/>
      <c r="VGW4" s="44"/>
      <c r="VGX4" s="43"/>
      <c r="VGY4" s="44"/>
      <c r="VGZ4" s="44"/>
      <c r="VHA4" s="44"/>
      <c r="VHB4" s="44"/>
      <c r="VHC4" s="44"/>
      <c r="VHD4" s="44"/>
      <c r="VHE4" s="44"/>
      <c r="VHF4" s="44"/>
      <c r="VHG4" s="44"/>
      <c r="VHH4" s="44"/>
      <c r="VHI4" s="44"/>
      <c r="VHJ4" s="44"/>
      <c r="VHK4" s="44"/>
      <c r="VHL4" s="44"/>
      <c r="VHM4" s="43"/>
      <c r="VHN4" s="44"/>
      <c r="VHO4" s="44"/>
      <c r="VHP4" s="44"/>
      <c r="VHQ4" s="44"/>
      <c r="VHR4" s="44"/>
      <c r="VHS4" s="44"/>
      <c r="VHT4" s="44"/>
      <c r="VHU4" s="44"/>
      <c r="VHV4" s="44"/>
      <c r="VHW4" s="44"/>
      <c r="VHX4" s="44"/>
      <c r="VHY4" s="44"/>
      <c r="VHZ4" s="44"/>
      <c r="VIA4" s="44"/>
      <c r="VIB4" s="43"/>
      <c r="VIC4" s="44"/>
      <c r="VID4" s="44"/>
      <c r="VIE4" s="44"/>
      <c r="VIF4" s="44"/>
      <c r="VIG4" s="44"/>
      <c r="VIH4" s="44"/>
      <c r="VII4" s="44"/>
      <c r="VIJ4" s="44"/>
      <c r="VIK4" s="44"/>
      <c r="VIL4" s="44"/>
      <c r="VIM4" s="44"/>
      <c r="VIN4" s="44"/>
      <c r="VIO4" s="44"/>
      <c r="VIP4" s="44"/>
      <c r="VIQ4" s="43"/>
      <c r="VIR4" s="44"/>
      <c r="VIS4" s="44"/>
      <c r="VIT4" s="44"/>
      <c r="VIU4" s="44"/>
      <c r="VIV4" s="44"/>
      <c r="VIW4" s="44"/>
      <c r="VIX4" s="44"/>
      <c r="VIY4" s="44"/>
      <c r="VIZ4" s="44"/>
      <c r="VJA4" s="44"/>
      <c r="VJB4" s="44"/>
      <c r="VJC4" s="44"/>
      <c r="VJD4" s="44"/>
      <c r="VJE4" s="44"/>
      <c r="VJF4" s="43"/>
      <c r="VJG4" s="44"/>
      <c r="VJH4" s="44"/>
      <c r="VJI4" s="44"/>
      <c r="VJJ4" s="44"/>
      <c r="VJK4" s="44"/>
      <c r="VJL4" s="44"/>
      <c r="VJM4" s="44"/>
      <c r="VJN4" s="44"/>
      <c r="VJO4" s="44"/>
      <c r="VJP4" s="44"/>
      <c r="VJQ4" s="44"/>
      <c r="VJR4" s="44"/>
      <c r="VJS4" s="44"/>
      <c r="VJT4" s="44"/>
      <c r="VJU4" s="43"/>
      <c r="VJV4" s="44"/>
      <c r="VJW4" s="44"/>
      <c r="VJX4" s="44"/>
      <c r="VJY4" s="44"/>
      <c r="VJZ4" s="44"/>
      <c r="VKA4" s="44"/>
      <c r="VKB4" s="44"/>
      <c r="VKC4" s="44"/>
      <c r="VKD4" s="44"/>
      <c r="VKE4" s="44"/>
      <c r="VKF4" s="44"/>
      <c r="VKG4" s="44"/>
      <c r="VKH4" s="44"/>
      <c r="VKI4" s="44"/>
      <c r="VKJ4" s="43"/>
      <c r="VKK4" s="44"/>
      <c r="VKL4" s="44"/>
      <c r="VKM4" s="44"/>
      <c r="VKN4" s="44"/>
      <c r="VKO4" s="44"/>
      <c r="VKP4" s="44"/>
      <c r="VKQ4" s="44"/>
      <c r="VKR4" s="44"/>
      <c r="VKS4" s="44"/>
      <c r="VKT4" s="44"/>
      <c r="VKU4" s="44"/>
      <c r="VKV4" s="44"/>
      <c r="VKW4" s="44"/>
      <c r="VKX4" s="44"/>
      <c r="VKY4" s="43"/>
      <c r="VKZ4" s="44"/>
      <c r="VLA4" s="44"/>
      <c r="VLB4" s="44"/>
      <c r="VLC4" s="44"/>
      <c r="VLD4" s="44"/>
      <c r="VLE4" s="44"/>
      <c r="VLF4" s="44"/>
      <c r="VLG4" s="44"/>
      <c r="VLH4" s="44"/>
      <c r="VLI4" s="44"/>
      <c r="VLJ4" s="44"/>
      <c r="VLK4" s="44"/>
      <c r="VLL4" s="44"/>
      <c r="VLM4" s="44"/>
      <c r="VLN4" s="43"/>
      <c r="VLO4" s="44"/>
      <c r="VLP4" s="44"/>
      <c r="VLQ4" s="44"/>
      <c r="VLR4" s="44"/>
      <c r="VLS4" s="44"/>
      <c r="VLT4" s="44"/>
      <c r="VLU4" s="44"/>
      <c r="VLV4" s="44"/>
      <c r="VLW4" s="44"/>
      <c r="VLX4" s="44"/>
      <c r="VLY4" s="44"/>
      <c r="VLZ4" s="44"/>
      <c r="VMA4" s="44"/>
      <c r="VMB4" s="44"/>
      <c r="VMC4" s="43"/>
      <c r="VMD4" s="44"/>
      <c r="VME4" s="44"/>
      <c r="VMF4" s="44"/>
      <c r="VMG4" s="44"/>
      <c r="VMH4" s="44"/>
      <c r="VMI4" s="44"/>
      <c r="VMJ4" s="44"/>
      <c r="VMK4" s="44"/>
      <c r="VML4" s="44"/>
      <c r="VMM4" s="44"/>
      <c r="VMN4" s="44"/>
      <c r="VMO4" s="44"/>
      <c r="VMP4" s="44"/>
      <c r="VMQ4" s="44"/>
      <c r="VMR4" s="43"/>
      <c r="VMS4" s="44"/>
      <c r="VMT4" s="44"/>
      <c r="VMU4" s="44"/>
      <c r="VMV4" s="44"/>
      <c r="VMW4" s="44"/>
      <c r="VMX4" s="44"/>
      <c r="VMY4" s="44"/>
      <c r="VMZ4" s="44"/>
      <c r="VNA4" s="44"/>
      <c r="VNB4" s="44"/>
      <c r="VNC4" s="44"/>
      <c r="VND4" s="44"/>
      <c r="VNE4" s="44"/>
      <c r="VNF4" s="44"/>
      <c r="VNG4" s="43"/>
      <c r="VNH4" s="44"/>
      <c r="VNI4" s="44"/>
      <c r="VNJ4" s="44"/>
      <c r="VNK4" s="44"/>
      <c r="VNL4" s="44"/>
      <c r="VNM4" s="44"/>
      <c r="VNN4" s="44"/>
      <c r="VNO4" s="44"/>
      <c r="VNP4" s="44"/>
      <c r="VNQ4" s="44"/>
      <c r="VNR4" s="44"/>
      <c r="VNS4" s="44"/>
      <c r="VNT4" s="44"/>
      <c r="VNU4" s="44"/>
      <c r="VNV4" s="43"/>
      <c r="VNW4" s="44"/>
      <c r="VNX4" s="44"/>
      <c r="VNY4" s="44"/>
      <c r="VNZ4" s="44"/>
      <c r="VOA4" s="44"/>
      <c r="VOB4" s="44"/>
      <c r="VOC4" s="44"/>
      <c r="VOD4" s="44"/>
      <c r="VOE4" s="44"/>
      <c r="VOF4" s="44"/>
      <c r="VOG4" s="44"/>
      <c r="VOH4" s="44"/>
      <c r="VOI4" s="44"/>
      <c r="VOJ4" s="44"/>
      <c r="VOK4" s="43"/>
      <c r="VOL4" s="44"/>
      <c r="VOM4" s="44"/>
      <c r="VON4" s="44"/>
      <c r="VOO4" s="44"/>
      <c r="VOP4" s="44"/>
      <c r="VOQ4" s="44"/>
      <c r="VOR4" s="44"/>
      <c r="VOS4" s="44"/>
      <c r="VOT4" s="44"/>
      <c r="VOU4" s="44"/>
      <c r="VOV4" s="44"/>
      <c r="VOW4" s="44"/>
      <c r="VOX4" s="44"/>
      <c r="VOY4" s="44"/>
      <c r="VOZ4" s="43"/>
      <c r="VPA4" s="44"/>
      <c r="VPB4" s="44"/>
      <c r="VPC4" s="44"/>
      <c r="VPD4" s="44"/>
      <c r="VPE4" s="44"/>
      <c r="VPF4" s="44"/>
      <c r="VPG4" s="44"/>
      <c r="VPH4" s="44"/>
      <c r="VPI4" s="44"/>
      <c r="VPJ4" s="44"/>
      <c r="VPK4" s="44"/>
      <c r="VPL4" s="44"/>
      <c r="VPM4" s="44"/>
      <c r="VPN4" s="44"/>
      <c r="VPO4" s="43"/>
      <c r="VPP4" s="44"/>
      <c r="VPQ4" s="44"/>
      <c r="VPR4" s="44"/>
      <c r="VPS4" s="44"/>
      <c r="VPT4" s="44"/>
      <c r="VPU4" s="44"/>
      <c r="VPV4" s="44"/>
      <c r="VPW4" s="44"/>
      <c r="VPX4" s="44"/>
      <c r="VPY4" s="44"/>
      <c r="VPZ4" s="44"/>
      <c r="VQA4" s="44"/>
      <c r="VQB4" s="44"/>
      <c r="VQC4" s="44"/>
      <c r="VQD4" s="43"/>
      <c r="VQE4" s="44"/>
      <c r="VQF4" s="44"/>
      <c r="VQG4" s="44"/>
      <c r="VQH4" s="44"/>
      <c r="VQI4" s="44"/>
      <c r="VQJ4" s="44"/>
      <c r="VQK4" s="44"/>
      <c r="VQL4" s="44"/>
      <c r="VQM4" s="44"/>
      <c r="VQN4" s="44"/>
      <c r="VQO4" s="44"/>
      <c r="VQP4" s="44"/>
      <c r="VQQ4" s="44"/>
      <c r="VQR4" s="44"/>
      <c r="VQS4" s="43"/>
      <c r="VQT4" s="44"/>
      <c r="VQU4" s="44"/>
      <c r="VQV4" s="44"/>
      <c r="VQW4" s="44"/>
      <c r="VQX4" s="44"/>
      <c r="VQY4" s="44"/>
      <c r="VQZ4" s="44"/>
      <c r="VRA4" s="44"/>
      <c r="VRB4" s="44"/>
      <c r="VRC4" s="44"/>
      <c r="VRD4" s="44"/>
      <c r="VRE4" s="44"/>
      <c r="VRF4" s="44"/>
      <c r="VRG4" s="44"/>
      <c r="VRH4" s="43"/>
      <c r="VRI4" s="44"/>
      <c r="VRJ4" s="44"/>
      <c r="VRK4" s="44"/>
      <c r="VRL4" s="44"/>
      <c r="VRM4" s="44"/>
      <c r="VRN4" s="44"/>
      <c r="VRO4" s="44"/>
      <c r="VRP4" s="44"/>
      <c r="VRQ4" s="44"/>
      <c r="VRR4" s="44"/>
      <c r="VRS4" s="44"/>
      <c r="VRT4" s="44"/>
      <c r="VRU4" s="44"/>
      <c r="VRV4" s="44"/>
      <c r="VRW4" s="43"/>
      <c r="VRX4" s="44"/>
      <c r="VRY4" s="44"/>
      <c r="VRZ4" s="44"/>
      <c r="VSA4" s="44"/>
      <c r="VSB4" s="44"/>
      <c r="VSC4" s="44"/>
      <c r="VSD4" s="44"/>
      <c r="VSE4" s="44"/>
      <c r="VSF4" s="44"/>
      <c r="VSG4" s="44"/>
      <c r="VSH4" s="44"/>
      <c r="VSI4" s="44"/>
      <c r="VSJ4" s="44"/>
      <c r="VSK4" s="44"/>
      <c r="VSL4" s="43"/>
      <c r="VSM4" s="44"/>
      <c r="VSN4" s="44"/>
      <c r="VSO4" s="44"/>
      <c r="VSP4" s="44"/>
      <c r="VSQ4" s="44"/>
      <c r="VSR4" s="44"/>
      <c r="VSS4" s="44"/>
      <c r="VST4" s="44"/>
      <c r="VSU4" s="44"/>
      <c r="VSV4" s="44"/>
      <c r="VSW4" s="44"/>
      <c r="VSX4" s="44"/>
      <c r="VSY4" s="44"/>
      <c r="VSZ4" s="44"/>
      <c r="VTA4" s="43"/>
      <c r="VTB4" s="44"/>
      <c r="VTC4" s="44"/>
      <c r="VTD4" s="44"/>
      <c r="VTE4" s="44"/>
      <c r="VTF4" s="44"/>
      <c r="VTG4" s="44"/>
      <c r="VTH4" s="44"/>
      <c r="VTI4" s="44"/>
      <c r="VTJ4" s="44"/>
      <c r="VTK4" s="44"/>
      <c r="VTL4" s="44"/>
      <c r="VTM4" s="44"/>
      <c r="VTN4" s="44"/>
      <c r="VTO4" s="44"/>
      <c r="VTP4" s="43"/>
      <c r="VTQ4" s="44"/>
      <c r="VTR4" s="44"/>
      <c r="VTS4" s="44"/>
      <c r="VTT4" s="44"/>
      <c r="VTU4" s="44"/>
      <c r="VTV4" s="44"/>
      <c r="VTW4" s="44"/>
      <c r="VTX4" s="44"/>
      <c r="VTY4" s="44"/>
      <c r="VTZ4" s="44"/>
      <c r="VUA4" s="44"/>
      <c r="VUB4" s="44"/>
      <c r="VUC4" s="44"/>
      <c r="VUD4" s="44"/>
      <c r="VUE4" s="43"/>
      <c r="VUF4" s="44"/>
      <c r="VUG4" s="44"/>
      <c r="VUH4" s="44"/>
      <c r="VUI4" s="44"/>
      <c r="VUJ4" s="44"/>
      <c r="VUK4" s="44"/>
      <c r="VUL4" s="44"/>
      <c r="VUM4" s="44"/>
      <c r="VUN4" s="44"/>
      <c r="VUO4" s="44"/>
      <c r="VUP4" s="44"/>
      <c r="VUQ4" s="44"/>
      <c r="VUR4" s="44"/>
      <c r="VUS4" s="44"/>
      <c r="VUT4" s="43"/>
      <c r="VUU4" s="44"/>
      <c r="VUV4" s="44"/>
      <c r="VUW4" s="44"/>
      <c r="VUX4" s="44"/>
      <c r="VUY4" s="44"/>
      <c r="VUZ4" s="44"/>
      <c r="VVA4" s="44"/>
      <c r="VVB4" s="44"/>
      <c r="VVC4" s="44"/>
      <c r="VVD4" s="44"/>
      <c r="VVE4" s="44"/>
      <c r="VVF4" s="44"/>
      <c r="VVG4" s="44"/>
      <c r="VVH4" s="44"/>
      <c r="VVI4" s="43"/>
      <c r="VVJ4" s="44"/>
      <c r="VVK4" s="44"/>
      <c r="VVL4" s="44"/>
      <c r="VVM4" s="44"/>
      <c r="VVN4" s="44"/>
      <c r="VVO4" s="44"/>
      <c r="VVP4" s="44"/>
      <c r="VVQ4" s="44"/>
      <c r="VVR4" s="44"/>
      <c r="VVS4" s="44"/>
      <c r="VVT4" s="44"/>
      <c r="VVU4" s="44"/>
      <c r="VVV4" s="44"/>
      <c r="VVW4" s="44"/>
      <c r="VVX4" s="43"/>
      <c r="VVY4" s="44"/>
      <c r="VVZ4" s="44"/>
      <c r="VWA4" s="44"/>
      <c r="VWB4" s="44"/>
      <c r="VWC4" s="44"/>
      <c r="VWD4" s="44"/>
      <c r="VWE4" s="44"/>
      <c r="VWF4" s="44"/>
      <c r="VWG4" s="44"/>
      <c r="VWH4" s="44"/>
      <c r="VWI4" s="44"/>
      <c r="VWJ4" s="44"/>
      <c r="VWK4" s="44"/>
      <c r="VWL4" s="44"/>
      <c r="VWM4" s="43"/>
      <c r="VWN4" s="44"/>
      <c r="VWO4" s="44"/>
      <c r="VWP4" s="44"/>
      <c r="VWQ4" s="44"/>
      <c r="VWR4" s="44"/>
      <c r="VWS4" s="44"/>
      <c r="VWT4" s="44"/>
      <c r="VWU4" s="44"/>
      <c r="VWV4" s="44"/>
      <c r="VWW4" s="44"/>
      <c r="VWX4" s="44"/>
      <c r="VWY4" s="44"/>
      <c r="VWZ4" s="44"/>
      <c r="VXA4" s="44"/>
      <c r="VXB4" s="43"/>
      <c r="VXC4" s="44"/>
      <c r="VXD4" s="44"/>
      <c r="VXE4" s="44"/>
      <c r="VXF4" s="44"/>
      <c r="VXG4" s="44"/>
      <c r="VXH4" s="44"/>
      <c r="VXI4" s="44"/>
      <c r="VXJ4" s="44"/>
      <c r="VXK4" s="44"/>
      <c r="VXL4" s="44"/>
      <c r="VXM4" s="44"/>
      <c r="VXN4" s="44"/>
      <c r="VXO4" s="44"/>
      <c r="VXP4" s="44"/>
      <c r="VXQ4" s="43"/>
      <c r="VXR4" s="44"/>
      <c r="VXS4" s="44"/>
      <c r="VXT4" s="44"/>
      <c r="VXU4" s="44"/>
      <c r="VXV4" s="44"/>
      <c r="VXW4" s="44"/>
      <c r="VXX4" s="44"/>
      <c r="VXY4" s="44"/>
      <c r="VXZ4" s="44"/>
      <c r="VYA4" s="44"/>
      <c r="VYB4" s="44"/>
      <c r="VYC4" s="44"/>
      <c r="VYD4" s="44"/>
      <c r="VYE4" s="44"/>
      <c r="VYF4" s="43"/>
      <c r="VYG4" s="44"/>
      <c r="VYH4" s="44"/>
      <c r="VYI4" s="44"/>
      <c r="VYJ4" s="44"/>
      <c r="VYK4" s="44"/>
      <c r="VYL4" s="44"/>
      <c r="VYM4" s="44"/>
      <c r="VYN4" s="44"/>
      <c r="VYO4" s="44"/>
      <c r="VYP4" s="44"/>
      <c r="VYQ4" s="44"/>
      <c r="VYR4" s="44"/>
      <c r="VYS4" s="44"/>
      <c r="VYT4" s="44"/>
      <c r="VYU4" s="43"/>
      <c r="VYV4" s="44"/>
      <c r="VYW4" s="44"/>
      <c r="VYX4" s="44"/>
      <c r="VYY4" s="44"/>
      <c r="VYZ4" s="44"/>
      <c r="VZA4" s="44"/>
      <c r="VZB4" s="44"/>
      <c r="VZC4" s="44"/>
      <c r="VZD4" s="44"/>
      <c r="VZE4" s="44"/>
      <c r="VZF4" s="44"/>
      <c r="VZG4" s="44"/>
      <c r="VZH4" s="44"/>
      <c r="VZI4" s="44"/>
      <c r="VZJ4" s="43"/>
      <c r="VZK4" s="44"/>
      <c r="VZL4" s="44"/>
      <c r="VZM4" s="44"/>
      <c r="VZN4" s="44"/>
      <c r="VZO4" s="44"/>
      <c r="VZP4" s="44"/>
      <c r="VZQ4" s="44"/>
      <c r="VZR4" s="44"/>
      <c r="VZS4" s="44"/>
      <c r="VZT4" s="44"/>
      <c r="VZU4" s="44"/>
      <c r="VZV4" s="44"/>
      <c r="VZW4" s="44"/>
      <c r="VZX4" s="44"/>
      <c r="VZY4" s="43"/>
      <c r="VZZ4" s="44"/>
      <c r="WAA4" s="44"/>
      <c r="WAB4" s="44"/>
      <c r="WAC4" s="44"/>
      <c r="WAD4" s="44"/>
      <c r="WAE4" s="44"/>
      <c r="WAF4" s="44"/>
      <c r="WAG4" s="44"/>
      <c r="WAH4" s="44"/>
      <c r="WAI4" s="44"/>
      <c r="WAJ4" s="44"/>
      <c r="WAK4" s="44"/>
      <c r="WAL4" s="44"/>
      <c r="WAM4" s="44"/>
      <c r="WAN4" s="43"/>
      <c r="WAO4" s="44"/>
      <c r="WAP4" s="44"/>
      <c r="WAQ4" s="44"/>
      <c r="WAR4" s="44"/>
      <c r="WAS4" s="44"/>
      <c r="WAT4" s="44"/>
      <c r="WAU4" s="44"/>
      <c r="WAV4" s="44"/>
      <c r="WAW4" s="44"/>
      <c r="WAX4" s="44"/>
      <c r="WAY4" s="44"/>
      <c r="WAZ4" s="44"/>
      <c r="WBA4" s="44"/>
      <c r="WBB4" s="44"/>
      <c r="WBC4" s="43"/>
      <c r="WBD4" s="44"/>
      <c r="WBE4" s="44"/>
      <c r="WBF4" s="44"/>
      <c r="WBG4" s="44"/>
      <c r="WBH4" s="44"/>
      <c r="WBI4" s="44"/>
      <c r="WBJ4" s="44"/>
      <c r="WBK4" s="44"/>
      <c r="WBL4" s="44"/>
      <c r="WBM4" s="44"/>
      <c r="WBN4" s="44"/>
      <c r="WBO4" s="44"/>
      <c r="WBP4" s="44"/>
      <c r="WBQ4" s="44"/>
      <c r="WBR4" s="43"/>
      <c r="WBS4" s="44"/>
      <c r="WBT4" s="44"/>
      <c r="WBU4" s="44"/>
      <c r="WBV4" s="44"/>
      <c r="WBW4" s="44"/>
      <c r="WBX4" s="44"/>
      <c r="WBY4" s="44"/>
      <c r="WBZ4" s="44"/>
      <c r="WCA4" s="44"/>
      <c r="WCB4" s="44"/>
      <c r="WCC4" s="44"/>
      <c r="WCD4" s="44"/>
      <c r="WCE4" s="44"/>
      <c r="WCF4" s="44"/>
      <c r="WCG4" s="43"/>
      <c r="WCH4" s="44"/>
      <c r="WCI4" s="44"/>
      <c r="WCJ4" s="44"/>
      <c r="WCK4" s="44"/>
      <c r="WCL4" s="44"/>
      <c r="WCM4" s="44"/>
      <c r="WCN4" s="44"/>
      <c r="WCO4" s="44"/>
      <c r="WCP4" s="44"/>
      <c r="WCQ4" s="44"/>
      <c r="WCR4" s="44"/>
      <c r="WCS4" s="44"/>
      <c r="WCT4" s="44"/>
      <c r="WCU4" s="44"/>
      <c r="WCV4" s="43"/>
      <c r="WCW4" s="44"/>
      <c r="WCX4" s="44"/>
      <c r="WCY4" s="44"/>
      <c r="WCZ4" s="44"/>
      <c r="WDA4" s="44"/>
      <c r="WDB4" s="44"/>
      <c r="WDC4" s="44"/>
      <c r="WDD4" s="44"/>
      <c r="WDE4" s="44"/>
      <c r="WDF4" s="44"/>
      <c r="WDG4" s="44"/>
      <c r="WDH4" s="44"/>
      <c r="WDI4" s="44"/>
      <c r="WDJ4" s="44"/>
      <c r="WDK4" s="43"/>
      <c r="WDL4" s="44"/>
      <c r="WDM4" s="44"/>
      <c r="WDN4" s="44"/>
      <c r="WDO4" s="44"/>
      <c r="WDP4" s="44"/>
      <c r="WDQ4" s="44"/>
      <c r="WDR4" s="44"/>
      <c r="WDS4" s="44"/>
      <c r="WDT4" s="44"/>
      <c r="WDU4" s="44"/>
      <c r="WDV4" s="44"/>
      <c r="WDW4" s="44"/>
      <c r="WDX4" s="44"/>
      <c r="WDY4" s="44"/>
      <c r="WDZ4" s="43"/>
      <c r="WEA4" s="44"/>
      <c r="WEB4" s="44"/>
      <c r="WEC4" s="44"/>
      <c r="WED4" s="44"/>
      <c r="WEE4" s="44"/>
      <c r="WEF4" s="44"/>
      <c r="WEG4" s="44"/>
      <c r="WEH4" s="44"/>
      <c r="WEI4" s="44"/>
      <c r="WEJ4" s="44"/>
      <c r="WEK4" s="44"/>
      <c r="WEL4" s="44"/>
      <c r="WEM4" s="44"/>
      <c r="WEN4" s="44"/>
      <c r="WEO4" s="43"/>
      <c r="WEP4" s="44"/>
      <c r="WEQ4" s="44"/>
      <c r="WER4" s="44"/>
      <c r="WES4" s="44"/>
      <c r="WET4" s="44"/>
      <c r="WEU4" s="44"/>
      <c r="WEV4" s="44"/>
      <c r="WEW4" s="44"/>
      <c r="WEX4" s="44"/>
      <c r="WEY4" s="44"/>
      <c r="WEZ4" s="44"/>
      <c r="WFA4" s="44"/>
      <c r="WFB4" s="44"/>
      <c r="WFC4" s="44"/>
      <c r="WFD4" s="43"/>
      <c r="WFE4" s="44"/>
      <c r="WFF4" s="44"/>
      <c r="WFG4" s="44"/>
      <c r="WFH4" s="44"/>
      <c r="WFI4" s="44"/>
      <c r="WFJ4" s="44"/>
      <c r="WFK4" s="44"/>
      <c r="WFL4" s="44"/>
      <c r="WFM4" s="44"/>
      <c r="WFN4" s="44"/>
      <c r="WFO4" s="44"/>
      <c r="WFP4" s="44"/>
      <c r="WFQ4" s="44"/>
      <c r="WFR4" s="44"/>
      <c r="WFS4" s="43"/>
      <c r="WFT4" s="44"/>
      <c r="WFU4" s="44"/>
      <c r="WFV4" s="44"/>
      <c r="WFW4" s="44"/>
      <c r="WFX4" s="44"/>
      <c r="WFY4" s="44"/>
      <c r="WFZ4" s="44"/>
      <c r="WGA4" s="44"/>
      <c r="WGB4" s="44"/>
      <c r="WGC4" s="44"/>
      <c r="WGD4" s="44"/>
      <c r="WGE4" s="44"/>
      <c r="WGF4" s="44"/>
      <c r="WGG4" s="44"/>
      <c r="WGH4" s="43"/>
      <c r="WGI4" s="44"/>
      <c r="WGJ4" s="44"/>
      <c r="WGK4" s="44"/>
      <c r="WGL4" s="44"/>
      <c r="WGM4" s="44"/>
      <c r="WGN4" s="44"/>
      <c r="WGO4" s="44"/>
      <c r="WGP4" s="44"/>
      <c r="WGQ4" s="44"/>
      <c r="WGR4" s="44"/>
      <c r="WGS4" s="44"/>
      <c r="WGT4" s="44"/>
      <c r="WGU4" s="44"/>
      <c r="WGV4" s="44"/>
      <c r="WGW4" s="43"/>
      <c r="WGX4" s="44"/>
      <c r="WGY4" s="44"/>
      <c r="WGZ4" s="44"/>
      <c r="WHA4" s="44"/>
      <c r="WHB4" s="44"/>
      <c r="WHC4" s="44"/>
      <c r="WHD4" s="44"/>
      <c r="WHE4" s="44"/>
      <c r="WHF4" s="44"/>
      <c r="WHG4" s="44"/>
      <c r="WHH4" s="44"/>
      <c r="WHI4" s="44"/>
      <c r="WHJ4" s="44"/>
      <c r="WHK4" s="44"/>
      <c r="WHL4" s="43"/>
      <c r="WHM4" s="44"/>
      <c r="WHN4" s="44"/>
      <c r="WHO4" s="44"/>
      <c r="WHP4" s="44"/>
      <c r="WHQ4" s="44"/>
      <c r="WHR4" s="44"/>
      <c r="WHS4" s="44"/>
      <c r="WHT4" s="44"/>
      <c r="WHU4" s="44"/>
      <c r="WHV4" s="44"/>
      <c r="WHW4" s="44"/>
      <c r="WHX4" s="44"/>
      <c r="WHY4" s="44"/>
      <c r="WHZ4" s="44"/>
      <c r="WIA4" s="43"/>
      <c r="WIB4" s="44"/>
      <c r="WIC4" s="44"/>
      <c r="WID4" s="44"/>
      <c r="WIE4" s="44"/>
      <c r="WIF4" s="44"/>
      <c r="WIG4" s="44"/>
      <c r="WIH4" s="44"/>
      <c r="WII4" s="44"/>
      <c r="WIJ4" s="44"/>
      <c r="WIK4" s="44"/>
      <c r="WIL4" s="44"/>
      <c r="WIM4" s="44"/>
      <c r="WIN4" s="44"/>
      <c r="WIO4" s="44"/>
      <c r="WIP4" s="43"/>
      <c r="WIQ4" s="44"/>
      <c r="WIR4" s="44"/>
      <c r="WIS4" s="44"/>
      <c r="WIT4" s="44"/>
      <c r="WIU4" s="44"/>
      <c r="WIV4" s="44"/>
      <c r="WIW4" s="44"/>
      <c r="WIX4" s="44"/>
      <c r="WIY4" s="44"/>
      <c r="WIZ4" s="44"/>
      <c r="WJA4" s="44"/>
      <c r="WJB4" s="44"/>
      <c r="WJC4" s="44"/>
      <c r="WJD4" s="44"/>
      <c r="WJE4" s="43"/>
      <c r="WJF4" s="44"/>
      <c r="WJG4" s="44"/>
      <c r="WJH4" s="44"/>
      <c r="WJI4" s="44"/>
      <c r="WJJ4" s="44"/>
      <c r="WJK4" s="44"/>
      <c r="WJL4" s="44"/>
      <c r="WJM4" s="44"/>
      <c r="WJN4" s="44"/>
      <c r="WJO4" s="44"/>
      <c r="WJP4" s="44"/>
      <c r="WJQ4" s="44"/>
      <c r="WJR4" s="44"/>
      <c r="WJS4" s="44"/>
      <c r="WJT4" s="43"/>
      <c r="WJU4" s="44"/>
      <c r="WJV4" s="44"/>
      <c r="WJW4" s="44"/>
      <c r="WJX4" s="44"/>
      <c r="WJY4" s="44"/>
      <c r="WJZ4" s="44"/>
      <c r="WKA4" s="44"/>
      <c r="WKB4" s="44"/>
      <c r="WKC4" s="44"/>
      <c r="WKD4" s="44"/>
      <c r="WKE4" s="44"/>
      <c r="WKF4" s="44"/>
      <c r="WKG4" s="44"/>
      <c r="WKH4" s="44"/>
      <c r="WKI4" s="43"/>
      <c r="WKJ4" s="44"/>
      <c r="WKK4" s="44"/>
      <c r="WKL4" s="44"/>
      <c r="WKM4" s="44"/>
      <c r="WKN4" s="44"/>
      <c r="WKO4" s="44"/>
      <c r="WKP4" s="44"/>
      <c r="WKQ4" s="44"/>
      <c r="WKR4" s="44"/>
      <c r="WKS4" s="44"/>
      <c r="WKT4" s="44"/>
      <c r="WKU4" s="44"/>
      <c r="WKV4" s="44"/>
      <c r="WKW4" s="44"/>
      <c r="WKX4" s="43"/>
      <c r="WKY4" s="44"/>
      <c r="WKZ4" s="44"/>
      <c r="WLA4" s="44"/>
      <c r="WLB4" s="44"/>
      <c r="WLC4" s="44"/>
      <c r="WLD4" s="44"/>
      <c r="WLE4" s="44"/>
      <c r="WLF4" s="44"/>
      <c r="WLG4" s="44"/>
      <c r="WLH4" s="44"/>
      <c r="WLI4" s="44"/>
      <c r="WLJ4" s="44"/>
      <c r="WLK4" s="44"/>
      <c r="WLL4" s="44"/>
      <c r="WLM4" s="43"/>
      <c r="WLN4" s="44"/>
      <c r="WLO4" s="44"/>
      <c r="WLP4" s="44"/>
      <c r="WLQ4" s="44"/>
      <c r="WLR4" s="44"/>
      <c r="WLS4" s="44"/>
      <c r="WLT4" s="44"/>
      <c r="WLU4" s="44"/>
      <c r="WLV4" s="44"/>
      <c r="WLW4" s="44"/>
      <c r="WLX4" s="44"/>
      <c r="WLY4" s="44"/>
      <c r="WLZ4" s="44"/>
      <c r="WMA4" s="44"/>
      <c r="WMB4" s="43"/>
      <c r="WMC4" s="44"/>
      <c r="WMD4" s="44"/>
      <c r="WME4" s="44"/>
      <c r="WMF4" s="44"/>
      <c r="WMG4" s="44"/>
      <c r="WMH4" s="44"/>
      <c r="WMI4" s="44"/>
      <c r="WMJ4" s="44"/>
      <c r="WMK4" s="44"/>
      <c r="WML4" s="44"/>
      <c r="WMM4" s="44"/>
      <c r="WMN4" s="44"/>
      <c r="WMO4" s="44"/>
      <c r="WMP4" s="44"/>
      <c r="WMQ4" s="43"/>
      <c r="WMR4" s="44"/>
      <c r="WMS4" s="44"/>
      <c r="WMT4" s="44"/>
      <c r="WMU4" s="44"/>
      <c r="WMV4" s="44"/>
      <c r="WMW4" s="44"/>
      <c r="WMX4" s="44"/>
      <c r="WMY4" s="44"/>
      <c r="WMZ4" s="44"/>
      <c r="WNA4" s="44"/>
      <c r="WNB4" s="44"/>
      <c r="WNC4" s="44"/>
      <c r="WND4" s="44"/>
      <c r="WNE4" s="44"/>
      <c r="WNF4" s="43"/>
      <c r="WNG4" s="44"/>
      <c r="WNH4" s="44"/>
      <c r="WNI4" s="44"/>
      <c r="WNJ4" s="44"/>
      <c r="WNK4" s="44"/>
      <c r="WNL4" s="44"/>
      <c r="WNM4" s="44"/>
      <c r="WNN4" s="44"/>
      <c r="WNO4" s="44"/>
      <c r="WNP4" s="44"/>
      <c r="WNQ4" s="44"/>
      <c r="WNR4" s="44"/>
      <c r="WNS4" s="44"/>
      <c r="WNT4" s="44"/>
      <c r="WNU4" s="43"/>
      <c r="WNV4" s="44"/>
      <c r="WNW4" s="44"/>
      <c r="WNX4" s="44"/>
      <c r="WNY4" s="44"/>
      <c r="WNZ4" s="44"/>
      <c r="WOA4" s="44"/>
      <c r="WOB4" s="44"/>
      <c r="WOC4" s="44"/>
      <c r="WOD4" s="44"/>
      <c r="WOE4" s="44"/>
      <c r="WOF4" s="44"/>
      <c r="WOG4" s="44"/>
      <c r="WOH4" s="44"/>
      <c r="WOI4" s="44"/>
      <c r="WOJ4" s="43"/>
      <c r="WOK4" s="44"/>
      <c r="WOL4" s="44"/>
      <c r="WOM4" s="44"/>
      <c r="WON4" s="44"/>
      <c r="WOO4" s="44"/>
      <c r="WOP4" s="44"/>
      <c r="WOQ4" s="44"/>
      <c r="WOR4" s="44"/>
      <c r="WOS4" s="44"/>
      <c r="WOT4" s="44"/>
      <c r="WOU4" s="44"/>
      <c r="WOV4" s="44"/>
      <c r="WOW4" s="44"/>
      <c r="WOX4" s="44"/>
      <c r="WOY4" s="43"/>
      <c r="WOZ4" s="44"/>
      <c r="WPA4" s="44"/>
      <c r="WPB4" s="44"/>
      <c r="WPC4" s="44"/>
      <c r="WPD4" s="44"/>
      <c r="WPE4" s="44"/>
      <c r="WPF4" s="44"/>
      <c r="WPG4" s="44"/>
      <c r="WPH4" s="44"/>
      <c r="WPI4" s="44"/>
      <c r="WPJ4" s="44"/>
      <c r="WPK4" s="44"/>
      <c r="WPL4" s="44"/>
      <c r="WPM4" s="44"/>
      <c r="WPN4" s="43"/>
      <c r="WPO4" s="44"/>
      <c r="WPP4" s="44"/>
      <c r="WPQ4" s="44"/>
      <c r="WPR4" s="44"/>
      <c r="WPS4" s="44"/>
      <c r="WPT4" s="44"/>
      <c r="WPU4" s="44"/>
      <c r="WPV4" s="44"/>
      <c r="WPW4" s="44"/>
      <c r="WPX4" s="44"/>
      <c r="WPY4" s="44"/>
      <c r="WPZ4" s="44"/>
      <c r="WQA4" s="44"/>
      <c r="WQB4" s="44"/>
      <c r="WQC4" s="43"/>
      <c r="WQD4" s="44"/>
      <c r="WQE4" s="44"/>
      <c r="WQF4" s="44"/>
      <c r="WQG4" s="44"/>
      <c r="WQH4" s="44"/>
      <c r="WQI4" s="44"/>
      <c r="WQJ4" s="44"/>
      <c r="WQK4" s="44"/>
      <c r="WQL4" s="44"/>
      <c r="WQM4" s="44"/>
      <c r="WQN4" s="44"/>
      <c r="WQO4" s="44"/>
      <c r="WQP4" s="44"/>
      <c r="WQQ4" s="44"/>
      <c r="WQR4" s="43"/>
      <c r="WQS4" s="44"/>
      <c r="WQT4" s="44"/>
      <c r="WQU4" s="44"/>
      <c r="WQV4" s="44"/>
      <c r="WQW4" s="44"/>
      <c r="WQX4" s="44"/>
      <c r="WQY4" s="44"/>
      <c r="WQZ4" s="44"/>
      <c r="WRA4" s="44"/>
      <c r="WRB4" s="44"/>
      <c r="WRC4" s="44"/>
      <c r="WRD4" s="44"/>
      <c r="WRE4" s="44"/>
      <c r="WRF4" s="44"/>
      <c r="WRG4" s="43"/>
      <c r="WRH4" s="44"/>
      <c r="WRI4" s="44"/>
      <c r="WRJ4" s="44"/>
      <c r="WRK4" s="44"/>
      <c r="WRL4" s="44"/>
      <c r="WRM4" s="44"/>
      <c r="WRN4" s="44"/>
      <c r="WRO4" s="44"/>
      <c r="WRP4" s="44"/>
      <c r="WRQ4" s="44"/>
      <c r="WRR4" s="44"/>
      <c r="WRS4" s="44"/>
      <c r="WRT4" s="44"/>
      <c r="WRU4" s="44"/>
      <c r="WRV4" s="43"/>
      <c r="WRW4" s="44"/>
      <c r="WRX4" s="44"/>
      <c r="WRY4" s="44"/>
      <c r="WRZ4" s="44"/>
      <c r="WSA4" s="44"/>
      <c r="WSB4" s="44"/>
      <c r="WSC4" s="44"/>
      <c r="WSD4" s="44"/>
      <c r="WSE4" s="44"/>
      <c r="WSF4" s="44"/>
      <c r="WSG4" s="44"/>
      <c r="WSH4" s="44"/>
      <c r="WSI4" s="44"/>
      <c r="WSJ4" s="44"/>
      <c r="WSK4" s="43"/>
      <c r="WSL4" s="44"/>
      <c r="WSM4" s="44"/>
      <c r="WSN4" s="44"/>
      <c r="WSO4" s="44"/>
      <c r="WSP4" s="44"/>
      <c r="WSQ4" s="44"/>
      <c r="WSR4" s="44"/>
      <c r="WSS4" s="44"/>
      <c r="WST4" s="44"/>
      <c r="WSU4" s="44"/>
      <c r="WSV4" s="44"/>
      <c r="WSW4" s="44"/>
      <c r="WSX4" s="44"/>
      <c r="WSY4" s="44"/>
      <c r="WSZ4" s="43"/>
      <c r="WTA4" s="44"/>
      <c r="WTB4" s="44"/>
      <c r="WTC4" s="44"/>
      <c r="WTD4" s="44"/>
      <c r="WTE4" s="44"/>
      <c r="WTF4" s="44"/>
      <c r="WTG4" s="44"/>
      <c r="WTH4" s="44"/>
      <c r="WTI4" s="44"/>
      <c r="WTJ4" s="44"/>
      <c r="WTK4" s="44"/>
      <c r="WTL4" s="44"/>
      <c r="WTM4" s="44"/>
      <c r="WTN4" s="44"/>
      <c r="WTO4" s="43"/>
      <c r="WTP4" s="44"/>
      <c r="WTQ4" s="44"/>
      <c r="WTR4" s="44"/>
      <c r="WTS4" s="44"/>
      <c r="WTT4" s="44"/>
      <c r="WTU4" s="44"/>
      <c r="WTV4" s="44"/>
      <c r="WTW4" s="44"/>
      <c r="WTX4" s="44"/>
      <c r="WTY4" s="44"/>
      <c r="WTZ4" s="44"/>
      <c r="WUA4" s="44"/>
      <c r="WUB4" s="44"/>
      <c r="WUC4" s="44"/>
      <c r="WUD4" s="43"/>
      <c r="WUE4" s="44"/>
      <c r="WUF4" s="44"/>
      <c r="WUG4" s="44"/>
      <c r="WUH4" s="44"/>
      <c r="WUI4" s="44"/>
      <c r="WUJ4" s="44"/>
      <c r="WUK4" s="44"/>
      <c r="WUL4" s="44"/>
      <c r="WUM4" s="44"/>
      <c r="WUN4" s="44"/>
      <c r="WUO4" s="44"/>
      <c r="WUP4" s="44"/>
      <c r="WUQ4" s="44"/>
      <c r="WUR4" s="44"/>
      <c r="WUS4" s="43"/>
      <c r="WUT4" s="44"/>
      <c r="WUU4" s="44"/>
      <c r="WUV4" s="44"/>
      <c r="WUW4" s="44"/>
      <c r="WUX4" s="44"/>
      <c r="WUY4" s="44"/>
      <c r="WUZ4" s="44"/>
      <c r="WVA4" s="44"/>
      <c r="WVB4" s="44"/>
      <c r="WVC4" s="44"/>
      <c r="WVD4" s="44"/>
      <c r="WVE4" s="44"/>
      <c r="WVF4" s="44"/>
      <c r="WVG4" s="44"/>
      <c r="WVH4" s="43"/>
      <c r="WVI4" s="44"/>
      <c r="WVJ4" s="44"/>
      <c r="WVK4" s="44"/>
      <c r="WVL4" s="44"/>
      <c r="WVM4" s="44"/>
      <c r="WVN4" s="44"/>
      <c r="WVO4" s="44"/>
      <c r="WVP4" s="44"/>
      <c r="WVQ4" s="44"/>
      <c r="WVR4" s="44"/>
      <c r="WVS4" s="44"/>
      <c r="WVT4" s="44"/>
      <c r="WVU4" s="44"/>
      <c r="WVV4" s="44"/>
      <c r="WVW4" s="43"/>
      <c r="WVX4" s="44"/>
      <c r="WVY4" s="44"/>
      <c r="WVZ4" s="44"/>
      <c r="WWA4" s="44"/>
      <c r="WWB4" s="44"/>
      <c r="WWC4" s="44"/>
      <c r="WWD4" s="44"/>
      <c r="WWE4" s="44"/>
      <c r="WWF4" s="44"/>
      <c r="WWG4" s="44"/>
      <c r="WWH4" s="44"/>
      <c r="WWI4" s="44"/>
      <c r="WWJ4" s="44"/>
      <c r="WWK4" s="44"/>
      <c r="WWL4" s="43"/>
      <c r="WWM4" s="44"/>
      <c r="WWN4" s="44"/>
      <c r="WWO4" s="44"/>
      <c r="WWP4" s="44"/>
      <c r="WWQ4" s="44"/>
      <c r="WWR4" s="44"/>
      <c r="WWS4" s="44"/>
      <c r="WWT4" s="44"/>
      <c r="WWU4" s="44"/>
      <c r="WWV4" s="44"/>
      <c r="WWW4" s="44"/>
      <c r="WWX4" s="44"/>
      <c r="WWY4" s="44"/>
      <c r="WWZ4" s="44"/>
      <c r="WXA4" s="43"/>
      <c r="WXB4" s="44"/>
      <c r="WXC4" s="44"/>
      <c r="WXD4" s="44"/>
      <c r="WXE4" s="44"/>
      <c r="WXF4" s="44"/>
      <c r="WXG4" s="44"/>
      <c r="WXH4" s="44"/>
      <c r="WXI4" s="44"/>
      <c r="WXJ4" s="44"/>
      <c r="WXK4" s="44"/>
      <c r="WXL4" s="44"/>
      <c r="WXM4" s="44"/>
      <c r="WXN4" s="44"/>
      <c r="WXO4" s="44"/>
      <c r="WXP4" s="43"/>
      <c r="WXQ4" s="44"/>
      <c r="WXR4" s="44"/>
      <c r="WXS4" s="44"/>
      <c r="WXT4" s="44"/>
      <c r="WXU4" s="44"/>
      <c r="WXV4" s="44"/>
      <c r="WXW4" s="44"/>
      <c r="WXX4" s="44"/>
      <c r="WXY4" s="44"/>
      <c r="WXZ4" s="44"/>
      <c r="WYA4" s="44"/>
      <c r="WYB4" s="44"/>
      <c r="WYC4" s="44"/>
      <c r="WYD4" s="44"/>
      <c r="WYE4" s="43"/>
      <c r="WYF4" s="44"/>
      <c r="WYG4" s="44"/>
      <c r="WYH4" s="44"/>
      <c r="WYI4" s="44"/>
      <c r="WYJ4" s="44"/>
      <c r="WYK4" s="44"/>
      <c r="WYL4" s="44"/>
      <c r="WYM4" s="44"/>
      <c r="WYN4" s="44"/>
      <c r="WYO4" s="44"/>
      <c r="WYP4" s="44"/>
      <c r="WYQ4" s="44"/>
      <c r="WYR4" s="44"/>
      <c r="WYS4" s="44"/>
      <c r="WYT4" s="43"/>
      <c r="WYU4" s="44"/>
      <c r="WYV4" s="44"/>
      <c r="WYW4" s="44"/>
      <c r="WYX4" s="44"/>
      <c r="WYY4" s="44"/>
      <c r="WYZ4" s="44"/>
      <c r="WZA4" s="44"/>
      <c r="WZB4" s="44"/>
      <c r="WZC4" s="44"/>
      <c r="WZD4" s="44"/>
      <c r="WZE4" s="44"/>
      <c r="WZF4" s="44"/>
      <c r="WZG4" s="44"/>
      <c r="WZH4" s="44"/>
      <c r="WZI4" s="43"/>
      <c r="WZJ4" s="44"/>
      <c r="WZK4" s="44"/>
      <c r="WZL4" s="44"/>
      <c r="WZM4" s="44"/>
      <c r="WZN4" s="44"/>
      <c r="WZO4" s="44"/>
      <c r="WZP4" s="44"/>
      <c r="WZQ4" s="44"/>
      <c r="WZR4" s="44"/>
      <c r="WZS4" s="44"/>
      <c r="WZT4" s="44"/>
      <c r="WZU4" s="44"/>
      <c r="WZV4" s="44"/>
      <c r="WZW4" s="44"/>
      <c r="WZX4" s="43"/>
      <c r="WZY4" s="44"/>
      <c r="WZZ4" s="44"/>
      <c r="XAA4" s="44"/>
      <c r="XAB4" s="44"/>
      <c r="XAC4" s="44"/>
      <c r="XAD4" s="44"/>
      <c r="XAE4" s="44"/>
      <c r="XAF4" s="44"/>
      <c r="XAG4" s="44"/>
      <c r="XAH4" s="44"/>
      <c r="XAI4" s="44"/>
      <c r="XAJ4" s="44"/>
      <c r="XAK4" s="44"/>
      <c r="XAL4" s="44"/>
      <c r="XAM4" s="43"/>
      <c r="XAN4" s="44"/>
      <c r="XAO4" s="44"/>
      <c r="XAP4" s="44"/>
      <c r="XAQ4" s="44"/>
      <c r="XAR4" s="44"/>
      <c r="XAS4" s="44"/>
      <c r="XAT4" s="44"/>
      <c r="XAU4" s="44"/>
      <c r="XAV4" s="44"/>
      <c r="XAW4" s="44"/>
      <c r="XAX4" s="44"/>
      <c r="XAY4" s="44"/>
      <c r="XAZ4" s="44"/>
      <c r="XBA4" s="44"/>
      <c r="XBB4" s="43"/>
      <c r="XBC4" s="44"/>
      <c r="XBD4" s="44"/>
      <c r="XBE4" s="44"/>
      <c r="XBF4" s="44"/>
      <c r="XBG4" s="44"/>
      <c r="XBH4" s="44"/>
      <c r="XBI4" s="44"/>
      <c r="XBJ4" s="44"/>
      <c r="XBK4" s="44"/>
      <c r="XBL4" s="44"/>
      <c r="XBM4" s="44"/>
      <c r="XBN4" s="44"/>
      <c r="XBO4" s="44"/>
      <c r="XBP4" s="44"/>
      <c r="XBQ4" s="43"/>
      <c r="XBR4" s="44"/>
      <c r="XBS4" s="44"/>
      <c r="XBT4" s="44"/>
      <c r="XBU4" s="44"/>
      <c r="XBV4" s="44"/>
      <c r="XBW4" s="44"/>
      <c r="XBX4" s="44"/>
      <c r="XBY4" s="44"/>
      <c r="XBZ4" s="44"/>
      <c r="XCA4" s="44"/>
      <c r="XCB4" s="44"/>
      <c r="XCC4" s="44"/>
      <c r="XCD4" s="44"/>
      <c r="XCE4" s="44"/>
      <c r="XCF4" s="43"/>
      <c r="XCG4" s="44"/>
      <c r="XCH4" s="44"/>
      <c r="XCI4" s="44"/>
      <c r="XCJ4" s="44"/>
      <c r="XCK4" s="44"/>
      <c r="XCL4" s="44"/>
      <c r="XCM4" s="44"/>
      <c r="XCN4" s="44"/>
      <c r="XCO4" s="44"/>
      <c r="XCP4" s="44"/>
      <c r="XCQ4" s="44"/>
      <c r="XCR4" s="44"/>
      <c r="XCS4" s="44"/>
      <c r="XCT4" s="44"/>
      <c r="XCU4" s="43"/>
      <c r="XCV4" s="44"/>
      <c r="XCW4" s="44"/>
      <c r="XCX4" s="44"/>
      <c r="XCY4" s="44"/>
      <c r="XCZ4" s="44"/>
      <c r="XDA4" s="44"/>
      <c r="XDB4" s="44"/>
      <c r="XDC4" s="44"/>
      <c r="XDD4" s="44"/>
      <c r="XDE4" s="44"/>
      <c r="XDF4" s="44"/>
      <c r="XDG4" s="44"/>
      <c r="XDH4" s="44"/>
      <c r="XDI4" s="44"/>
      <c r="XDJ4" s="43"/>
      <c r="XDK4" s="44"/>
      <c r="XDL4" s="44"/>
      <c r="XDM4" s="44"/>
      <c r="XDN4" s="44"/>
      <c r="XDO4" s="44"/>
      <c r="XDP4" s="44"/>
      <c r="XDQ4" s="44"/>
      <c r="XDR4" s="44"/>
      <c r="XDS4" s="44"/>
      <c r="XDT4" s="44"/>
      <c r="XDU4" s="44"/>
      <c r="XDV4" s="44"/>
      <c r="XDW4" s="44"/>
      <c r="XDX4" s="44"/>
      <c r="XDY4" s="43"/>
      <c r="XDZ4" s="44"/>
      <c r="XEA4" s="44"/>
      <c r="XEB4" s="44"/>
      <c r="XEC4" s="44"/>
      <c r="XED4" s="44"/>
      <c r="XEE4" s="44"/>
      <c r="XEF4" s="44"/>
      <c r="XEG4" s="44"/>
      <c r="XEH4" s="44"/>
      <c r="XEI4" s="44"/>
      <c r="XEJ4" s="44"/>
      <c r="XEK4" s="44"/>
      <c r="XEL4" s="44"/>
      <c r="XEM4" s="44"/>
      <c r="XEN4" s="43"/>
      <c r="XEO4" s="44"/>
      <c r="XEP4" s="44"/>
      <c r="XEQ4" s="44"/>
    </row>
    <row r="5" spans="1:16371" ht="15.75">
      <c r="A5" s="289"/>
      <c r="B5" s="289" t="s">
        <v>170</v>
      </c>
      <c r="C5" s="694">
        <f>Master!F11</f>
        <v>1231.056</v>
      </c>
      <c r="D5" s="694">
        <f>Master!G11</f>
        <v>1403.1579999999999</v>
      </c>
      <c r="E5" s="694">
        <f>Master!H11</f>
        <v>1579.7299999999998</v>
      </c>
      <c r="F5" s="694">
        <f>Master!I11</f>
        <v>1961.2990000000002</v>
      </c>
      <c r="G5" s="694">
        <f>Master!J11</f>
        <v>2125.5389999999998</v>
      </c>
      <c r="H5" s="694">
        <f>Master!K11</f>
        <v>1711.2249999999999</v>
      </c>
      <c r="I5" s="694">
        <f>Master!L11</f>
        <v>1725.2777405198199</v>
      </c>
      <c r="J5" s="694">
        <f>Master!M11</f>
        <v>1796.0098554388017</v>
      </c>
      <c r="K5" s="694">
        <f>Master!N11</f>
        <v>1918.6694654405651</v>
      </c>
      <c r="L5" s="694">
        <f>Master!O11</f>
        <v>2034.8467963783773</v>
      </c>
      <c r="M5" s="694">
        <f>Master!P11</f>
        <v>2158.0195143290489</v>
      </c>
      <c r="N5" s="694">
        <f>Master!Q11</f>
        <v>2285.1001213071872</v>
      </c>
      <c r="O5" s="694">
        <f>Master!R11</f>
        <v>2410.8774679623925</v>
      </c>
      <c r="P5" s="694">
        <f>Master!S11</f>
        <v>2539.387107574019</v>
      </c>
      <c r="Q5" s="694">
        <f>Master!T11</f>
        <v>2675.175568216885</v>
      </c>
      <c r="R5" s="694">
        <f>Master!U11</f>
        <v>2818.5548525623167</v>
      </c>
      <c r="S5" s="694">
        <f>Master!V11</f>
        <v>2970.0988228827096</v>
      </c>
      <c r="T5" s="289"/>
      <c r="U5" s="289"/>
      <c r="V5" s="289"/>
      <c r="W5" s="289"/>
      <c r="X5" s="289"/>
      <c r="Y5" s="289"/>
      <c r="Z5" s="289"/>
      <c r="AA5" s="289"/>
      <c r="AB5" s="289"/>
      <c r="AC5" s="289"/>
      <c r="AD5" s="289"/>
      <c r="AE5" s="289"/>
      <c r="AF5" s="289"/>
    </row>
    <row r="6" spans="1:16371" ht="15.75">
      <c r="A6" s="289"/>
      <c r="B6" s="289" t="s">
        <v>310</v>
      </c>
      <c r="C6" s="694">
        <f>C7-C5</f>
        <v>-562.44200000000012</v>
      </c>
      <c r="D6" s="694">
        <f t="shared" ref="D6:N6" si="1">D7-D5</f>
        <v>-584.14399999999989</v>
      </c>
      <c r="E6" s="694">
        <f t="shared" si="1"/>
        <v>-653.33399999999983</v>
      </c>
      <c r="F6" s="694">
        <f t="shared" si="1"/>
        <v>-929.91300000000024</v>
      </c>
      <c r="G6" s="694">
        <f t="shared" si="1"/>
        <v>-993.00399999999968</v>
      </c>
      <c r="H6" s="694">
        <f t="shared" si="1"/>
        <v>-782.87099999999998</v>
      </c>
      <c r="I6" s="694">
        <f t="shared" si="1"/>
        <v>-726.61924352673873</v>
      </c>
      <c r="J6" s="694">
        <f t="shared" si="1"/>
        <v>-744.71350852101182</v>
      </c>
      <c r="K6" s="694">
        <f t="shared" si="1"/>
        <v>-781.78222725764317</v>
      </c>
      <c r="L6" s="694">
        <f t="shared" si="1"/>
        <v>-819.13420463328453</v>
      </c>
      <c r="M6" s="694">
        <f t="shared" si="1"/>
        <v>-858.10238296747002</v>
      </c>
      <c r="N6" s="694">
        <f t="shared" si="1"/>
        <v>-897.66141299768606</v>
      </c>
      <c r="O6" s="694">
        <f t="shared" ref="O6:S6" si="2">O7-O5</f>
        <v>-936.09841745945596</v>
      </c>
      <c r="P6" s="694">
        <f t="shared" si="2"/>
        <v>-974.67918695385515</v>
      </c>
      <c r="Q6" s="694">
        <f t="shared" si="2"/>
        <v>-1014.7764895794153</v>
      </c>
      <c r="R6" s="694">
        <f t="shared" si="2"/>
        <v>-1056.3965908003509</v>
      </c>
      <c r="S6" s="694">
        <f t="shared" si="2"/>
        <v>-1099.6224557821552</v>
      </c>
      <c r="T6" s="289"/>
      <c r="U6" s="289"/>
      <c r="V6" s="289"/>
      <c r="W6" s="289"/>
      <c r="X6" s="289"/>
      <c r="Y6" s="289"/>
      <c r="Z6" s="289"/>
      <c r="AA6" s="289"/>
      <c r="AB6" s="289"/>
      <c r="AC6" s="289"/>
      <c r="AD6" s="289"/>
      <c r="AE6" s="289"/>
      <c r="AF6" s="289"/>
    </row>
    <row r="7" spans="1:16371" ht="15.75">
      <c r="A7" s="289"/>
      <c r="B7" s="289" t="s">
        <v>9</v>
      </c>
      <c r="C7" s="980">
        <f>Master!F19</f>
        <v>668.61399999999992</v>
      </c>
      <c r="D7" s="980">
        <f>Master!G19</f>
        <v>819.01400000000001</v>
      </c>
      <c r="E7" s="980">
        <f>Master!H19</f>
        <v>926.39599999999996</v>
      </c>
      <c r="F7" s="980">
        <f>Master!I19</f>
        <v>1031.386</v>
      </c>
      <c r="G7" s="980">
        <f>Master!J19</f>
        <v>1132.5350000000001</v>
      </c>
      <c r="H7" s="980">
        <f>Master!K19</f>
        <v>928.35399999999993</v>
      </c>
      <c r="I7" s="980">
        <f>Master!L19</f>
        <v>998.65849699308114</v>
      </c>
      <c r="J7" s="980">
        <f>Master!M19</f>
        <v>1051.2963469177898</v>
      </c>
      <c r="K7" s="980">
        <f>Master!N19</f>
        <v>1136.8872381829219</v>
      </c>
      <c r="L7" s="980">
        <f>Master!O19</f>
        <v>1215.7125917450928</v>
      </c>
      <c r="M7" s="980">
        <f>Master!P19</f>
        <v>1299.9171313615789</v>
      </c>
      <c r="N7" s="980">
        <f>Master!Q19</f>
        <v>1387.4387083095012</v>
      </c>
      <c r="O7" s="980">
        <f>Master!R19</f>
        <v>1474.7790505029366</v>
      </c>
      <c r="P7" s="980">
        <f>Master!S19</f>
        <v>1564.7079206201638</v>
      </c>
      <c r="Q7" s="980">
        <f>Master!T19</f>
        <v>1660.3990786374698</v>
      </c>
      <c r="R7" s="980">
        <f>Master!U19</f>
        <v>1762.1582617619658</v>
      </c>
      <c r="S7" s="980">
        <f>Master!V19</f>
        <v>1870.4763671005544</v>
      </c>
      <c r="T7" s="289"/>
      <c r="U7" s="289"/>
      <c r="V7" s="289"/>
      <c r="W7" s="289"/>
      <c r="X7" s="289"/>
      <c r="Y7" s="289"/>
      <c r="Z7" s="289"/>
      <c r="AA7" s="289"/>
      <c r="AB7" s="289"/>
      <c r="AC7" s="289"/>
      <c r="AD7" s="289"/>
      <c r="AE7" s="289"/>
      <c r="AF7" s="289"/>
    </row>
    <row r="8" spans="1:16371" ht="15.75">
      <c r="A8" s="289"/>
      <c r="B8" s="289" t="s">
        <v>311</v>
      </c>
      <c r="C8" s="694">
        <f>-(Master!F44+Master!F45)</f>
        <v>-384.50700000000001</v>
      </c>
      <c r="D8" s="694">
        <f>-(Master!G44+Master!G45)</f>
        <v>-408.66200000000003</v>
      </c>
      <c r="E8" s="694">
        <f>-(Master!H44+Master!H45)</f>
        <v>-383.28899999999999</v>
      </c>
      <c r="F8" s="694">
        <f>-(Master!I44+Master!I45)</f>
        <v>-469.82099999999997</v>
      </c>
      <c r="G8" s="694">
        <f>-(Master!J44+Master!J45)</f>
        <v>-436.84799999999996</v>
      </c>
      <c r="H8" s="694">
        <f>-(Master!K44+Master!K45)</f>
        <v>-363.92499999999995</v>
      </c>
      <c r="I8" s="694">
        <f>-(Master!L44+Master!L45)</f>
        <v>-365.02333345143035</v>
      </c>
      <c r="J8" s="694">
        <f>-(Master!M44+Master!M45)</f>
        <v>-364.71911994397055</v>
      </c>
      <c r="K8" s="694">
        <f>-(Master!N44+Master!N45)</f>
        <v>-374.95403986784584</v>
      </c>
      <c r="L8" s="694">
        <f>-(Master!O44+Master!O45)</f>
        <v>-391.22397651694735</v>
      </c>
      <c r="M8" s="694">
        <f>-(Master!P44+Master!P45)</f>
        <v>-405.60990929786806</v>
      </c>
      <c r="N8" s="694">
        <f>-(Master!Q44+Master!Q45)</f>
        <v>-418.52231247208687</v>
      </c>
      <c r="O8" s="694">
        <f>-(Master!R44+Master!R45)</f>
        <v>-430.74810670346528</v>
      </c>
      <c r="P8" s="694">
        <f>-(Master!S44+Master!S45)</f>
        <v>-441.50960883470248</v>
      </c>
      <c r="Q8" s="694">
        <f>-(Master!T44+Master!T45)</f>
        <v>-451.60535660635429</v>
      </c>
      <c r="R8" s="694">
        <f>-(Master!U44+Master!U45)</f>
        <v>-460.32471735617975</v>
      </c>
      <c r="S8" s="694">
        <f>-(Master!V44+Master!V45)</f>
        <v>-468.50602133224157</v>
      </c>
      <c r="T8" s="289"/>
      <c r="U8" s="289"/>
      <c r="V8" s="289"/>
      <c r="W8" s="289"/>
      <c r="X8" s="289"/>
      <c r="Y8" s="289"/>
      <c r="Z8" s="289"/>
      <c r="AA8" s="289"/>
      <c r="AB8" s="289"/>
      <c r="AC8" s="289"/>
      <c r="AD8" s="289"/>
      <c r="AE8" s="289"/>
      <c r="AF8" s="289"/>
    </row>
    <row r="9" spans="1:16371" ht="15.75">
      <c r="A9" s="289"/>
      <c r="B9" s="289" t="s">
        <v>312</v>
      </c>
      <c r="C9" s="694">
        <f>Master!F49-Master!F50+Master!F51</f>
        <v>-252.32999999999998</v>
      </c>
      <c r="D9" s="694">
        <f>Master!G49-Master!G50+Master!G51</f>
        <v>-484.79799999999994</v>
      </c>
      <c r="E9" s="694">
        <f>Master!H49-Master!H50+Master!H51</f>
        <v>-396.512</v>
      </c>
      <c r="F9" s="694">
        <f>Master!I49-Master!I50+Master!I51</f>
        <v>-856.22400000000016</v>
      </c>
      <c r="G9" s="694">
        <f>Master!J49-Master!J50+Master!J51</f>
        <v>-2411.3019999999997</v>
      </c>
      <c r="H9" s="694">
        <f>Master!K49-Master!K50+Master!K51</f>
        <v>-2089.3910000000001</v>
      </c>
      <c r="I9" s="694">
        <f>Master!L49-Master!L50+Master!L51</f>
        <v>-386.51656725155664</v>
      </c>
      <c r="J9" s="694">
        <f>Master!M49-Master!M50+Master!M51</f>
        <v>-381.28046923133184</v>
      </c>
      <c r="K9" s="694">
        <f>Master!N49-Master!N50+Master!N51</f>
        <v>-381.74327613737455</v>
      </c>
      <c r="L9" s="694">
        <f>Master!O49-Master!O50+Master!O51</f>
        <v>-381.86701110161994</v>
      </c>
      <c r="M9" s="694">
        <f>Master!P49-Master!P50+Master!P51</f>
        <v>-382.06778073325887</v>
      </c>
      <c r="N9" s="694">
        <f>Master!Q49-Master!Q50+Master!Q51</f>
        <v>-382.24070564658905</v>
      </c>
      <c r="O9" s="694">
        <f>Master!R49-Master!R50+Master!R51</f>
        <v>-382.44515346579732</v>
      </c>
      <c r="P9" s="694">
        <f>Master!S49-Master!S50+Master!S51</f>
        <v>-383.0112717254525</v>
      </c>
      <c r="Q9" s="694">
        <f>Master!T49-Master!T50+Master!T51</f>
        <v>-384.09148599816046</v>
      </c>
      <c r="R9" s="694">
        <f>Master!U49-Master!U50+Master!U51</f>
        <v>-385.59477106074706</v>
      </c>
      <c r="S9" s="694">
        <f>Master!V49-Master!V50+Master!V51</f>
        <v>-387.69777264614646</v>
      </c>
      <c r="T9" s="289"/>
      <c r="U9" s="289"/>
      <c r="V9" s="289"/>
      <c r="W9" s="289"/>
      <c r="X9" s="289"/>
      <c r="Y9" s="289"/>
      <c r="Z9" s="289"/>
      <c r="AA9" s="289"/>
      <c r="AB9" s="289"/>
      <c r="AC9" s="289"/>
      <c r="AD9" s="289"/>
      <c r="AE9" s="289"/>
      <c r="AF9" s="289"/>
    </row>
    <row r="10" spans="1:16371" s="43" customFormat="1" ht="15.75">
      <c r="A10" s="290"/>
      <c r="B10" s="289" t="s">
        <v>23</v>
      </c>
      <c r="C10" s="980">
        <f>C7+C8+C9</f>
        <v>31.77699999999993</v>
      </c>
      <c r="D10" s="980">
        <f t="shared" ref="D10:N10" si="3">D7+D8+D9</f>
        <v>-74.44599999999997</v>
      </c>
      <c r="E10" s="980">
        <f t="shared" si="3"/>
        <v>146.59499999999997</v>
      </c>
      <c r="F10" s="980">
        <f t="shared" si="3"/>
        <v>-294.65900000000011</v>
      </c>
      <c r="G10" s="980">
        <f t="shared" si="3"/>
        <v>-1715.6149999999996</v>
      </c>
      <c r="H10" s="980">
        <f t="shared" si="3"/>
        <v>-1524.962</v>
      </c>
      <c r="I10" s="980">
        <f t="shared" si="3"/>
        <v>247.11859629009422</v>
      </c>
      <c r="J10" s="980">
        <f t="shared" si="3"/>
        <v>305.29675774248744</v>
      </c>
      <c r="K10" s="980">
        <f t="shared" si="3"/>
        <v>380.18992217770153</v>
      </c>
      <c r="L10" s="980">
        <f t="shared" si="3"/>
        <v>442.62160412652554</v>
      </c>
      <c r="M10" s="980">
        <f t="shared" si="3"/>
        <v>512.23944133045188</v>
      </c>
      <c r="N10" s="980">
        <f t="shared" si="3"/>
        <v>586.67569019082521</v>
      </c>
      <c r="O10" s="980">
        <f t="shared" ref="O10:S10" si="4">O7+O8+O9</f>
        <v>661.58579033367391</v>
      </c>
      <c r="P10" s="980">
        <f t="shared" si="4"/>
        <v>740.18704006000883</v>
      </c>
      <c r="Q10" s="980">
        <f t="shared" si="4"/>
        <v>824.70223603295506</v>
      </c>
      <c r="R10" s="980">
        <f t="shared" si="4"/>
        <v>916.23877334503914</v>
      </c>
      <c r="S10" s="980">
        <f t="shared" si="4"/>
        <v>1014.2725731221665</v>
      </c>
      <c r="T10" s="290"/>
      <c r="U10" s="290"/>
      <c r="V10" s="290"/>
      <c r="W10" s="290"/>
      <c r="X10" s="290"/>
      <c r="Y10" s="290"/>
      <c r="Z10" s="290"/>
      <c r="AA10" s="290"/>
      <c r="AB10" s="290"/>
      <c r="AC10" s="290"/>
      <c r="AD10" s="290"/>
      <c r="AE10" s="290"/>
      <c r="AF10" s="290"/>
    </row>
    <row r="11" spans="1:16371" ht="15.75">
      <c r="A11" s="289"/>
      <c r="B11" s="289" t="s">
        <v>313</v>
      </c>
      <c r="C11" s="694">
        <f>-Master!F54</f>
        <v>-13.518000000000001</v>
      </c>
      <c r="D11" s="694">
        <f>-Master!G54</f>
        <v>-169.82900000000001</v>
      </c>
      <c r="E11" s="694">
        <f>-Master!H54</f>
        <v>-17.98</v>
      </c>
      <c r="F11" s="694">
        <f>-Master!I54</f>
        <v>75.013000000000005</v>
      </c>
      <c r="G11" s="694">
        <f>-Master!J54</f>
        <v>-107.52800000000001</v>
      </c>
      <c r="H11" s="694">
        <f>-Master!K54</f>
        <v>-33.957000000000001</v>
      </c>
      <c r="I11" s="694">
        <f>-Master!L54</f>
        <v>-44.980206961226379</v>
      </c>
      <c r="J11" s="694">
        <f>-Master!M54</f>
        <v>-65.646527322746209</v>
      </c>
      <c r="K11" s="694">
        <f>-Master!N54</f>
        <v>-88.114476653310433</v>
      </c>
      <c r="L11" s="694">
        <f>-Master!O54</f>
        <v>-106.84398123795764</v>
      </c>
      <c r="M11" s="694">
        <f>-Master!P54</f>
        <v>-127.7293323991356</v>
      </c>
      <c r="N11" s="694">
        <f>-Master!Q54</f>
        <v>-150.06020705724754</v>
      </c>
      <c r="O11" s="694">
        <f>-Master!R54</f>
        <v>-172.53323710010218</v>
      </c>
      <c r="P11" s="694">
        <f>-Master!S54</f>
        <v>-196.1136120180027</v>
      </c>
      <c r="Q11" s="694">
        <f>-Master!T54</f>
        <v>-221.46817080988657</v>
      </c>
      <c r="R11" s="694">
        <f>-Master!U54</f>
        <v>-248.92913200351177</v>
      </c>
      <c r="S11" s="694">
        <f>-Master!V54</f>
        <v>-278.33927193664994</v>
      </c>
      <c r="T11" s="289"/>
      <c r="U11" s="289"/>
      <c r="V11" s="289"/>
      <c r="W11" s="289"/>
      <c r="X11" s="289"/>
      <c r="Y11" s="289"/>
      <c r="Z11" s="289"/>
      <c r="AA11" s="289"/>
      <c r="AB11" s="289"/>
      <c r="AC11" s="289"/>
      <c r="AD11" s="289"/>
      <c r="AE11" s="289"/>
      <c r="AF11" s="289"/>
    </row>
    <row r="12" spans="1:16371" ht="15.75">
      <c r="A12" s="289"/>
      <c r="B12" s="289" t="s">
        <v>314</v>
      </c>
      <c r="C12" s="980">
        <f>C10+C11</f>
        <v>18.258999999999929</v>
      </c>
      <c r="D12" s="980">
        <f t="shared" ref="D12:N12" si="5">D10+D11</f>
        <v>-244.27499999999998</v>
      </c>
      <c r="E12" s="980">
        <f t="shared" si="5"/>
        <v>128.61499999999998</v>
      </c>
      <c r="F12" s="980">
        <f t="shared" si="5"/>
        <v>-219.6460000000001</v>
      </c>
      <c r="G12" s="980">
        <f t="shared" si="5"/>
        <v>-1823.1429999999996</v>
      </c>
      <c r="H12" s="980">
        <f t="shared" si="5"/>
        <v>-1558.9190000000001</v>
      </c>
      <c r="I12" s="980">
        <f t="shared" si="5"/>
        <v>202.13838932886785</v>
      </c>
      <c r="J12" s="980">
        <f t="shared" si="5"/>
        <v>239.65023041974123</v>
      </c>
      <c r="K12" s="980">
        <f t="shared" si="5"/>
        <v>292.07544552439111</v>
      </c>
      <c r="L12" s="980">
        <f t="shared" si="5"/>
        <v>335.77762288856792</v>
      </c>
      <c r="M12" s="980">
        <f t="shared" si="5"/>
        <v>384.51010893131627</v>
      </c>
      <c r="N12" s="980">
        <f t="shared" si="5"/>
        <v>436.61548313357764</v>
      </c>
      <c r="O12" s="980">
        <f t="shared" ref="O12:S12" si="6">O10+O11</f>
        <v>489.05255323357176</v>
      </c>
      <c r="P12" s="980">
        <f t="shared" si="6"/>
        <v>544.07342804200607</v>
      </c>
      <c r="Q12" s="980">
        <f t="shared" si="6"/>
        <v>603.23406522306846</v>
      </c>
      <c r="R12" s="980">
        <f t="shared" si="6"/>
        <v>667.30964134152737</v>
      </c>
      <c r="S12" s="980">
        <f t="shared" si="6"/>
        <v>735.93330118551648</v>
      </c>
      <c r="T12" s="289"/>
      <c r="U12" s="289"/>
      <c r="V12" s="289"/>
      <c r="W12" s="289"/>
      <c r="X12" s="289"/>
      <c r="Y12" s="289"/>
      <c r="Z12" s="289"/>
      <c r="AA12" s="289"/>
      <c r="AB12" s="289"/>
      <c r="AC12" s="289"/>
      <c r="AD12" s="289"/>
      <c r="AE12" s="289"/>
      <c r="AF12" s="289"/>
    </row>
    <row r="13" spans="1:16371" ht="15.75">
      <c r="A13" s="289"/>
      <c r="B13" s="290"/>
      <c r="C13" s="696"/>
      <c r="D13" s="696"/>
      <c r="E13" s="696"/>
      <c r="F13" s="696"/>
      <c r="G13" s="696"/>
      <c r="H13" s="696"/>
      <c r="I13" s="696"/>
      <c r="J13" s="696"/>
      <c r="K13" s="696"/>
      <c r="L13" s="696"/>
      <c r="M13" s="696"/>
      <c r="N13" s="696"/>
      <c r="O13" s="696"/>
      <c r="P13" s="696"/>
      <c r="Q13" s="696"/>
      <c r="R13" s="696"/>
      <c r="S13" s="696"/>
      <c r="T13" s="289"/>
      <c r="U13" s="289"/>
      <c r="V13" s="289"/>
      <c r="W13" s="289"/>
      <c r="X13" s="289"/>
      <c r="Y13" s="289"/>
      <c r="Z13" s="289"/>
      <c r="AA13" s="289"/>
      <c r="AB13" s="289"/>
      <c r="AC13" s="289"/>
      <c r="AD13" s="289"/>
      <c r="AE13" s="289"/>
      <c r="AF13" s="289"/>
    </row>
    <row r="14" spans="1:16371" ht="15.75">
      <c r="A14" s="289"/>
      <c r="B14" s="290"/>
      <c r="C14" s="696"/>
      <c r="D14" s="696"/>
      <c r="E14" s="696"/>
      <c r="F14" s="696"/>
      <c r="G14" s="696"/>
      <c r="H14" s="696"/>
      <c r="I14" s="696"/>
      <c r="J14" s="696"/>
      <c r="K14" s="696"/>
      <c r="L14" s="696"/>
      <c r="M14" s="696"/>
      <c r="N14" s="696"/>
      <c r="O14" s="696"/>
      <c r="P14" s="696"/>
      <c r="Q14" s="696"/>
      <c r="R14" s="696"/>
      <c r="S14" s="696"/>
      <c r="T14" s="289"/>
      <c r="U14" s="289"/>
      <c r="V14" s="289"/>
      <c r="W14" s="289"/>
      <c r="X14" s="289"/>
      <c r="Y14" s="289"/>
      <c r="Z14" s="289"/>
      <c r="AA14" s="289"/>
      <c r="AB14" s="289"/>
      <c r="AC14" s="289"/>
      <c r="AD14" s="289"/>
      <c r="AE14" s="289"/>
      <c r="AF14" s="289"/>
    </row>
    <row r="15" spans="1:16371" ht="15.75">
      <c r="A15" s="289"/>
      <c r="B15" s="289" t="s">
        <v>9</v>
      </c>
      <c r="C15" s="694">
        <f>C7</f>
        <v>668.61399999999992</v>
      </c>
      <c r="D15" s="694">
        <f t="shared" ref="D15:N15" si="7">D7</f>
        <v>819.01400000000001</v>
      </c>
      <c r="E15" s="694">
        <f t="shared" si="7"/>
        <v>926.39599999999996</v>
      </c>
      <c r="F15" s="694">
        <f t="shared" si="7"/>
        <v>1031.386</v>
      </c>
      <c r="G15" s="694">
        <f t="shared" si="7"/>
        <v>1132.5350000000001</v>
      </c>
      <c r="H15" s="694">
        <f t="shared" si="7"/>
        <v>928.35399999999993</v>
      </c>
      <c r="I15" s="694">
        <f t="shared" si="7"/>
        <v>998.65849699308114</v>
      </c>
      <c r="J15" s="694">
        <f t="shared" si="7"/>
        <v>1051.2963469177898</v>
      </c>
      <c r="K15" s="694">
        <f t="shared" si="7"/>
        <v>1136.8872381829219</v>
      </c>
      <c r="L15" s="694">
        <f t="shared" si="7"/>
        <v>1215.7125917450928</v>
      </c>
      <c r="M15" s="694">
        <f t="shared" si="7"/>
        <v>1299.9171313615789</v>
      </c>
      <c r="N15" s="694">
        <f t="shared" si="7"/>
        <v>1387.4387083095012</v>
      </c>
      <c r="O15" s="694">
        <f t="shared" ref="O15:S15" si="8">O7</f>
        <v>1474.7790505029366</v>
      </c>
      <c r="P15" s="694">
        <f t="shared" si="8"/>
        <v>1564.7079206201638</v>
      </c>
      <c r="Q15" s="694">
        <f t="shared" si="8"/>
        <v>1660.3990786374698</v>
      </c>
      <c r="R15" s="694">
        <f t="shared" si="8"/>
        <v>1762.1582617619658</v>
      </c>
      <c r="S15" s="694">
        <f t="shared" si="8"/>
        <v>1870.4763671005544</v>
      </c>
      <c r="T15" s="289"/>
      <c r="U15" s="289"/>
      <c r="V15" s="289"/>
      <c r="W15" s="289"/>
      <c r="X15" s="289"/>
      <c r="Y15" s="289"/>
      <c r="Z15" s="289"/>
      <c r="AA15" s="289"/>
      <c r="AB15" s="289"/>
      <c r="AC15" s="289"/>
      <c r="AD15" s="289"/>
      <c r="AE15" s="289"/>
      <c r="AF15" s="289"/>
    </row>
    <row r="16" spans="1:16371" ht="15.75">
      <c r="A16" s="289"/>
      <c r="B16" s="289" t="s">
        <v>1131</v>
      </c>
      <c r="C16" s="694">
        <f>Consolidation!E39+Consolidation!E40</f>
        <v>54.154000000000003</v>
      </c>
      <c r="D16" s="694">
        <f>Consolidation!F39+Consolidation!F40</f>
        <v>81.472999999999999</v>
      </c>
      <c r="E16" s="694">
        <f>Consolidation!G39+Consolidation!G40</f>
        <v>93.510999999999996</v>
      </c>
      <c r="F16" s="694">
        <f>Consolidation!H39+Consolidation!H40</f>
        <v>140.84899999999999</v>
      </c>
      <c r="G16" s="694">
        <f>Consolidation!I39+Consolidation!I40</f>
        <v>157.512</v>
      </c>
      <c r="H16" s="694">
        <f>Consolidation!J39+Consolidation!J40</f>
        <v>163.41399999999999</v>
      </c>
      <c r="I16" s="694">
        <f>Consolidation!K39+Consolidation!K40</f>
        <v>162.063322</v>
      </c>
      <c r="J16" s="694">
        <f>Consolidation!L39+Consolidation!L40</f>
        <v>171.148933</v>
      </c>
      <c r="K16" s="694">
        <f>Consolidation!M39+Consolidation!M40</f>
        <v>179.70637965000003</v>
      </c>
      <c r="L16" s="694">
        <f>Consolidation!N39+Consolidation!N40</f>
        <v>188.69169863250002</v>
      </c>
      <c r="M16" s="694">
        <f>Consolidation!O39+Consolidation!O40</f>
        <v>198.12628356412503</v>
      </c>
      <c r="N16" s="694">
        <f>Consolidation!P39+Consolidation!P40</f>
        <v>208.03259774233129</v>
      </c>
      <c r="O16" s="694">
        <f>Consolidation!Q39+Consolidation!Q40</f>
        <v>218.43422762944789</v>
      </c>
      <c r="P16" s="694">
        <f>Consolidation!R39+Consolidation!R40</f>
        <v>229.35593901092028</v>
      </c>
      <c r="Q16" s="694">
        <f>Consolidation!S39+Consolidation!S40</f>
        <v>240.8237359614663</v>
      </c>
      <c r="R16" s="694">
        <f>Consolidation!T39+Consolidation!T40</f>
        <v>252.86492275953964</v>
      </c>
      <c r="S16" s="694">
        <f>Consolidation!U39+Consolidation!U40</f>
        <v>265.50816889751661</v>
      </c>
      <c r="T16" s="289"/>
      <c r="U16" s="289"/>
      <c r="V16" s="289"/>
      <c r="W16" s="289"/>
      <c r="X16" s="289"/>
      <c r="Y16" s="289"/>
      <c r="Z16" s="289"/>
      <c r="AA16" s="289"/>
      <c r="AB16" s="289"/>
      <c r="AC16" s="289"/>
      <c r="AD16" s="289"/>
      <c r="AE16" s="289"/>
      <c r="AF16" s="289"/>
    </row>
    <row r="17" spans="1:16371" ht="15.75">
      <c r="A17" s="289"/>
      <c r="B17" s="289" t="s">
        <v>315</v>
      </c>
      <c r="C17" s="980">
        <f>C15-C16</f>
        <v>614.45999999999992</v>
      </c>
      <c r="D17" s="980">
        <f t="shared" ref="D17:N17" si="9">D15-D16</f>
        <v>737.54100000000005</v>
      </c>
      <c r="E17" s="980">
        <f t="shared" si="9"/>
        <v>832.88499999999999</v>
      </c>
      <c r="F17" s="980">
        <f t="shared" si="9"/>
        <v>890.53700000000003</v>
      </c>
      <c r="G17" s="980">
        <f t="shared" si="9"/>
        <v>975.02300000000014</v>
      </c>
      <c r="H17" s="980">
        <f t="shared" si="9"/>
        <v>764.93999999999994</v>
      </c>
      <c r="I17" s="980">
        <f t="shared" si="9"/>
        <v>836.59517499308117</v>
      </c>
      <c r="J17" s="980">
        <f t="shared" si="9"/>
        <v>880.14741391778989</v>
      </c>
      <c r="K17" s="980">
        <f t="shared" si="9"/>
        <v>957.18085853292189</v>
      </c>
      <c r="L17" s="980">
        <f t="shared" si="9"/>
        <v>1027.0208931125928</v>
      </c>
      <c r="M17" s="980">
        <f t="shared" si="9"/>
        <v>1101.7908477974538</v>
      </c>
      <c r="N17" s="980">
        <f t="shared" si="9"/>
        <v>1179.4061105671699</v>
      </c>
      <c r="O17" s="980">
        <f t="shared" ref="O17:S17" si="10">O15-O16</f>
        <v>1256.3448228734887</v>
      </c>
      <c r="P17" s="980">
        <f t="shared" si="10"/>
        <v>1335.3519816092435</v>
      </c>
      <c r="Q17" s="980">
        <f t="shared" si="10"/>
        <v>1419.5753426760034</v>
      </c>
      <c r="R17" s="980">
        <f t="shared" si="10"/>
        <v>1509.2933390024261</v>
      </c>
      <c r="S17" s="980">
        <f t="shared" si="10"/>
        <v>1604.9681982030379</v>
      </c>
      <c r="T17" s="289"/>
      <c r="U17" s="289"/>
      <c r="V17" s="289"/>
      <c r="W17" s="289"/>
      <c r="X17" s="289"/>
      <c r="Y17" s="289"/>
      <c r="Z17" s="289"/>
      <c r="AA17" s="289"/>
      <c r="AB17" s="289"/>
      <c r="AC17" s="289"/>
      <c r="AD17" s="289"/>
      <c r="AE17" s="289"/>
      <c r="AF17" s="289"/>
    </row>
    <row r="18" spans="1:16371" ht="15.75">
      <c r="A18" s="289"/>
      <c r="B18" s="289" t="s">
        <v>316</v>
      </c>
      <c r="C18" s="694">
        <f>-(Master!F28)</f>
        <v>-259</v>
      </c>
      <c r="D18" s="694">
        <f>-(Master!G28)</f>
        <v>-229</v>
      </c>
      <c r="E18" s="694">
        <f>-(Master!H28)</f>
        <v>-402</v>
      </c>
      <c r="F18" s="694">
        <f>-(Master!I28)</f>
        <v>-634</v>
      </c>
      <c r="G18" s="694">
        <f>-(Master!J28)</f>
        <v>-586</v>
      </c>
      <c r="H18" s="694">
        <f>-(Master!K28)</f>
        <v>-257</v>
      </c>
      <c r="I18" s="694">
        <f>-(Master!L28)</f>
        <v>-258.79166107797295</v>
      </c>
      <c r="J18" s="694">
        <f>-(Master!M28)</f>
        <v>-269.40147831582021</v>
      </c>
      <c r="K18" s="694">
        <f>-(Master!N28)</f>
        <v>-278.20707248888192</v>
      </c>
      <c r="L18" s="694">
        <f>-(Master!O28)</f>
        <v>-295.05278547486472</v>
      </c>
      <c r="M18" s="694">
        <f>-(Master!P28)</f>
        <v>-302.12273200606688</v>
      </c>
      <c r="N18" s="694">
        <f>-(Master!Q28)</f>
        <v>-319.91401698300626</v>
      </c>
      <c r="O18" s="694">
        <f>-(Master!R28)</f>
        <v>-325.468458174923</v>
      </c>
      <c r="P18" s="694">
        <f>-(Master!S28)</f>
        <v>-342.81725952249258</v>
      </c>
      <c r="Q18" s="694">
        <f>-(Master!T28)</f>
        <v>-347.77282386819508</v>
      </c>
      <c r="R18" s="694">
        <f>-(Master!U28)</f>
        <v>-366.41213083310117</v>
      </c>
      <c r="S18" s="694">
        <f>-(Master!V28)</f>
        <v>-386.11284697475224</v>
      </c>
      <c r="T18" s="289"/>
      <c r="U18" s="289"/>
      <c r="V18" s="289"/>
      <c r="W18" s="289"/>
      <c r="X18" s="289"/>
      <c r="Y18" s="289"/>
      <c r="Z18" s="289"/>
      <c r="AA18" s="289"/>
      <c r="AB18" s="289"/>
      <c r="AC18" s="289"/>
      <c r="AD18" s="289"/>
      <c r="AE18" s="289"/>
      <c r="AF18" s="289"/>
    </row>
    <row r="19" spans="1:16371" ht="15.75">
      <c r="A19" s="289"/>
      <c r="B19" s="289" t="s">
        <v>317</v>
      </c>
      <c r="C19" s="980">
        <f>C17+C18</f>
        <v>355.45999999999992</v>
      </c>
      <c r="D19" s="980">
        <f t="shared" ref="D19:N19" si="11">D17+D18</f>
        <v>508.54100000000005</v>
      </c>
      <c r="E19" s="980">
        <f t="shared" si="11"/>
        <v>430.88499999999999</v>
      </c>
      <c r="F19" s="980">
        <f t="shared" si="11"/>
        <v>256.53700000000003</v>
      </c>
      <c r="G19" s="980">
        <f t="shared" si="11"/>
        <v>389.02300000000014</v>
      </c>
      <c r="H19" s="980">
        <f t="shared" si="11"/>
        <v>507.93999999999994</v>
      </c>
      <c r="I19" s="980">
        <f t="shared" si="11"/>
        <v>577.80351391510817</v>
      </c>
      <c r="J19" s="980">
        <f t="shared" si="11"/>
        <v>610.74593560196968</v>
      </c>
      <c r="K19" s="980">
        <f t="shared" si="11"/>
        <v>678.97378604404003</v>
      </c>
      <c r="L19" s="980">
        <f t="shared" si="11"/>
        <v>731.96810763772805</v>
      </c>
      <c r="M19" s="980">
        <f t="shared" si="11"/>
        <v>799.66811579138698</v>
      </c>
      <c r="N19" s="980">
        <f t="shared" si="11"/>
        <v>859.49209358416363</v>
      </c>
      <c r="O19" s="980">
        <f t="shared" ref="O19:S19" si="12">O17+O18</f>
        <v>930.87636469856579</v>
      </c>
      <c r="P19" s="980">
        <f t="shared" si="12"/>
        <v>992.53472208675089</v>
      </c>
      <c r="Q19" s="980">
        <f t="shared" si="12"/>
        <v>1071.8025188078084</v>
      </c>
      <c r="R19" s="980">
        <f t="shared" si="12"/>
        <v>1142.881208169325</v>
      </c>
      <c r="S19" s="980">
        <f t="shared" si="12"/>
        <v>1218.8553512282856</v>
      </c>
      <c r="T19" s="289"/>
      <c r="U19" s="289"/>
      <c r="V19" s="289"/>
      <c r="W19" s="289"/>
      <c r="X19" s="289"/>
      <c r="Y19" s="289"/>
      <c r="Z19" s="289"/>
      <c r="AA19" s="289"/>
      <c r="AB19" s="289"/>
      <c r="AC19" s="289"/>
      <c r="AD19" s="289"/>
      <c r="AE19" s="289"/>
      <c r="AF19" s="289"/>
    </row>
    <row r="20" spans="1:16371" ht="15.75">
      <c r="A20" s="289"/>
      <c r="B20" s="289" t="s">
        <v>318</v>
      </c>
      <c r="C20" s="697">
        <f>C19*(1-30%)</f>
        <v>248.82199999999992</v>
      </c>
      <c r="D20" s="697">
        <f t="shared" ref="D20:N20" si="13">D19*(1-30%)</f>
        <v>355.9787</v>
      </c>
      <c r="E20" s="697">
        <f t="shared" si="13"/>
        <v>301.61949999999996</v>
      </c>
      <c r="F20" s="697">
        <f t="shared" si="13"/>
        <v>179.57590000000002</v>
      </c>
      <c r="G20" s="697">
        <f t="shared" si="13"/>
        <v>272.31610000000006</v>
      </c>
      <c r="H20" s="697">
        <f t="shared" si="13"/>
        <v>355.55799999999994</v>
      </c>
      <c r="I20" s="697">
        <f t="shared" si="13"/>
        <v>404.4624597405757</v>
      </c>
      <c r="J20" s="697">
        <f t="shared" si="13"/>
        <v>427.52215492137873</v>
      </c>
      <c r="K20" s="697">
        <f t="shared" si="13"/>
        <v>475.28165023082801</v>
      </c>
      <c r="L20" s="697">
        <f t="shared" si="13"/>
        <v>512.37767534640966</v>
      </c>
      <c r="M20" s="697">
        <f t="shared" si="13"/>
        <v>559.76768105397082</v>
      </c>
      <c r="N20" s="697">
        <f t="shared" si="13"/>
        <v>601.64446550891455</v>
      </c>
      <c r="O20" s="697">
        <f t="shared" ref="O20:S20" si="14">O19*(1-30%)</f>
        <v>651.61345528899597</v>
      </c>
      <c r="P20" s="697">
        <f t="shared" si="14"/>
        <v>694.7743054607256</v>
      </c>
      <c r="Q20" s="697">
        <f t="shared" si="14"/>
        <v>750.26176316546582</v>
      </c>
      <c r="R20" s="697">
        <f t="shared" si="14"/>
        <v>800.01684571852741</v>
      </c>
      <c r="S20" s="697">
        <f t="shared" si="14"/>
        <v>853.19874585979983</v>
      </c>
      <c r="T20" s="289"/>
      <c r="U20" s="289"/>
      <c r="V20" s="289"/>
      <c r="W20" s="289"/>
      <c r="X20" s="289"/>
      <c r="Y20" s="289"/>
      <c r="Z20" s="289"/>
      <c r="AA20" s="289"/>
      <c r="AB20" s="289"/>
      <c r="AC20" s="289"/>
      <c r="AD20" s="289"/>
      <c r="AE20" s="289"/>
      <c r="AF20" s="289"/>
    </row>
    <row r="21" spans="1:16371" ht="15.75">
      <c r="A21" s="289"/>
      <c r="B21" s="289"/>
      <c r="C21" s="698"/>
      <c r="D21" s="698"/>
      <c r="E21" s="698"/>
      <c r="F21" s="698"/>
      <c r="G21" s="698"/>
      <c r="H21" s="698"/>
      <c r="I21" s="698"/>
      <c r="J21" s="698"/>
      <c r="K21" s="698"/>
      <c r="L21" s="698"/>
      <c r="M21" s="698"/>
      <c r="N21" s="698"/>
      <c r="O21" s="698"/>
      <c r="P21" s="698"/>
      <c r="Q21" s="698"/>
      <c r="R21" s="698"/>
      <c r="S21" s="698"/>
      <c r="T21" s="289"/>
      <c r="U21" s="289"/>
      <c r="V21" s="289"/>
      <c r="W21" s="289"/>
      <c r="X21" s="289"/>
      <c r="Y21" s="289"/>
      <c r="Z21" s="289"/>
      <c r="AA21" s="289"/>
      <c r="AB21" s="289"/>
      <c r="AC21" s="289"/>
      <c r="AD21" s="289"/>
      <c r="AE21" s="289"/>
      <c r="AF21" s="289"/>
    </row>
    <row r="22" spans="1:16371" ht="15.75">
      <c r="A22" s="289"/>
      <c r="B22" s="289" t="s">
        <v>22</v>
      </c>
      <c r="C22" s="698">
        <f t="shared" ref="C22:N22" si="15">C7+C8</f>
        <v>284.10699999999991</v>
      </c>
      <c r="D22" s="698">
        <f t="shared" si="15"/>
        <v>410.35199999999998</v>
      </c>
      <c r="E22" s="698">
        <f t="shared" si="15"/>
        <v>543.10699999999997</v>
      </c>
      <c r="F22" s="698">
        <f t="shared" si="15"/>
        <v>561.56500000000005</v>
      </c>
      <c r="G22" s="698">
        <f t="shared" si="15"/>
        <v>695.68700000000013</v>
      </c>
      <c r="H22" s="698">
        <f t="shared" si="15"/>
        <v>564.42899999999997</v>
      </c>
      <c r="I22" s="698">
        <f t="shared" si="15"/>
        <v>633.63516354165085</v>
      </c>
      <c r="J22" s="698">
        <f t="shared" si="15"/>
        <v>686.57722697381928</v>
      </c>
      <c r="K22" s="698">
        <f t="shared" si="15"/>
        <v>761.93319831507608</v>
      </c>
      <c r="L22" s="698">
        <f t="shared" si="15"/>
        <v>824.48861522814548</v>
      </c>
      <c r="M22" s="698">
        <f t="shared" si="15"/>
        <v>894.30722206371081</v>
      </c>
      <c r="N22" s="698">
        <f t="shared" si="15"/>
        <v>968.91639583741426</v>
      </c>
      <c r="O22" s="698">
        <f t="shared" ref="O22:S22" si="16">O7+O8</f>
        <v>1044.0309437994713</v>
      </c>
      <c r="P22" s="698">
        <f t="shared" si="16"/>
        <v>1123.1983117854613</v>
      </c>
      <c r="Q22" s="698">
        <f t="shared" si="16"/>
        <v>1208.7937220311155</v>
      </c>
      <c r="R22" s="698">
        <f t="shared" si="16"/>
        <v>1301.8335444057861</v>
      </c>
      <c r="S22" s="698">
        <f t="shared" si="16"/>
        <v>1401.9703457683129</v>
      </c>
      <c r="T22" s="289"/>
      <c r="U22" s="289"/>
      <c r="V22" s="289"/>
      <c r="W22" s="289"/>
      <c r="X22" s="289"/>
      <c r="Y22" s="289"/>
      <c r="Z22" s="289"/>
      <c r="AA22" s="289"/>
      <c r="AB22" s="289"/>
      <c r="AC22" s="289"/>
      <c r="AD22" s="289"/>
      <c r="AE22" s="289"/>
      <c r="AF22" s="289"/>
    </row>
    <row r="23" spans="1:16371" ht="15.75">
      <c r="A23" s="289"/>
      <c r="B23" s="289" t="s">
        <v>24</v>
      </c>
      <c r="C23" s="699">
        <f>C22*0.3</f>
        <v>85.232099999999974</v>
      </c>
      <c r="D23" s="699">
        <f t="shared" ref="D23:N23" si="17">D22*0.3</f>
        <v>123.10559999999998</v>
      </c>
      <c r="E23" s="699">
        <f t="shared" si="17"/>
        <v>162.93209999999999</v>
      </c>
      <c r="F23" s="699">
        <f t="shared" si="17"/>
        <v>168.46950000000001</v>
      </c>
      <c r="G23" s="699">
        <f t="shared" si="17"/>
        <v>208.70610000000002</v>
      </c>
      <c r="H23" s="699">
        <f t="shared" si="17"/>
        <v>169.3287</v>
      </c>
      <c r="I23" s="699">
        <f t="shared" si="17"/>
        <v>190.09054906249526</v>
      </c>
      <c r="J23" s="699">
        <f t="shared" si="17"/>
        <v>205.97316809214578</v>
      </c>
      <c r="K23" s="699">
        <f t="shared" si="17"/>
        <v>228.57995949452283</v>
      </c>
      <c r="L23" s="699">
        <f t="shared" si="17"/>
        <v>247.34658456844363</v>
      </c>
      <c r="M23" s="699">
        <f t="shared" si="17"/>
        <v>268.29216661911323</v>
      </c>
      <c r="N23" s="699">
        <f t="shared" si="17"/>
        <v>290.67491875122425</v>
      </c>
      <c r="O23" s="699">
        <f t="shared" ref="O23:S23" si="18">O22*0.3</f>
        <v>313.20928313984138</v>
      </c>
      <c r="P23" s="699">
        <f t="shared" si="18"/>
        <v>336.95949353563839</v>
      </c>
      <c r="Q23" s="699">
        <f t="shared" si="18"/>
        <v>362.63811660933465</v>
      </c>
      <c r="R23" s="699">
        <f t="shared" si="18"/>
        <v>390.55006332173582</v>
      </c>
      <c r="S23" s="699">
        <f t="shared" si="18"/>
        <v>420.59110373049384</v>
      </c>
      <c r="T23" s="289"/>
      <c r="U23" s="289"/>
      <c r="V23" s="289"/>
      <c r="W23" s="289"/>
      <c r="X23" s="289"/>
      <c r="Y23" s="289"/>
      <c r="Z23" s="289"/>
      <c r="AA23" s="289"/>
      <c r="AB23" s="289"/>
      <c r="AC23" s="289"/>
      <c r="AD23" s="289"/>
      <c r="AE23" s="289"/>
      <c r="AF23" s="289"/>
    </row>
    <row r="24" spans="1:16371" ht="15.75">
      <c r="A24" s="289"/>
      <c r="B24" s="289"/>
      <c r="C24" s="698"/>
      <c r="D24" s="698"/>
      <c r="E24" s="698"/>
      <c r="F24" s="698"/>
      <c r="G24" s="698"/>
      <c r="H24" s="698"/>
      <c r="I24" s="698"/>
      <c r="J24" s="698"/>
      <c r="K24" s="698"/>
      <c r="L24" s="698"/>
      <c r="M24" s="698"/>
      <c r="N24" s="698"/>
      <c r="O24" s="698"/>
      <c r="P24" s="698"/>
      <c r="Q24" s="698"/>
      <c r="R24" s="698"/>
      <c r="S24" s="698"/>
      <c r="T24" s="289"/>
      <c r="U24" s="289"/>
      <c r="V24" s="289"/>
      <c r="W24" s="289"/>
      <c r="X24" s="289"/>
      <c r="Y24" s="289"/>
      <c r="Z24" s="289"/>
      <c r="AA24" s="289"/>
      <c r="AB24" s="289"/>
      <c r="AC24" s="289"/>
      <c r="AD24" s="289"/>
      <c r="AE24" s="289"/>
      <c r="AF24" s="289"/>
    </row>
    <row r="25" spans="1:16371" ht="15.75">
      <c r="A25" s="289"/>
      <c r="B25" s="289"/>
      <c r="C25" s="698"/>
      <c r="D25" s="698"/>
      <c r="E25" s="698"/>
      <c r="F25" s="698"/>
      <c r="G25" s="698"/>
      <c r="H25" s="698"/>
      <c r="I25" s="698"/>
      <c r="J25" s="698"/>
      <c r="K25" s="698"/>
      <c r="L25" s="698"/>
      <c r="M25" s="698"/>
      <c r="N25" s="698"/>
      <c r="O25" s="698"/>
      <c r="P25" s="698"/>
      <c r="Q25" s="698"/>
      <c r="R25" s="698"/>
      <c r="S25" s="698"/>
      <c r="T25" s="289"/>
      <c r="U25" s="289"/>
      <c r="V25" s="289"/>
      <c r="W25" s="289"/>
      <c r="X25" s="289"/>
      <c r="Y25" s="289"/>
      <c r="Z25" s="289"/>
      <c r="AA25" s="289"/>
      <c r="AB25" s="289"/>
      <c r="AC25" s="289"/>
      <c r="AD25" s="289"/>
      <c r="AE25" s="289"/>
      <c r="AF25" s="289"/>
    </row>
    <row r="26" spans="1:16371" ht="15.75">
      <c r="A26" s="289"/>
      <c r="B26" s="289"/>
      <c r="C26" s="698"/>
      <c r="D26" s="698"/>
      <c r="E26" s="698"/>
      <c r="F26" s="698"/>
      <c r="G26" s="698"/>
      <c r="H26" s="698"/>
      <c r="I26" s="698"/>
      <c r="J26" s="698"/>
      <c r="K26" s="698"/>
      <c r="L26" s="698"/>
      <c r="M26" s="698"/>
      <c r="N26" s="698"/>
      <c r="O26" s="698"/>
      <c r="P26" s="698"/>
      <c r="Q26" s="698"/>
      <c r="R26" s="698"/>
      <c r="S26" s="698"/>
      <c r="T26" s="289"/>
      <c r="U26" s="289"/>
      <c r="V26" s="289"/>
      <c r="W26" s="289"/>
      <c r="X26" s="289"/>
      <c r="Y26" s="289"/>
      <c r="Z26" s="289"/>
      <c r="AA26" s="289"/>
      <c r="AB26" s="289"/>
      <c r="AC26" s="289"/>
      <c r="AD26" s="289"/>
      <c r="AE26" s="289"/>
      <c r="AF26" s="289"/>
    </row>
    <row r="27" spans="1:16371" ht="15.75">
      <c r="A27" s="289"/>
      <c r="B27" s="291" t="s">
        <v>399</v>
      </c>
      <c r="C27" s="292">
        <f>C$2</f>
        <v>2019</v>
      </c>
      <c r="D27" s="292">
        <f t="shared" ref="D27:S27" si="19">D$2</f>
        <v>2020</v>
      </c>
      <c r="E27" s="292">
        <f t="shared" si="19"/>
        <v>2021</v>
      </c>
      <c r="F27" s="292">
        <f t="shared" si="19"/>
        <v>2022</v>
      </c>
      <c r="G27" s="292">
        <f t="shared" si="19"/>
        <v>2023</v>
      </c>
      <c r="H27" s="292">
        <f t="shared" si="19"/>
        <v>2024</v>
      </c>
      <c r="I27" s="292" t="str">
        <f t="shared" si="19"/>
        <v>2025E</v>
      </c>
      <c r="J27" s="292" t="str">
        <f t="shared" si="19"/>
        <v>2026E</v>
      </c>
      <c r="K27" s="292" t="str">
        <f t="shared" si="19"/>
        <v>2027E</v>
      </c>
      <c r="L27" s="292" t="str">
        <f t="shared" si="19"/>
        <v>2028E</v>
      </c>
      <c r="M27" s="292" t="str">
        <f t="shared" si="19"/>
        <v>2029E</v>
      </c>
      <c r="N27" s="292" t="str">
        <f t="shared" si="19"/>
        <v>2030E</v>
      </c>
      <c r="O27" s="292" t="str">
        <f t="shared" si="19"/>
        <v>2031E</v>
      </c>
      <c r="P27" s="292" t="str">
        <f t="shared" si="19"/>
        <v>2032E</v>
      </c>
      <c r="Q27" s="292" t="str">
        <f t="shared" si="19"/>
        <v>2033E</v>
      </c>
      <c r="R27" s="292" t="str">
        <f t="shared" si="19"/>
        <v>2034E</v>
      </c>
      <c r="S27" s="292" t="str">
        <f t="shared" si="19"/>
        <v>2035E</v>
      </c>
      <c r="T27" s="293"/>
      <c r="U27" s="293"/>
      <c r="V27" s="293"/>
      <c r="W27" s="293"/>
      <c r="X27" s="293"/>
      <c r="Y27" s="293"/>
      <c r="Z27" s="293"/>
      <c r="AA27" s="293"/>
      <c r="AB27" s="293"/>
      <c r="AC27" s="293"/>
      <c r="AD27" s="293"/>
      <c r="AE27" s="293"/>
      <c r="AF27" s="293"/>
      <c r="AG27" s="43"/>
      <c r="AH27" s="44"/>
      <c r="AI27" s="44"/>
      <c r="AJ27" s="44"/>
      <c r="AK27" s="44"/>
      <c r="AL27" s="44"/>
      <c r="AM27" s="44"/>
      <c r="AN27" s="44"/>
      <c r="AO27" s="44"/>
      <c r="AP27" s="44"/>
      <c r="AQ27" s="44"/>
      <c r="AR27" s="44"/>
      <c r="AS27" s="44"/>
      <c r="AT27" s="44"/>
      <c r="AU27" s="44"/>
      <c r="AV27" s="43"/>
      <c r="AW27" s="44"/>
      <c r="AX27" s="44"/>
      <c r="AY27" s="44"/>
      <c r="AZ27" s="44"/>
      <c r="BA27" s="44"/>
      <c r="BB27" s="44"/>
      <c r="BC27" s="44"/>
      <c r="BD27" s="44"/>
      <c r="BE27" s="44"/>
      <c r="BF27" s="44"/>
      <c r="BG27" s="44"/>
      <c r="BH27" s="44"/>
      <c r="BI27" s="44"/>
      <c r="BJ27" s="44"/>
      <c r="BK27" s="43"/>
      <c r="BL27" s="44"/>
      <c r="BM27" s="44"/>
      <c r="BN27" s="44"/>
      <c r="BO27" s="44"/>
      <c r="BP27" s="44"/>
      <c r="BQ27" s="44"/>
      <c r="BR27" s="44"/>
      <c r="BS27" s="44"/>
      <c r="BT27" s="44"/>
      <c r="BU27" s="44"/>
      <c r="BV27" s="44"/>
      <c r="BW27" s="44"/>
      <c r="BX27" s="44"/>
      <c r="BY27" s="44"/>
      <c r="BZ27" s="43"/>
      <c r="CA27" s="44"/>
      <c r="CB27" s="44"/>
      <c r="CC27" s="44"/>
      <c r="CD27" s="44"/>
      <c r="CE27" s="44"/>
      <c r="CF27" s="44"/>
      <c r="CG27" s="44"/>
      <c r="CH27" s="44"/>
      <c r="CI27" s="44"/>
      <c r="CJ27" s="44"/>
      <c r="CK27" s="44"/>
      <c r="CL27" s="44"/>
      <c r="CM27" s="44"/>
      <c r="CN27" s="44"/>
      <c r="CO27" s="43"/>
      <c r="CP27" s="44"/>
      <c r="CQ27" s="44"/>
      <c r="CR27" s="44"/>
      <c r="CS27" s="44"/>
      <c r="CT27" s="44"/>
      <c r="CU27" s="44"/>
      <c r="CV27" s="44"/>
      <c r="CW27" s="44"/>
      <c r="CX27" s="44"/>
      <c r="CY27" s="44"/>
      <c r="CZ27" s="44"/>
      <c r="DA27" s="44"/>
      <c r="DB27" s="44"/>
      <c r="DC27" s="44"/>
      <c r="DD27" s="43"/>
      <c r="DE27" s="44"/>
      <c r="DF27" s="44"/>
      <c r="DG27" s="44"/>
      <c r="DH27" s="44"/>
      <c r="DI27" s="44"/>
      <c r="DJ27" s="44"/>
      <c r="DK27" s="44"/>
      <c r="DL27" s="44"/>
      <c r="DM27" s="44"/>
      <c r="DN27" s="44"/>
      <c r="DO27" s="44"/>
      <c r="DP27" s="44"/>
      <c r="DQ27" s="44"/>
      <c r="DR27" s="44"/>
      <c r="DS27" s="43"/>
      <c r="DT27" s="44"/>
      <c r="DU27" s="44"/>
      <c r="DV27" s="44"/>
      <c r="DW27" s="44"/>
      <c r="DX27" s="44"/>
      <c r="DY27" s="44"/>
      <c r="DZ27" s="44"/>
      <c r="EA27" s="44"/>
      <c r="EB27" s="44"/>
      <c r="EC27" s="44"/>
      <c r="ED27" s="44"/>
      <c r="EE27" s="44"/>
      <c r="EF27" s="44"/>
      <c r="EG27" s="44"/>
      <c r="EH27" s="43"/>
      <c r="EI27" s="44"/>
      <c r="EJ27" s="44"/>
      <c r="EK27" s="44"/>
      <c r="EL27" s="44"/>
      <c r="EM27" s="44"/>
      <c r="EN27" s="44"/>
      <c r="EO27" s="44"/>
      <c r="EP27" s="44"/>
      <c r="EQ27" s="44"/>
      <c r="ER27" s="44"/>
      <c r="ES27" s="44"/>
      <c r="ET27" s="44"/>
      <c r="EU27" s="44"/>
      <c r="EV27" s="44"/>
      <c r="EW27" s="43"/>
      <c r="EX27" s="44"/>
      <c r="EY27" s="44"/>
      <c r="EZ27" s="44"/>
      <c r="FA27" s="44"/>
      <c r="FB27" s="44"/>
      <c r="FC27" s="44"/>
      <c r="FD27" s="44"/>
      <c r="FE27" s="44"/>
      <c r="FF27" s="44"/>
      <c r="FG27" s="44"/>
      <c r="FH27" s="44"/>
      <c r="FI27" s="44"/>
      <c r="FJ27" s="44"/>
      <c r="FK27" s="44"/>
      <c r="FL27" s="43"/>
      <c r="FM27" s="44"/>
      <c r="FN27" s="44"/>
      <c r="FO27" s="44"/>
      <c r="FP27" s="44"/>
      <c r="FQ27" s="44"/>
      <c r="FR27" s="44"/>
      <c r="FS27" s="44"/>
      <c r="FT27" s="44"/>
      <c r="FU27" s="44"/>
      <c r="FV27" s="44"/>
      <c r="FW27" s="44"/>
      <c r="FX27" s="44"/>
      <c r="FY27" s="44"/>
      <c r="FZ27" s="44"/>
      <c r="GA27" s="43"/>
      <c r="GB27" s="44"/>
      <c r="GC27" s="44"/>
      <c r="GD27" s="44"/>
      <c r="GE27" s="44"/>
      <c r="GF27" s="44"/>
      <c r="GG27" s="44"/>
      <c r="GH27" s="44"/>
      <c r="GI27" s="44"/>
      <c r="GJ27" s="44"/>
      <c r="GK27" s="44"/>
      <c r="GL27" s="44"/>
      <c r="GM27" s="44"/>
      <c r="GN27" s="44"/>
      <c r="GO27" s="44"/>
      <c r="GP27" s="43"/>
      <c r="GQ27" s="44"/>
      <c r="GR27" s="44"/>
      <c r="GS27" s="44"/>
      <c r="GT27" s="44"/>
      <c r="GU27" s="44"/>
      <c r="GV27" s="44"/>
      <c r="GW27" s="44"/>
      <c r="GX27" s="44"/>
      <c r="GY27" s="44"/>
      <c r="GZ27" s="44"/>
      <c r="HA27" s="44"/>
      <c r="HB27" s="44"/>
      <c r="HC27" s="44"/>
      <c r="HD27" s="44"/>
      <c r="HE27" s="43"/>
      <c r="HF27" s="44"/>
      <c r="HG27" s="44"/>
      <c r="HH27" s="44"/>
      <c r="HI27" s="44"/>
      <c r="HJ27" s="44"/>
      <c r="HK27" s="44"/>
      <c r="HL27" s="44"/>
      <c r="HM27" s="44"/>
      <c r="HN27" s="44"/>
      <c r="HO27" s="44"/>
      <c r="HP27" s="44"/>
      <c r="HQ27" s="44"/>
      <c r="HR27" s="44"/>
      <c r="HS27" s="44"/>
      <c r="HT27" s="43"/>
      <c r="HU27" s="44"/>
      <c r="HV27" s="44"/>
      <c r="HW27" s="44"/>
      <c r="HX27" s="44"/>
      <c r="HY27" s="44"/>
      <c r="HZ27" s="44"/>
      <c r="IA27" s="44"/>
      <c r="IB27" s="44"/>
      <c r="IC27" s="44"/>
      <c r="ID27" s="44"/>
      <c r="IE27" s="44"/>
      <c r="IF27" s="44"/>
      <c r="IG27" s="44"/>
      <c r="IH27" s="44"/>
      <c r="II27" s="43"/>
      <c r="IJ27" s="44"/>
      <c r="IK27" s="44"/>
      <c r="IL27" s="44"/>
      <c r="IM27" s="44"/>
      <c r="IN27" s="44"/>
      <c r="IO27" s="44"/>
      <c r="IP27" s="44"/>
      <c r="IQ27" s="44"/>
      <c r="IR27" s="44"/>
      <c r="IS27" s="44"/>
      <c r="IT27" s="44"/>
      <c r="IU27" s="44"/>
      <c r="IV27" s="44"/>
      <c r="IW27" s="44"/>
      <c r="IX27" s="43"/>
      <c r="IY27" s="44"/>
      <c r="IZ27" s="44"/>
      <c r="JA27" s="44"/>
      <c r="JB27" s="44"/>
      <c r="JC27" s="44"/>
      <c r="JD27" s="44"/>
      <c r="JE27" s="44"/>
      <c r="JF27" s="44"/>
      <c r="JG27" s="44"/>
      <c r="JH27" s="44"/>
      <c r="JI27" s="44"/>
      <c r="JJ27" s="44"/>
      <c r="JK27" s="44"/>
      <c r="JL27" s="44"/>
      <c r="JM27" s="43"/>
      <c r="JN27" s="44"/>
      <c r="JO27" s="44"/>
      <c r="JP27" s="44"/>
      <c r="JQ27" s="44"/>
      <c r="JR27" s="44"/>
      <c r="JS27" s="44"/>
      <c r="JT27" s="44"/>
      <c r="JU27" s="44"/>
      <c r="JV27" s="44"/>
      <c r="JW27" s="44"/>
      <c r="JX27" s="44"/>
      <c r="JY27" s="44"/>
      <c r="JZ27" s="44"/>
      <c r="KA27" s="44"/>
      <c r="KB27" s="43"/>
      <c r="KC27" s="44"/>
      <c r="KD27" s="44"/>
      <c r="KE27" s="44"/>
      <c r="KF27" s="44"/>
      <c r="KG27" s="44"/>
      <c r="KH27" s="44"/>
      <c r="KI27" s="44"/>
      <c r="KJ27" s="44"/>
      <c r="KK27" s="44"/>
      <c r="KL27" s="44"/>
      <c r="KM27" s="44"/>
      <c r="KN27" s="44"/>
      <c r="KO27" s="44"/>
      <c r="KP27" s="44"/>
      <c r="KQ27" s="43"/>
      <c r="KR27" s="44"/>
      <c r="KS27" s="44"/>
      <c r="KT27" s="44"/>
      <c r="KU27" s="44"/>
      <c r="KV27" s="44"/>
      <c r="KW27" s="44"/>
      <c r="KX27" s="44"/>
      <c r="KY27" s="44"/>
      <c r="KZ27" s="44"/>
      <c r="LA27" s="44"/>
      <c r="LB27" s="44"/>
      <c r="LC27" s="44"/>
      <c r="LD27" s="44"/>
      <c r="LE27" s="44"/>
      <c r="LF27" s="43"/>
      <c r="LG27" s="44"/>
      <c r="LH27" s="44"/>
      <c r="LI27" s="44"/>
      <c r="LJ27" s="44"/>
      <c r="LK27" s="44"/>
      <c r="LL27" s="44"/>
      <c r="LM27" s="44"/>
      <c r="LN27" s="44"/>
      <c r="LO27" s="44"/>
      <c r="LP27" s="44"/>
      <c r="LQ27" s="44"/>
      <c r="LR27" s="44"/>
      <c r="LS27" s="44"/>
      <c r="LT27" s="44"/>
      <c r="LU27" s="43"/>
      <c r="LV27" s="44"/>
      <c r="LW27" s="44"/>
      <c r="LX27" s="44"/>
      <c r="LY27" s="44"/>
      <c r="LZ27" s="44"/>
      <c r="MA27" s="44"/>
      <c r="MB27" s="44"/>
      <c r="MC27" s="44"/>
      <c r="MD27" s="44"/>
      <c r="ME27" s="44"/>
      <c r="MF27" s="44"/>
      <c r="MG27" s="44"/>
      <c r="MH27" s="44"/>
      <c r="MI27" s="44"/>
      <c r="MJ27" s="43"/>
      <c r="MK27" s="44"/>
      <c r="ML27" s="44"/>
      <c r="MM27" s="44"/>
      <c r="MN27" s="44"/>
      <c r="MO27" s="44"/>
      <c r="MP27" s="44"/>
      <c r="MQ27" s="44"/>
      <c r="MR27" s="44"/>
      <c r="MS27" s="44"/>
      <c r="MT27" s="44"/>
      <c r="MU27" s="44"/>
      <c r="MV27" s="44"/>
      <c r="MW27" s="44"/>
      <c r="MX27" s="44"/>
      <c r="MY27" s="43"/>
      <c r="MZ27" s="44"/>
      <c r="NA27" s="44"/>
      <c r="NB27" s="44"/>
      <c r="NC27" s="44"/>
      <c r="ND27" s="44"/>
      <c r="NE27" s="44"/>
      <c r="NF27" s="44"/>
      <c r="NG27" s="44"/>
      <c r="NH27" s="44"/>
      <c r="NI27" s="44"/>
      <c r="NJ27" s="44"/>
      <c r="NK27" s="44"/>
      <c r="NL27" s="44"/>
      <c r="NM27" s="44"/>
      <c r="NN27" s="43"/>
      <c r="NO27" s="44"/>
      <c r="NP27" s="44"/>
      <c r="NQ27" s="44"/>
      <c r="NR27" s="44"/>
      <c r="NS27" s="44"/>
      <c r="NT27" s="44"/>
      <c r="NU27" s="44"/>
      <c r="NV27" s="44"/>
      <c r="NW27" s="44"/>
      <c r="NX27" s="44"/>
      <c r="NY27" s="44"/>
      <c r="NZ27" s="44"/>
      <c r="OA27" s="44"/>
      <c r="OB27" s="44"/>
      <c r="OC27" s="43"/>
      <c r="OD27" s="44"/>
      <c r="OE27" s="44"/>
      <c r="OF27" s="44"/>
      <c r="OG27" s="44"/>
      <c r="OH27" s="44"/>
      <c r="OI27" s="44"/>
      <c r="OJ27" s="44"/>
      <c r="OK27" s="44"/>
      <c r="OL27" s="44"/>
      <c r="OM27" s="44"/>
      <c r="ON27" s="44"/>
      <c r="OO27" s="44"/>
      <c r="OP27" s="44"/>
      <c r="OQ27" s="44"/>
      <c r="OR27" s="43"/>
      <c r="OS27" s="44"/>
      <c r="OT27" s="44"/>
      <c r="OU27" s="44"/>
      <c r="OV27" s="44"/>
      <c r="OW27" s="44"/>
      <c r="OX27" s="44"/>
      <c r="OY27" s="44"/>
      <c r="OZ27" s="44"/>
      <c r="PA27" s="44"/>
      <c r="PB27" s="44"/>
      <c r="PC27" s="44"/>
      <c r="PD27" s="44"/>
      <c r="PE27" s="44"/>
      <c r="PF27" s="44"/>
      <c r="PG27" s="43"/>
      <c r="PH27" s="44"/>
      <c r="PI27" s="44"/>
      <c r="PJ27" s="44"/>
      <c r="PK27" s="44"/>
      <c r="PL27" s="44"/>
      <c r="PM27" s="44"/>
      <c r="PN27" s="44"/>
      <c r="PO27" s="44"/>
      <c r="PP27" s="44"/>
      <c r="PQ27" s="44"/>
      <c r="PR27" s="44"/>
      <c r="PS27" s="44"/>
      <c r="PT27" s="44"/>
      <c r="PU27" s="44"/>
      <c r="PV27" s="43"/>
      <c r="PW27" s="44"/>
      <c r="PX27" s="44"/>
      <c r="PY27" s="44"/>
      <c r="PZ27" s="44"/>
      <c r="QA27" s="44"/>
      <c r="QB27" s="44"/>
      <c r="QC27" s="44"/>
      <c r="QD27" s="44"/>
      <c r="QE27" s="44"/>
      <c r="QF27" s="44"/>
      <c r="QG27" s="44"/>
      <c r="QH27" s="44"/>
      <c r="QI27" s="44"/>
      <c r="QJ27" s="44"/>
      <c r="QK27" s="43"/>
      <c r="QL27" s="44"/>
      <c r="QM27" s="44"/>
      <c r="QN27" s="44"/>
      <c r="QO27" s="44"/>
      <c r="QP27" s="44"/>
      <c r="QQ27" s="44"/>
      <c r="QR27" s="44"/>
      <c r="QS27" s="44"/>
      <c r="QT27" s="44"/>
      <c r="QU27" s="44"/>
      <c r="QV27" s="44"/>
      <c r="QW27" s="44"/>
      <c r="QX27" s="44"/>
      <c r="QY27" s="44"/>
      <c r="QZ27" s="43"/>
      <c r="RA27" s="44"/>
      <c r="RB27" s="44"/>
      <c r="RC27" s="44"/>
      <c r="RD27" s="44"/>
      <c r="RE27" s="44"/>
      <c r="RF27" s="44"/>
      <c r="RG27" s="44"/>
      <c r="RH27" s="44"/>
      <c r="RI27" s="44"/>
      <c r="RJ27" s="44"/>
      <c r="RK27" s="44"/>
      <c r="RL27" s="44"/>
      <c r="RM27" s="44"/>
      <c r="RN27" s="44"/>
      <c r="RO27" s="43"/>
      <c r="RP27" s="44"/>
      <c r="RQ27" s="44"/>
      <c r="RR27" s="44"/>
      <c r="RS27" s="44"/>
      <c r="RT27" s="44"/>
      <c r="RU27" s="44"/>
      <c r="RV27" s="44"/>
      <c r="RW27" s="44"/>
      <c r="RX27" s="44"/>
      <c r="RY27" s="44"/>
      <c r="RZ27" s="44"/>
      <c r="SA27" s="44"/>
      <c r="SB27" s="44"/>
      <c r="SC27" s="44"/>
      <c r="SD27" s="43"/>
      <c r="SE27" s="44"/>
      <c r="SF27" s="44"/>
      <c r="SG27" s="44"/>
      <c r="SH27" s="44"/>
      <c r="SI27" s="44"/>
      <c r="SJ27" s="44"/>
      <c r="SK27" s="44"/>
      <c r="SL27" s="44"/>
      <c r="SM27" s="44"/>
      <c r="SN27" s="44"/>
      <c r="SO27" s="44"/>
      <c r="SP27" s="44"/>
      <c r="SQ27" s="44"/>
      <c r="SR27" s="44"/>
      <c r="SS27" s="43"/>
      <c r="ST27" s="44"/>
      <c r="SU27" s="44"/>
      <c r="SV27" s="44"/>
      <c r="SW27" s="44"/>
      <c r="SX27" s="44"/>
      <c r="SY27" s="44"/>
      <c r="SZ27" s="44"/>
      <c r="TA27" s="44"/>
      <c r="TB27" s="44"/>
      <c r="TC27" s="44"/>
      <c r="TD27" s="44"/>
      <c r="TE27" s="44"/>
      <c r="TF27" s="44"/>
      <c r="TG27" s="44"/>
      <c r="TH27" s="43"/>
      <c r="TI27" s="44"/>
      <c r="TJ27" s="44"/>
      <c r="TK27" s="44"/>
      <c r="TL27" s="44"/>
      <c r="TM27" s="44"/>
      <c r="TN27" s="44"/>
      <c r="TO27" s="44"/>
      <c r="TP27" s="44"/>
      <c r="TQ27" s="44"/>
      <c r="TR27" s="44"/>
      <c r="TS27" s="44"/>
      <c r="TT27" s="44"/>
      <c r="TU27" s="44"/>
      <c r="TV27" s="44"/>
      <c r="TW27" s="43"/>
      <c r="TX27" s="44"/>
      <c r="TY27" s="44"/>
      <c r="TZ27" s="44"/>
      <c r="UA27" s="44"/>
      <c r="UB27" s="44"/>
      <c r="UC27" s="44"/>
      <c r="UD27" s="44"/>
      <c r="UE27" s="44"/>
      <c r="UF27" s="44"/>
      <c r="UG27" s="44"/>
      <c r="UH27" s="44"/>
      <c r="UI27" s="44"/>
      <c r="UJ27" s="44"/>
      <c r="UK27" s="44"/>
      <c r="UL27" s="43"/>
      <c r="UM27" s="44"/>
      <c r="UN27" s="44"/>
      <c r="UO27" s="44"/>
      <c r="UP27" s="44"/>
      <c r="UQ27" s="44"/>
      <c r="UR27" s="44"/>
      <c r="US27" s="44"/>
      <c r="UT27" s="44"/>
      <c r="UU27" s="44"/>
      <c r="UV27" s="44"/>
      <c r="UW27" s="44"/>
      <c r="UX27" s="44"/>
      <c r="UY27" s="44"/>
      <c r="UZ27" s="44"/>
      <c r="VA27" s="43"/>
      <c r="VB27" s="44"/>
      <c r="VC27" s="44"/>
      <c r="VD27" s="44"/>
      <c r="VE27" s="44"/>
      <c r="VF27" s="44"/>
      <c r="VG27" s="44"/>
      <c r="VH27" s="44"/>
      <c r="VI27" s="44"/>
      <c r="VJ27" s="44"/>
      <c r="VK27" s="44"/>
      <c r="VL27" s="44"/>
      <c r="VM27" s="44"/>
      <c r="VN27" s="44"/>
      <c r="VO27" s="44"/>
      <c r="VP27" s="43"/>
      <c r="VQ27" s="44"/>
      <c r="VR27" s="44"/>
      <c r="VS27" s="44"/>
      <c r="VT27" s="44"/>
      <c r="VU27" s="44"/>
      <c r="VV27" s="44"/>
      <c r="VW27" s="44"/>
      <c r="VX27" s="44"/>
      <c r="VY27" s="44"/>
      <c r="VZ27" s="44"/>
      <c r="WA27" s="44"/>
      <c r="WB27" s="44"/>
      <c r="WC27" s="44"/>
      <c r="WD27" s="44"/>
      <c r="WE27" s="43"/>
      <c r="WF27" s="44"/>
      <c r="WG27" s="44"/>
      <c r="WH27" s="44"/>
      <c r="WI27" s="44"/>
      <c r="WJ27" s="44"/>
      <c r="WK27" s="44"/>
      <c r="WL27" s="44"/>
      <c r="WM27" s="44"/>
      <c r="WN27" s="44"/>
      <c r="WO27" s="44"/>
      <c r="WP27" s="44"/>
      <c r="WQ27" s="44"/>
      <c r="WR27" s="44"/>
      <c r="WS27" s="44"/>
      <c r="WT27" s="43"/>
      <c r="WU27" s="44"/>
      <c r="WV27" s="44"/>
      <c r="WW27" s="44"/>
      <c r="WX27" s="44"/>
      <c r="WY27" s="44"/>
      <c r="WZ27" s="44"/>
      <c r="XA27" s="44"/>
      <c r="XB27" s="44"/>
      <c r="XC27" s="44"/>
      <c r="XD27" s="44"/>
      <c r="XE27" s="44"/>
      <c r="XF27" s="44"/>
      <c r="XG27" s="44"/>
      <c r="XH27" s="44"/>
      <c r="XI27" s="43"/>
      <c r="XJ27" s="44"/>
      <c r="XK27" s="44"/>
      <c r="XL27" s="44"/>
      <c r="XM27" s="44"/>
      <c r="XN27" s="44"/>
      <c r="XO27" s="44"/>
      <c r="XP27" s="44"/>
      <c r="XQ27" s="44"/>
      <c r="XR27" s="44"/>
      <c r="XS27" s="44"/>
      <c r="XT27" s="44"/>
      <c r="XU27" s="44"/>
      <c r="XV27" s="44"/>
      <c r="XW27" s="44"/>
      <c r="XX27" s="43"/>
      <c r="XY27" s="44"/>
      <c r="XZ27" s="44"/>
      <c r="YA27" s="44"/>
      <c r="YB27" s="44"/>
      <c r="YC27" s="44"/>
      <c r="YD27" s="44"/>
      <c r="YE27" s="44"/>
      <c r="YF27" s="44"/>
      <c r="YG27" s="44"/>
      <c r="YH27" s="44"/>
      <c r="YI27" s="44"/>
      <c r="YJ27" s="44"/>
      <c r="YK27" s="44"/>
      <c r="YL27" s="44"/>
      <c r="YM27" s="43"/>
      <c r="YN27" s="44"/>
      <c r="YO27" s="44"/>
      <c r="YP27" s="44"/>
      <c r="YQ27" s="44"/>
      <c r="YR27" s="44"/>
      <c r="YS27" s="44"/>
      <c r="YT27" s="44"/>
      <c r="YU27" s="44"/>
      <c r="YV27" s="44"/>
      <c r="YW27" s="44"/>
      <c r="YX27" s="44"/>
      <c r="YY27" s="44"/>
      <c r="YZ27" s="44"/>
      <c r="ZA27" s="44"/>
      <c r="ZB27" s="43"/>
      <c r="ZC27" s="44"/>
      <c r="ZD27" s="44"/>
      <c r="ZE27" s="44"/>
      <c r="ZF27" s="44"/>
      <c r="ZG27" s="44"/>
      <c r="ZH27" s="44"/>
      <c r="ZI27" s="44"/>
      <c r="ZJ27" s="44"/>
      <c r="ZK27" s="44"/>
      <c r="ZL27" s="44"/>
      <c r="ZM27" s="44"/>
      <c r="ZN27" s="44"/>
      <c r="ZO27" s="44"/>
      <c r="ZP27" s="44"/>
      <c r="ZQ27" s="43"/>
      <c r="ZR27" s="44"/>
      <c r="ZS27" s="44"/>
      <c r="ZT27" s="44"/>
      <c r="ZU27" s="44"/>
      <c r="ZV27" s="44"/>
      <c r="ZW27" s="44"/>
      <c r="ZX27" s="44"/>
      <c r="ZY27" s="44"/>
      <c r="ZZ27" s="44"/>
      <c r="AAA27" s="44"/>
      <c r="AAB27" s="44"/>
      <c r="AAC27" s="44"/>
      <c r="AAD27" s="44"/>
      <c r="AAE27" s="44"/>
      <c r="AAF27" s="43"/>
      <c r="AAG27" s="44"/>
      <c r="AAH27" s="44"/>
      <c r="AAI27" s="44"/>
      <c r="AAJ27" s="44"/>
      <c r="AAK27" s="44"/>
      <c r="AAL27" s="44"/>
      <c r="AAM27" s="44"/>
      <c r="AAN27" s="44"/>
      <c r="AAO27" s="44"/>
      <c r="AAP27" s="44"/>
      <c r="AAQ27" s="44"/>
      <c r="AAR27" s="44"/>
      <c r="AAS27" s="44"/>
      <c r="AAT27" s="44"/>
      <c r="AAU27" s="43"/>
      <c r="AAV27" s="44"/>
      <c r="AAW27" s="44"/>
      <c r="AAX27" s="44"/>
      <c r="AAY27" s="44"/>
      <c r="AAZ27" s="44"/>
      <c r="ABA27" s="44"/>
      <c r="ABB27" s="44"/>
      <c r="ABC27" s="44"/>
      <c r="ABD27" s="44"/>
      <c r="ABE27" s="44"/>
      <c r="ABF27" s="44"/>
      <c r="ABG27" s="44"/>
      <c r="ABH27" s="44"/>
      <c r="ABI27" s="44"/>
      <c r="ABJ27" s="43"/>
      <c r="ABK27" s="44"/>
      <c r="ABL27" s="44"/>
      <c r="ABM27" s="44"/>
      <c r="ABN27" s="44"/>
      <c r="ABO27" s="44"/>
      <c r="ABP27" s="44"/>
      <c r="ABQ27" s="44"/>
      <c r="ABR27" s="44"/>
      <c r="ABS27" s="44"/>
      <c r="ABT27" s="44"/>
      <c r="ABU27" s="44"/>
      <c r="ABV27" s="44"/>
      <c r="ABW27" s="44"/>
      <c r="ABX27" s="44"/>
      <c r="ABY27" s="43"/>
      <c r="ABZ27" s="44"/>
      <c r="ACA27" s="44"/>
      <c r="ACB27" s="44"/>
      <c r="ACC27" s="44"/>
      <c r="ACD27" s="44"/>
      <c r="ACE27" s="44"/>
      <c r="ACF27" s="44"/>
      <c r="ACG27" s="44"/>
      <c r="ACH27" s="44"/>
      <c r="ACI27" s="44"/>
      <c r="ACJ27" s="44"/>
      <c r="ACK27" s="44"/>
      <c r="ACL27" s="44"/>
      <c r="ACM27" s="44"/>
      <c r="ACN27" s="43"/>
      <c r="ACO27" s="44"/>
      <c r="ACP27" s="44"/>
      <c r="ACQ27" s="44"/>
      <c r="ACR27" s="44"/>
      <c r="ACS27" s="44"/>
      <c r="ACT27" s="44"/>
      <c r="ACU27" s="44"/>
      <c r="ACV27" s="44"/>
      <c r="ACW27" s="44"/>
      <c r="ACX27" s="44"/>
      <c r="ACY27" s="44"/>
      <c r="ACZ27" s="44"/>
      <c r="ADA27" s="44"/>
      <c r="ADB27" s="44"/>
      <c r="ADC27" s="43"/>
      <c r="ADD27" s="44"/>
      <c r="ADE27" s="44"/>
      <c r="ADF27" s="44"/>
      <c r="ADG27" s="44"/>
      <c r="ADH27" s="44"/>
      <c r="ADI27" s="44"/>
      <c r="ADJ27" s="44"/>
      <c r="ADK27" s="44"/>
      <c r="ADL27" s="44"/>
      <c r="ADM27" s="44"/>
      <c r="ADN27" s="44"/>
      <c r="ADO27" s="44"/>
      <c r="ADP27" s="44"/>
      <c r="ADQ27" s="44"/>
      <c r="ADR27" s="43"/>
      <c r="ADS27" s="44"/>
      <c r="ADT27" s="44"/>
      <c r="ADU27" s="44"/>
      <c r="ADV27" s="44"/>
      <c r="ADW27" s="44"/>
      <c r="ADX27" s="44"/>
      <c r="ADY27" s="44"/>
      <c r="ADZ27" s="44"/>
      <c r="AEA27" s="44"/>
      <c r="AEB27" s="44"/>
      <c r="AEC27" s="44"/>
      <c r="AED27" s="44"/>
      <c r="AEE27" s="44"/>
      <c r="AEF27" s="44"/>
      <c r="AEG27" s="43"/>
      <c r="AEH27" s="44"/>
      <c r="AEI27" s="44"/>
      <c r="AEJ27" s="44"/>
      <c r="AEK27" s="44"/>
      <c r="AEL27" s="44"/>
      <c r="AEM27" s="44"/>
      <c r="AEN27" s="44"/>
      <c r="AEO27" s="44"/>
      <c r="AEP27" s="44"/>
      <c r="AEQ27" s="44"/>
      <c r="AER27" s="44"/>
      <c r="AES27" s="44"/>
      <c r="AET27" s="44"/>
      <c r="AEU27" s="44"/>
      <c r="AEV27" s="43"/>
      <c r="AEW27" s="44"/>
      <c r="AEX27" s="44"/>
      <c r="AEY27" s="44"/>
      <c r="AEZ27" s="44"/>
      <c r="AFA27" s="44"/>
      <c r="AFB27" s="44"/>
      <c r="AFC27" s="44"/>
      <c r="AFD27" s="44"/>
      <c r="AFE27" s="44"/>
      <c r="AFF27" s="44"/>
      <c r="AFG27" s="44"/>
      <c r="AFH27" s="44"/>
      <c r="AFI27" s="44"/>
      <c r="AFJ27" s="44"/>
      <c r="AFK27" s="43"/>
      <c r="AFL27" s="44"/>
      <c r="AFM27" s="44"/>
      <c r="AFN27" s="44"/>
      <c r="AFO27" s="44"/>
      <c r="AFP27" s="44"/>
      <c r="AFQ27" s="44"/>
      <c r="AFR27" s="44"/>
      <c r="AFS27" s="44"/>
      <c r="AFT27" s="44"/>
      <c r="AFU27" s="44"/>
      <c r="AFV27" s="44"/>
      <c r="AFW27" s="44"/>
      <c r="AFX27" s="44"/>
      <c r="AFY27" s="44"/>
      <c r="AFZ27" s="43"/>
      <c r="AGA27" s="44"/>
      <c r="AGB27" s="44"/>
      <c r="AGC27" s="44"/>
      <c r="AGD27" s="44"/>
      <c r="AGE27" s="44"/>
      <c r="AGF27" s="44"/>
      <c r="AGG27" s="44"/>
      <c r="AGH27" s="44"/>
      <c r="AGI27" s="44"/>
      <c r="AGJ27" s="44"/>
      <c r="AGK27" s="44"/>
      <c r="AGL27" s="44"/>
      <c r="AGM27" s="44"/>
      <c r="AGN27" s="44"/>
      <c r="AGO27" s="43"/>
      <c r="AGP27" s="44"/>
      <c r="AGQ27" s="44"/>
      <c r="AGR27" s="44"/>
      <c r="AGS27" s="44"/>
      <c r="AGT27" s="44"/>
      <c r="AGU27" s="44"/>
      <c r="AGV27" s="44"/>
      <c r="AGW27" s="44"/>
      <c r="AGX27" s="44"/>
      <c r="AGY27" s="44"/>
      <c r="AGZ27" s="44"/>
      <c r="AHA27" s="44"/>
      <c r="AHB27" s="44"/>
      <c r="AHC27" s="44"/>
      <c r="AHD27" s="43"/>
      <c r="AHE27" s="44"/>
      <c r="AHF27" s="44"/>
      <c r="AHG27" s="44"/>
      <c r="AHH27" s="44"/>
      <c r="AHI27" s="44"/>
      <c r="AHJ27" s="44"/>
      <c r="AHK27" s="44"/>
      <c r="AHL27" s="44"/>
      <c r="AHM27" s="44"/>
      <c r="AHN27" s="44"/>
      <c r="AHO27" s="44"/>
      <c r="AHP27" s="44"/>
      <c r="AHQ27" s="44"/>
      <c r="AHR27" s="44"/>
      <c r="AHS27" s="43"/>
      <c r="AHT27" s="44"/>
      <c r="AHU27" s="44"/>
      <c r="AHV27" s="44"/>
      <c r="AHW27" s="44"/>
      <c r="AHX27" s="44"/>
      <c r="AHY27" s="44"/>
      <c r="AHZ27" s="44"/>
      <c r="AIA27" s="44"/>
      <c r="AIB27" s="44"/>
      <c r="AIC27" s="44"/>
      <c r="AID27" s="44"/>
      <c r="AIE27" s="44"/>
      <c r="AIF27" s="44"/>
      <c r="AIG27" s="44"/>
      <c r="AIH27" s="43"/>
      <c r="AII27" s="44"/>
      <c r="AIJ27" s="44"/>
      <c r="AIK27" s="44"/>
      <c r="AIL27" s="44"/>
      <c r="AIM27" s="44"/>
      <c r="AIN27" s="44"/>
      <c r="AIO27" s="44"/>
      <c r="AIP27" s="44"/>
      <c r="AIQ27" s="44"/>
      <c r="AIR27" s="44"/>
      <c r="AIS27" s="44"/>
      <c r="AIT27" s="44"/>
      <c r="AIU27" s="44"/>
      <c r="AIV27" s="44"/>
      <c r="AIW27" s="43"/>
      <c r="AIX27" s="44"/>
      <c r="AIY27" s="44"/>
      <c r="AIZ27" s="44"/>
      <c r="AJA27" s="44"/>
      <c r="AJB27" s="44"/>
      <c r="AJC27" s="44"/>
      <c r="AJD27" s="44"/>
      <c r="AJE27" s="44"/>
      <c r="AJF27" s="44"/>
      <c r="AJG27" s="44"/>
      <c r="AJH27" s="44"/>
      <c r="AJI27" s="44"/>
      <c r="AJJ27" s="44"/>
      <c r="AJK27" s="44"/>
      <c r="AJL27" s="43"/>
      <c r="AJM27" s="44"/>
      <c r="AJN27" s="44"/>
      <c r="AJO27" s="44"/>
      <c r="AJP27" s="44"/>
      <c r="AJQ27" s="44"/>
      <c r="AJR27" s="44"/>
      <c r="AJS27" s="44"/>
      <c r="AJT27" s="44"/>
      <c r="AJU27" s="44"/>
      <c r="AJV27" s="44"/>
      <c r="AJW27" s="44"/>
      <c r="AJX27" s="44"/>
      <c r="AJY27" s="44"/>
      <c r="AJZ27" s="44"/>
      <c r="AKA27" s="43"/>
      <c r="AKB27" s="44"/>
      <c r="AKC27" s="44"/>
      <c r="AKD27" s="44"/>
      <c r="AKE27" s="44"/>
      <c r="AKF27" s="44"/>
      <c r="AKG27" s="44"/>
      <c r="AKH27" s="44"/>
      <c r="AKI27" s="44"/>
      <c r="AKJ27" s="44"/>
      <c r="AKK27" s="44"/>
      <c r="AKL27" s="44"/>
      <c r="AKM27" s="44"/>
      <c r="AKN27" s="44"/>
      <c r="AKO27" s="44"/>
      <c r="AKP27" s="43"/>
      <c r="AKQ27" s="44"/>
      <c r="AKR27" s="44"/>
      <c r="AKS27" s="44"/>
      <c r="AKT27" s="44"/>
      <c r="AKU27" s="44"/>
      <c r="AKV27" s="44"/>
      <c r="AKW27" s="44"/>
      <c r="AKX27" s="44"/>
      <c r="AKY27" s="44"/>
      <c r="AKZ27" s="44"/>
      <c r="ALA27" s="44"/>
      <c r="ALB27" s="44"/>
      <c r="ALC27" s="44"/>
      <c r="ALD27" s="44"/>
      <c r="ALE27" s="43"/>
      <c r="ALF27" s="44"/>
      <c r="ALG27" s="44"/>
      <c r="ALH27" s="44"/>
      <c r="ALI27" s="44"/>
      <c r="ALJ27" s="44"/>
      <c r="ALK27" s="44"/>
      <c r="ALL27" s="44"/>
      <c r="ALM27" s="44"/>
      <c r="ALN27" s="44"/>
      <c r="ALO27" s="44"/>
      <c r="ALP27" s="44"/>
      <c r="ALQ27" s="44"/>
      <c r="ALR27" s="44"/>
      <c r="ALS27" s="44"/>
      <c r="ALT27" s="43"/>
      <c r="ALU27" s="44"/>
      <c r="ALV27" s="44"/>
      <c r="ALW27" s="44"/>
      <c r="ALX27" s="44"/>
      <c r="ALY27" s="44"/>
      <c r="ALZ27" s="44"/>
      <c r="AMA27" s="44"/>
      <c r="AMB27" s="44"/>
      <c r="AMC27" s="44"/>
      <c r="AMD27" s="44"/>
      <c r="AME27" s="44"/>
      <c r="AMF27" s="44"/>
      <c r="AMG27" s="44"/>
      <c r="AMH27" s="44"/>
      <c r="AMI27" s="43"/>
      <c r="AMJ27" s="44"/>
      <c r="AMK27" s="44"/>
      <c r="AML27" s="44"/>
      <c r="AMM27" s="44"/>
      <c r="AMN27" s="44"/>
      <c r="AMO27" s="44"/>
      <c r="AMP27" s="44"/>
      <c r="AMQ27" s="44"/>
      <c r="AMR27" s="44"/>
      <c r="AMS27" s="44"/>
      <c r="AMT27" s="44"/>
      <c r="AMU27" s="44"/>
      <c r="AMV27" s="44"/>
      <c r="AMW27" s="44"/>
      <c r="AMX27" s="43"/>
      <c r="AMY27" s="44"/>
      <c r="AMZ27" s="44"/>
      <c r="ANA27" s="44"/>
      <c r="ANB27" s="44"/>
      <c r="ANC27" s="44"/>
      <c r="AND27" s="44"/>
      <c r="ANE27" s="44"/>
      <c r="ANF27" s="44"/>
      <c r="ANG27" s="44"/>
      <c r="ANH27" s="44"/>
      <c r="ANI27" s="44"/>
      <c r="ANJ27" s="44"/>
      <c r="ANK27" s="44"/>
      <c r="ANL27" s="44"/>
      <c r="ANM27" s="43"/>
      <c r="ANN27" s="44"/>
      <c r="ANO27" s="44"/>
      <c r="ANP27" s="44"/>
      <c r="ANQ27" s="44"/>
      <c r="ANR27" s="44"/>
      <c r="ANS27" s="44"/>
      <c r="ANT27" s="44"/>
      <c r="ANU27" s="44"/>
      <c r="ANV27" s="44"/>
      <c r="ANW27" s="44"/>
      <c r="ANX27" s="44"/>
      <c r="ANY27" s="44"/>
      <c r="ANZ27" s="44"/>
      <c r="AOA27" s="44"/>
      <c r="AOB27" s="43"/>
      <c r="AOC27" s="44"/>
      <c r="AOD27" s="44"/>
      <c r="AOE27" s="44"/>
      <c r="AOF27" s="44"/>
      <c r="AOG27" s="44"/>
      <c r="AOH27" s="44"/>
      <c r="AOI27" s="44"/>
      <c r="AOJ27" s="44"/>
      <c r="AOK27" s="44"/>
      <c r="AOL27" s="44"/>
      <c r="AOM27" s="44"/>
      <c r="AON27" s="44"/>
      <c r="AOO27" s="44"/>
      <c r="AOP27" s="44"/>
      <c r="AOQ27" s="43"/>
      <c r="AOR27" s="44"/>
      <c r="AOS27" s="44"/>
      <c r="AOT27" s="44"/>
      <c r="AOU27" s="44"/>
      <c r="AOV27" s="44"/>
      <c r="AOW27" s="44"/>
      <c r="AOX27" s="44"/>
      <c r="AOY27" s="44"/>
      <c r="AOZ27" s="44"/>
      <c r="APA27" s="44"/>
      <c r="APB27" s="44"/>
      <c r="APC27" s="44"/>
      <c r="APD27" s="44"/>
      <c r="APE27" s="44"/>
      <c r="APF27" s="43"/>
      <c r="APG27" s="44"/>
      <c r="APH27" s="44"/>
      <c r="API27" s="44"/>
      <c r="APJ27" s="44"/>
      <c r="APK27" s="44"/>
      <c r="APL27" s="44"/>
      <c r="APM27" s="44"/>
      <c r="APN27" s="44"/>
      <c r="APO27" s="44"/>
      <c r="APP27" s="44"/>
      <c r="APQ27" s="44"/>
      <c r="APR27" s="44"/>
      <c r="APS27" s="44"/>
      <c r="APT27" s="44"/>
      <c r="APU27" s="43"/>
      <c r="APV27" s="44"/>
      <c r="APW27" s="44"/>
      <c r="APX27" s="44"/>
      <c r="APY27" s="44"/>
      <c r="APZ27" s="44"/>
      <c r="AQA27" s="44"/>
      <c r="AQB27" s="44"/>
      <c r="AQC27" s="44"/>
      <c r="AQD27" s="44"/>
      <c r="AQE27" s="44"/>
      <c r="AQF27" s="44"/>
      <c r="AQG27" s="44"/>
      <c r="AQH27" s="44"/>
      <c r="AQI27" s="44"/>
      <c r="AQJ27" s="43"/>
      <c r="AQK27" s="44"/>
      <c r="AQL27" s="44"/>
      <c r="AQM27" s="44"/>
      <c r="AQN27" s="44"/>
      <c r="AQO27" s="44"/>
      <c r="AQP27" s="44"/>
      <c r="AQQ27" s="44"/>
      <c r="AQR27" s="44"/>
      <c r="AQS27" s="44"/>
      <c r="AQT27" s="44"/>
      <c r="AQU27" s="44"/>
      <c r="AQV27" s="44"/>
      <c r="AQW27" s="44"/>
      <c r="AQX27" s="44"/>
      <c r="AQY27" s="43"/>
      <c r="AQZ27" s="44"/>
      <c r="ARA27" s="44"/>
      <c r="ARB27" s="44"/>
      <c r="ARC27" s="44"/>
      <c r="ARD27" s="44"/>
      <c r="ARE27" s="44"/>
      <c r="ARF27" s="44"/>
      <c r="ARG27" s="44"/>
      <c r="ARH27" s="44"/>
      <c r="ARI27" s="44"/>
      <c r="ARJ27" s="44"/>
      <c r="ARK27" s="44"/>
      <c r="ARL27" s="44"/>
      <c r="ARM27" s="44"/>
      <c r="ARN27" s="43"/>
      <c r="ARO27" s="44"/>
      <c r="ARP27" s="44"/>
      <c r="ARQ27" s="44"/>
      <c r="ARR27" s="44"/>
      <c r="ARS27" s="44"/>
      <c r="ART27" s="44"/>
      <c r="ARU27" s="44"/>
      <c r="ARV27" s="44"/>
      <c r="ARW27" s="44"/>
      <c r="ARX27" s="44"/>
      <c r="ARY27" s="44"/>
      <c r="ARZ27" s="44"/>
      <c r="ASA27" s="44"/>
      <c r="ASB27" s="44"/>
      <c r="ASC27" s="43"/>
      <c r="ASD27" s="44"/>
      <c r="ASE27" s="44"/>
      <c r="ASF27" s="44"/>
      <c r="ASG27" s="44"/>
      <c r="ASH27" s="44"/>
      <c r="ASI27" s="44"/>
      <c r="ASJ27" s="44"/>
      <c r="ASK27" s="44"/>
      <c r="ASL27" s="44"/>
      <c r="ASM27" s="44"/>
      <c r="ASN27" s="44"/>
      <c r="ASO27" s="44"/>
      <c r="ASP27" s="44"/>
      <c r="ASQ27" s="44"/>
      <c r="ASR27" s="43"/>
      <c r="ASS27" s="44"/>
      <c r="AST27" s="44"/>
      <c r="ASU27" s="44"/>
      <c r="ASV27" s="44"/>
      <c r="ASW27" s="44"/>
      <c r="ASX27" s="44"/>
      <c r="ASY27" s="44"/>
      <c r="ASZ27" s="44"/>
      <c r="ATA27" s="44"/>
      <c r="ATB27" s="44"/>
      <c r="ATC27" s="44"/>
      <c r="ATD27" s="44"/>
      <c r="ATE27" s="44"/>
      <c r="ATF27" s="44"/>
      <c r="ATG27" s="43"/>
      <c r="ATH27" s="44"/>
      <c r="ATI27" s="44"/>
      <c r="ATJ27" s="44"/>
      <c r="ATK27" s="44"/>
      <c r="ATL27" s="44"/>
      <c r="ATM27" s="44"/>
      <c r="ATN27" s="44"/>
      <c r="ATO27" s="44"/>
      <c r="ATP27" s="44"/>
      <c r="ATQ27" s="44"/>
      <c r="ATR27" s="44"/>
      <c r="ATS27" s="44"/>
      <c r="ATT27" s="44"/>
      <c r="ATU27" s="44"/>
      <c r="ATV27" s="43"/>
      <c r="ATW27" s="44"/>
      <c r="ATX27" s="44"/>
      <c r="ATY27" s="44"/>
      <c r="ATZ27" s="44"/>
      <c r="AUA27" s="44"/>
      <c r="AUB27" s="44"/>
      <c r="AUC27" s="44"/>
      <c r="AUD27" s="44"/>
      <c r="AUE27" s="44"/>
      <c r="AUF27" s="44"/>
      <c r="AUG27" s="44"/>
      <c r="AUH27" s="44"/>
      <c r="AUI27" s="44"/>
      <c r="AUJ27" s="44"/>
      <c r="AUK27" s="43"/>
      <c r="AUL27" s="44"/>
      <c r="AUM27" s="44"/>
      <c r="AUN27" s="44"/>
      <c r="AUO27" s="44"/>
      <c r="AUP27" s="44"/>
      <c r="AUQ27" s="44"/>
      <c r="AUR27" s="44"/>
      <c r="AUS27" s="44"/>
      <c r="AUT27" s="44"/>
      <c r="AUU27" s="44"/>
      <c r="AUV27" s="44"/>
      <c r="AUW27" s="44"/>
      <c r="AUX27" s="44"/>
      <c r="AUY27" s="44"/>
      <c r="AUZ27" s="43"/>
      <c r="AVA27" s="44"/>
      <c r="AVB27" s="44"/>
      <c r="AVC27" s="44"/>
      <c r="AVD27" s="44"/>
      <c r="AVE27" s="44"/>
      <c r="AVF27" s="44"/>
      <c r="AVG27" s="44"/>
      <c r="AVH27" s="44"/>
      <c r="AVI27" s="44"/>
      <c r="AVJ27" s="44"/>
      <c r="AVK27" s="44"/>
      <c r="AVL27" s="44"/>
      <c r="AVM27" s="44"/>
      <c r="AVN27" s="44"/>
      <c r="AVO27" s="43"/>
      <c r="AVP27" s="44"/>
      <c r="AVQ27" s="44"/>
      <c r="AVR27" s="44"/>
      <c r="AVS27" s="44"/>
      <c r="AVT27" s="44"/>
      <c r="AVU27" s="44"/>
      <c r="AVV27" s="44"/>
      <c r="AVW27" s="44"/>
      <c r="AVX27" s="44"/>
      <c r="AVY27" s="44"/>
      <c r="AVZ27" s="44"/>
      <c r="AWA27" s="44"/>
      <c r="AWB27" s="44"/>
      <c r="AWC27" s="44"/>
      <c r="AWD27" s="43"/>
      <c r="AWE27" s="44"/>
      <c r="AWF27" s="44"/>
      <c r="AWG27" s="44"/>
      <c r="AWH27" s="44"/>
      <c r="AWI27" s="44"/>
      <c r="AWJ27" s="44"/>
      <c r="AWK27" s="44"/>
      <c r="AWL27" s="44"/>
      <c r="AWM27" s="44"/>
      <c r="AWN27" s="44"/>
      <c r="AWO27" s="44"/>
      <c r="AWP27" s="44"/>
      <c r="AWQ27" s="44"/>
      <c r="AWR27" s="44"/>
      <c r="AWS27" s="43"/>
      <c r="AWT27" s="44"/>
      <c r="AWU27" s="44"/>
      <c r="AWV27" s="44"/>
      <c r="AWW27" s="44"/>
      <c r="AWX27" s="44"/>
      <c r="AWY27" s="44"/>
      <c r="AWZ27" s="44"/>
      <c r="AXA27" s="44"/>
      <c r="AXB27" s="44"/>
      <c r="AXC27" s="44"/>
      <c r="AXD27" s="44"/>
      <c r="AXE27" s="44"/>
      <c r="AXF27" s="44"/>
      <c r="AXG27" s="44"/>
      <c r="AXH27" s="43"/>
      <c r="AXI27" s="44"/>
      <c r="AXJ27" s="44"/>
      <c r="AXK27" s="44"/>
      <c r="AXL27" s="44"/>
      <c r="AXM27" s="44"/>
      <c r="AXN27" s="44"/>
      <c r="AXO27" s="44"/>
      <c r="AXP27" s="44"/>
      <c r="AXQ27" s="44"/>
      <c r="AXR27" s="44"/>
      <c r="AXS27" s="44"/>
      <c r="AXT27" s="44"/>
      <c r="AXU27" s="44"/>
      <c r="AXV27" s="44"/>
      <c r="AXW27" s="43"/>
      <c r="AXX27" s="44"/>
      <c r="AXY27" s="44"/>
      <c r="AXZ27" s="44"/>
      <c r="AYA27" s="44"/>
      <c r="AYB27" s="44"/>
      <c r="AYC27" s="44"/>
      <c r="AYD27" s="44"/>
      <c r="AYE27" s="44"/>
      <c r="AYF27" s="44"/>
      <c r="AYG27" s="44"/>
      <c r="AYH27" s="44"/>
      <c r="AYI27" s="44"/>
      <c r="AYJ27" s="44"/>
      <c r="AYK27" s="44"/>
      <c r="AYL27" s="43"/>
      <c r="AYM27" s="44"/>
      <c r="AYN27" s="44"/>
      <c r="AYO27" s="44"/>
      <c r="AYP27" s="44"/>
      <c r="AYQ27" s="44"/>
      <c r="AYR27" s="44"/>
      <c r="AYS27" s="44"/>
      <c r="AYT27" s="44"/>
      <c r="AYU27" s="44"/>
      <c r="AYV27" s="44"/>
      <c r="AYW27" s="44"/>
      <c r="AYX27" s="44"/>
      <c r="AYY27" s="44"/>
      <c r="AYZ27" s="44"/>
      <c r="AZA27" s="43"/>
      <c r="AZB27" s="44"/>
      <c r="AZC27" s="44"/>
      <c r="AZD27" s="44"/>
      <c r="AZE27" s="44"/>
      <c r="AZF27" s="44"/>
      <c r="AZG27" s="44"/>
      <c r="AZH27" s="44"/>
      <c r="AZI27" s="44"/>
      <c r="AZJ27" s="44"/>
      <c r="AZK27" s="44"/>
      <c r="AZL27" s="44"/>
      <c r="AZM27" s="44"/>
      <c r="AZN27" s="44"/>
      <c r="AZO27" s="44"/>
      <c r="AZP27" s="43"/>
      <c r="AZQ27" s="44"/>
      <c r="AZR27" s="44"/>
      <c r="AZS27" s="44"/>
      <c r="AZT27" s="44"/>
      <c r="AZU27" s="44"/>
      <c r="AZV27" s="44"/>
      <c r="AZW27" s="44"/>
      <c r="AZX27" s="44"/>
      <c r="AZY27" s="44"/>
      <c r="AZZ27" s="44"/>
      <c r="BAA27" s="44"/>
      <c r="BAB27" s="44"/>
      <c r="BAC27" s="44"/>
      <c r="BAD27" s="44"/>
      <c r="BAE27" s="43"/>
      <c r="BAF27" s="44"/>
      <c r="BAG27" s="44"/>
      <c r="BAH27" s="44"/>
      <c r="BAI27" s="44"/>
      <c r="BAJ27" s="44"/>
      <c r="BAK27" s="44"/>
      <c r="BAL27" s="44"/>
      <c r="BAM27" s="44"/>
      <c r="BAN27" s="44"/>
      <c r="BAO27" s="44"/>
      <c r="BAP27" s="44"/>
      <c r="BAQ27" s="44"/>
      <c r="BAR27" s="44"/>
      <c r="BAS27" s="44"/>
      <c r="BAT27" s="43"/>
      <c r="BAU27" s="44"/>
      <c r="BAV27" s="44"/>
      <c r="BAW27" s="44"/>
      <c r="BAX27" s="44"/>
      <c r="BAY27" s="44"/>
      <c r="BAZ27" s="44"/>
      <c r="BBA27" s="44"/>
      <c r="BBB27" s="44"/>
      <c r="BBC27" s="44"/>
      <c r="BBD27" s="44"/>
      <c r="BBE27" s="44"/>
      <c r="BBF27" s="44"/>
      <c r="BBG27" s="44"/>
      <c r="BBH27" s="44"/>
      <c r="BBI27" s="43"/>
      <c r="BBJ27" s="44"/>
      <c r="BBK27" s="44"/>
      <c r="BBL27" s="44"/>
      <c r="BBM27" s="44"/>
      <c r="BBN27" s="44"/>
      <c r="BBO27" s="44"/>
      <c r="BBP27" s="44"/>
      <c r="BBQ27" s="44"/>
      <c r="BBR27" s="44"/>
      <c r="BBS27" s="44"/>
      <c r="BBT27" s="44"/>
      <c r="BBU27" s="44"/>
      <c r="BBV27" s="44"/>
      <c r="BBW27" s="44"/>
      <c r="BBX27" s="43"/>
      <c r="BBY27" s="44"/>
      <c r="BBZ27" s="44"/>
      <c r="BCA27" s="44"/>
      <c r="BCB27" s="44"/>
      <c r="BCC27" s="44"/>
      <c r="BCD27" s="44"/>
      <c r="BCE27" s="44"/>
      <c r="BCF27" s="44"/>
      <c r="BCG27" s="44"/>
      <c r="BCH27" s="44"/>
      <c r="BCI27" s="44"/>
      <c r="BCJ27" s="44"/>
      <c r="BCK27" s="44"/>
      <c r="BCL27" s="44"/>
      <c r="BCM27" s="43"/>
      <c r="BCN27" s="44"/>
      <c r="BCO27" s="44"/>
      <c r="BCP27" s="44"/>
      <c r="BCQ27" s="44"/>
      <c r="BCR27" s="44"/>
      <c r="BCS27" s="44"/>
      <c r="BCT27" s="44"/>
      <c r="BCU27" s="44"/>
      <c r="BCV27" s="44"/>
      <c r="BCW27" s="44"/>
      <c r="BCX27" s="44"/>
      <c r="BCY27" s="44"/>
      <c r="BCZ27" s="44"/>
      <c r="BDA27" s="44"/>
      <c r="BDB27" s="43"/>
      <c r="BDC27" s="44"/>
      <c r="BDD27" s="44"/>
      <c r="BDE27" s="44"/>
      <c r="BDF27" s="44"/>
      <c r="BDG27" s="44"/>
      <c r="BDH27" s="44"/>
      <c r="BDI27" s="44"/>
      <c r="BDJ27" s="44"/>
      <c r="BDK27" s="44"/>
      <c r="BDL27" s="44"/>
      <c r="BDM27" s="44"/>
      <c r="BDN27" s="44"/>
      <c r="BDO27" s="44"/>
      <c r="BDP27" s="44"/>
      <c r="BDQ27" s="43"/>
      <c r="BDR27" s="44"/>
      <c r="BDS27" s="44"/>
      <c r="BDT27" s="44"/>
      <c r="BDU27" s="44"/>
      <c r="BDV27" s="44"/>
      <c r="BDW27" s="44"/>
      <c r="BDX27" s="44"/>
      <c r="BDY27" s="44"/>
      <c r="BDZ27" s="44"/>
      <c r="BEA27" s="44"/>
      <c r="BEB27" s="44"/>
      <c r="BEC27" s="44"/>
      <c r="BED27" s="44"/>
      <c r="BEE27" s="44"/>
      <c r="BEF27" s="43"/>
      <c r="BEG27" s="44"/>
      <c r="BEH27" s="44"/>
      <c r="BEI27" s="44"/>
      <c r="BEJ27" s="44"/>
      <c r="BEK27" s="44"/>
      <c r="BEL27" s="44"/>
      <c r="BEM27" s="44"/>
      <c r="BEN27" s="44"/>
      <c r="BEO27" s="44"/>
      <c r="BEP27" s="44"/>
      <c r="BEQ27" s="44"/>
      <c r="BER27" s="44"/>
      <c r="BES27" s="44"/>
      <c r="BET27" s="44"/>
      <c r="BEU27" s="43"/>
      <c r="BEV27" s="44"/>
      <c r="BEW27" s="44"/>
      <c r="BEX27" s="44"/>
      <c r="BEY27" s="44"/>
      <c r="BEZ27" s="44"/>
      <c r="BFA27" s="44"/>
      <c r="BFB27" s="44"/>
      <c r="BFC27" s="44"/>
      <c r="BFD27" s="44"/>
      <c r="BFE27" s="44"/>
      <c r="BFF27" s="44"/>
      <c r="BFG27" s="44"/>
      <c r="BFH27" s="44"/>
      <c r="BFI27" s="44"/>
      <c r="BFJ27" s="43"/>
      <c r="BFK27" s="44"/>
      <c r="BFL27" s="44"/>
      <c r="BFM27" s="44"/>
      <c r="BFN27" s="44"/>
      <c r="BFO27" s="44"/>
      <c r="BFP27" s="44"/>
      <c r="BFQ27" s="44"/>
      <c r="BFR27" s="44"/>
      <c r="BFS27" s="44"/>
      <c r="BFT27" s="44"/>
      <c r="BFU27" s="44"/>
      <c r="BFV27" s="44"/>
      <c r="BFW27" s="44"/>
      <c r="BFX27" s="44"/>
      <c r="BFY27" s="43"/>
      <c r="BFZ27" s="44"/>
      <c r="BGA27" s="44"/>
      <c r="BGB27" s="44"/>
      <c r="BGC27" s="44"/>
      <c r="BGD27" s="44"/>
      <c r="BGE27" s="44"/>
      <c r="BGF27" s="44"/>
      <c r="BGG27" s="44"/>
      <c r="BGH27" s="44"/>
      <c r="BGI27" s="44"/>
      <c r="BGJ27" s="44"/>
      <c r="BGK27" s="44"/>
      <c r="BGL27" s="44"/>
      <c r="BGM27" s="44"/>
      <c r="BGN27" s="43"/>
      <c r="BGO27" s="44"/>
      <c r="BGP27" s="44"/>
      <c r="BGQ27" s="44"/>
      <c r="BGR27" s="44"/>
      <c r="BGS27" s="44"/>
      <c r="BGT27" s="44"/>
      <c r="BGU27" s="44"/>
      <c r="BGV27" s="44"/>
      <c r="BGW27" s="44"/>
      <c r="BGX27" s="44"/>
      <c r="BGY27" s="44"/>
      <c r="BGZ27" s="44"/>
      <c r="BHA27" s="44"/>
      <c r="BHB27" s="44"/>
      <c r="BHC27" s="43"/>
      <c r="BHD27" s="44"/>
      <c r="BHE27" s="44"/>
      <c r="BHF27" s="44"/>
      <c r="BHG27" s="44"/>
      <c r="BHH27" s="44"/>
      <c r="BHI27" s="44"/>
      <c r="BHJ27" s="44"/>
      <c r="BHK27" s="44"/>
      <c r="BHL27" s="44"/>
      <c r="BHM27" s="44"/>
      <c r="BHN27" s="44"/>
      <c r="BHO27" s="44"/>
      <c r="BHP27" s="44"/>
      <c r="BHQ27" s="44"/>
      <c r="BHR27" s="43"/>
      <c r="BHS27" s="44"/>
      <c r="BHT27" s="44"/>
      <c r="BHU27" s="44"/>
      <c r="BHV27" s="44"/>
      <c r="BHW27" s="44"/>
      <c r="BHX27" s="44"/>
      <c r="BHY27" s="44"/>
      <c r="BHZ27" s="44"/>
      <c r="BIA27" s="44"/>
      <c r="BIB27" s="44"/>
      <c r="BIC27" s="44"/>
      <c r="BID27" s="44"/>
      <c r="BIE27" s="44"/>
      <c r="BIF27" s="44"/>
      <c r="BIG27" s="43"/>
      <c r="BIH27" s="44"/>
      <c r="BII27" s="44"/>
      <c r="BIJ27" s="44"/>
      <c r="BIK27" s="44"/>
      <c r="BIL27" s="44"/>
      <c r="BIM27" s="44"/>
      <c r="BIN27" s="44"/>
      <c r="BIO27" s="44"/>
      <c r="BIP27" s="44"/>
      <c r="BIQ27" s="44"/>
      <c r="BIR27" s="44"/>
      <c r="BIS27" s="44"/>
      <c r="BIT27" s="44"/>
      <c r="BIU27" s="44"/>
      <c r="BIV27" s="43"/>
      <c r="BIW27" s="44"/>
      <c r="BIX27" s="44"/>
      <c r="BIY27" s="44"/>
      <c r="BIZ27" s="44"/>
      <c r="BJA27" s="44"/>
      <c r="BJB27" s="44"/>
      <c r="BJC27" s="44"/>
      <c r="BJD27" s="44"/>
      <c r="BJE27" s="44"/>
      <c r="BJF27" s="44"/>
      <c r="BJG27" s="44"/>
      <c r="BJH27" s="44"/>
      <c r="BJI27" s="44"/>
      <c r="BJJ27" s="44"/>
      <c r="BJK27" s="43"/>
      <c r="BJL27" s="44"/>
      <c r="BJM27" s="44"/>
      <c r="BJN27" s="44"/>
      <c r="BJO27" s="44"/>
      <c r="BJP27" s="44"/>
      <c r="BJQ27" s="44"/>
      <c r="BJR27" s="44"/>
      <c r="BJS27" s="44"/>
      <c r="BJT27" s="44"/>
      <c r="BJU27" s="44"/>
      <c r="BJV27" s="44"/>
      <c r="BJW27" s="44"/>
      <c r="BJX27" s="44"/>
      <c r="BJY27" s="44"/>
      <c r="BJZ27" s="43"/>
      <c r="BKA27" s="44"/>
      <c r="BKB27" s="44"/>
      <c r="BKC27" s="44"/>
      <c r="BKD27" s="44"/>
      <c r="BKE27" s="44"/>
      <c r="BKF27" s="44"/>
      <c r="BKG27" s="44"/>
      <c r="BKH27" s="44"/>
      <c r="BKI27" s="44"/>
      <c r="BKJ27" s="44"/>
      <c r="BKK27" s="44"/>
      <c r="BKL27" s="44"/>
      <c r="BKM27" s="44"/>
      <c r="BKN27" s="44"/>
      <c r="BKO27" s="43"/>
      <c r="BKP27" s="44"/>
      <c r="BKQ27" s="44"/>
      <c r="BKR27" s="44"/>
      <c r="BKS27" s="44"/>
      <c r="BKT27" s="44"/>
      <c r="BKU27" s="44"/>
      <c r="BKV27" s="44"/>
      <c r="BKW27" s="44"/>
      <c r="BKX27" s="44"/>
      <c r="BKY27" s="44"/>
      <c r="BKZ27" s="44"/>
      <c r="BLA27" s="44"/>
      <c r="BLB27" s="44"/>
      <c r="BLC27" s="44"/>
      <c r="BLD27" s="43"/>
      <c r="BLE27" s="44"/>
      <c r="BLF27" s="44"/>
      <c r="BLG27" s="44"/>
      <c r="BLH27" s="44"/>
      <c r="BLI27" s="44"/>
      <c r="BLJ27" s="44"/>
      <c r="BLK27" s="44"/>
      <c r="BLL27" s="44"/>
      <c r="BLM27" s="44"/>
      <c r="BLN27" s="44"/>
      <c r="BLO27" s="44"/>
      <c r="BLP27" s="44"/>
      <c r="BLQ27" s="44"/>
      <c r="BLR27" s="44"/>
      <c r="BLS27" s="43"/>
      <c r="BLT27" s="44"/>
      <c r="BLU27" s="44"/>
      <c r="BLV27" s="44"/>
      <c r="BLW27" s="44"/>
      <c r="BLX27" s="44"/>
      <c r="BLY27" s="44"/>
      <c r="BLZ27" s="44"/>
      <c r="BMA27" s="44"/>
      <c r="BMB27" s="44"/>
      <c r="BMC27" s="44"/>
      <c r="BMD27" s="44"/>
      <c r="BME27" s="44"/>
      <c r="BMF27" s="44"/>
      <c r="BMG27" s="44"/>
      <c r="BMH27" s="43"/>
      <c r="BMI27" s="44"/>
      <c r="BMJ27" s="44"/>
      <c r="BMK27" s="44"/>
      <c r="BML27" s="44"/>
      <c r="BMM27" s="44"/>
      <c r="BMN27" s="44"/>
      <c r="BMO27" s="44"/>
      <c r="BMP27" s="44"/>
      <c r="BMQ27" s="44"/>
      <c r="BMR27" s="44"/>
      <c r="BMS27" s="44"/>
      <c r="BMT27" s="44"/>
      <c r="BMU27" s="44"/>
      <c r="BMV27" s="44"/>
      <c r="BMW27" s="43"/>
      <c r="BMX27" s="44"/>
      <c r="BMY27" s="44"/>
      <c r="BMZ27" s="44"/>
      <c r="BNA27" s="44"/>
      <c r="BNB27" s="44"/>
      <c r="BNC27" s="44"/>
      <c r="BND27" s="44"/>
      <c r="BNE27" s="44"/>
      <c r="BNF27" s="44"/>
      <c r="BNG27" s="44"/>
      <c r="BNH27" s="44"/>
      <c r="BNI27" s="44"/>
      <c r="BNJ27" s="44"/>
      <c r="BNK27" s="44"/>
      <c r="BNL27" s="43"/>
      <c r="BNM27" s="44"/>
      <c r="BNN27" s="44"/>
      <c r="BNO27" s="44"/>
      <c r="BNP27" s="44"/>
      <c r="BNQ27" s="44"/>
      <c r="BNR27" s="44"/>
      <c r="BNS27" s="44"/>
      <c r="BNT27" s="44"/>
      <c r="BNU27" s="44"/>
      <c r="BNV27" s="44"/>
      <c r="BNW27" s="44"/>
      <c r="BNX27" s="44"/>
      <c r="BNY27" s="44"/>
      <c r="BNZ27" s="44"/>
      <c r="BOA27" s="43"/>
      <c r="BOB27" s="44"/>
      <c r="BOC27" s="44"/>
      <c r="BOD27" s="44"/>
      <c r="BOE27" s="44"/>
      <c r="BOF27" s="44"/>
      <c r="BOG27" s="44"/>
      <c r="BOH27" s="44"/>
      <c r="BOI27" s="44"/>
      <c r="BOJ27" s="44"/>
      <c r="BOK27" s="44"/>
      <c r="BOL27" s="44"/>
      <c r="BOM27" s="44"/>
      <c r="BON27" s="44"/>
      <c r="BOO27" s="44"/>
      <c r="BOP27" s="43"/>
      <c r="BOQ27" s="44"/>
      <c r="BOR27" s="44"/>
      <c r="BOS27" s="44"/>
      <c r="BOT27" s="44"/>
      <c r="BOU27" s="44"/>
      <c r="BOV27" s="44"/>
      <c r="BOW27" s="44"/>
      <c r="BOX27" s="44"/>
      <c r="BOY27" s="44"/>
      <c r="BOZ27" s="44"/>
      <c r="BPA27" s="44"/>
      <c r="BPB27" s="44"/>
      <c r="BPC27" s="44"/>
      <c r="BPD27" s="44"/>
      <c r="BPE27" s="43"/>
      <c r="BPF27" s="44"/>
      <c r="BPG27" s="44"/>
      <c r="BPH27" s="44"/>
      <c r="BPI27" s="44"/>
      <c r="BPJ27" s="44"/>
      <c r="BPK27" s="44"/>
      <c r="BPL27" s="44"/>
      <c r="BPM27" s="44"/>
      <c r="BPN27" s="44"/>
      <c r="BPO27" s="44"/>
      <c r="BPP27" s="44"/>
      <c r="BPQ27" s="44"/>
      <c r="BPR27" s="44"/>
      <c r="BPS27" s="44"/>
      <c r="BPT27" s="43"/>
      <c r="BPU27" s="44"/>
      <c r="BPV27" s="44"/>
      <c r="BPW27" s="44"/>
      <c r="BPX27" s="44"/>
      <c r="BPY27" s="44"/>
      <c r="BPZ27" s="44"/>
      <c r="BQA27" s="44"/>
      <c r="BQB27" s="44"/>
      <c r="BQC27" s="44"/>
      <c r="BQD27" s="44"/>
      <c r="BQE27" s="44"/>
      <c r="BQF27" s="44"/>
      <c r="BQG27" s="44"/>
      <c r="BQH27" s="44"/>
      <c r="BQI27" s="43"/>
      <c r="BQJ27" s="44"/>
      <c r="BQK27" s="44"/>
      <c r="BQL27" s="44"/>
      <c r="BQM27" s="44"/>
      <c r="BQN27" s="44"/>
      <c r="BQO27" s="44"/>
      <c r="BQP27" s="44"/>
      <c r="BQQ27" s="44"/>
      <c r="BQR27" s="44"/>
      <c r="BQS27" s="44"/>
      <c r="BQT27" s="44"/>
      <c r="BQU27" s="44"/>
      <c r="BQV27" s="44"/>
      <c r="BQW27" s="44"/>
      <c r="BQX27" s="43"/>
      <c r="BQY27" s="44"/>
      <c r="BQZ27" s="44"/>
      <c r="BRA27" s="44"/>
      <c r="BRB27" s="44"/>
      <c r="BRC27" s="44"/>
      <c r="BRD27" s="44"/>
      <c r="BRE27" s="44"/>
      <c r="BRF27" s="44"/>
      <c r="BRG27" s="44"/>
      <c r="BRH27" s="44"/>
      <c r="BRI27" s="44"/>
      <c r="BRJ27" s="44"/>
      <c r="BRK27" s="44"/>
      <c r="BRL27" s="44"/>
      <c r="BRM27" s="43"/>
      <c r="BRN27" s="44"/>
      <c r="BRO27" s="44"/>
      <c r="BRP27" s="44"/>
      <c r="BRQ27" s="44"/>
      <c r="BRR27" s="44"/>
      <c r="BRS27" s="44"/>
      <c r="BRT27" s="44"/>
      <c r="BRU27" s="44"/>
      <c r="BRV27" s="44"/>
      <c r="BRW27" s="44"/>
      <c r="BRX27" s="44"/>
      <c r="BRY27" s="44"/>
      <c r="BRZ27" s="44"/>
      <c r="BSA27" s="44"/>
      <c r="BSB27" s="43"/>
      <c r="BSC27" s="44"/>
      <c r="BSD27" s="44"/>
      <c r="BSE27" s="44"/>
      <c r="BSF27" s="44"/>
      <c r="BSG27" s="44"/>
      <c r="BSH27" s="44"/>
      <c r="BSI27" s="44"/>
      <c r="BSJ27" s="44"/>
      <c r="BSK27" s="44"/>
      <c r="BSL27" s="44"/>
      <c r="BSM27" s="44"/>
      <c r="BSN27" s="44"/>
      <c r="BSO27" s="44"/>
      <c r="BSP27" s="44"/>
      <c r="BSQ27" s="43"/>
      <c r="BSR27" s="44"/>
      <c r="BSS27" s="44"/>
      <c r="BST27" s="44"/>
      <c r="BSU27" s="44"/>
      <c r="BSV27" s="44"/>
      <c r="BSW27" s="44"/>
      <c r="BSX27" s="44"/>
      <c r="BSY27" s="44"/>
      <c r="BSZ27" s="44"/>
      <c r="BTA27" s="44"/>
      <c r="BTB27" s="44"/>
      <c r="BTC27" s="44"/>
      <c r="BTD27" s="44"/>
      <c r="BTE27" s="44"/>
      <c r="BTF27" s="43"/>
      <c r="BTG27" s="44"/>
      <c r="BTH27" s="44"/>
      <c r="BTI27" s="44"/>
      <c r="BTJ27" s="44"/>
      <c r="BTK27" s="44"/>
      <c r="BTL27" s="44"/>
      <c r="BTM27" s="44"/>
      <c r="BTN27" s="44"/>
      <c r="BTO27" s="44"/>
      <c r="BTP27" s="44"/>
      <c r="BTQ27" s="44"/>
      <c r="BTR27" s="44"/>
      <c r="BTS27" s="44"/>
      <c r="BTT27" s="44"/>
      <c r="BTU27" s="43"/>
      <c r="BTV27" s="44"/>
      <c r="BTW27" s="44"/>
      <c r="BTX27" s="44"/>
      <c r="BTY27" s="44"/>
      <c r="BTZ27" s="44"/>
      <c r="BUA27" s="44"/>
      <c r="BUB27" s="44"/>
      <c r="BUC27" s="44"/>
      <c r="BUD27" s="44"/>
      <c r="BUE27" s="44"/>
      <c r="BUF27" s="44"/>
      <c r="BUG27" s="44"/>
      <c r="BUH27" s="44"/>
      <c r="BUI27" s="44"/>
      <c r="BUJ27" s="43"/>
      <c r="BUK27" s="44"/>
      <c r="BUL27" s="44"/>
      <c r="BUM27" s="44"/>
      <c r="BUN27" s="44"/>
      <c r="BUO27" s="44"/>
      <c r="BUP27" s="44"/>
      <c r="BUQ27" s="44"/>
      <c r="BUR27" s="44"/>
      <c r="BUS27" s="44"/>
      <c r="BUT27" s="44"/>
      <c r="BUU27" s="44"/>
      <c r="BUV27" s="44"/>
      <c r="BUW27" s="44"/>
      <c r="BUX27" s="44"/>
      <c r="BUY27" s="43"/>
      <c r="BUZ27" s="44"/>
      <c r="BVA27" s="44"/>
      <c r="BVB27" s="44"/>
      <c r="BVC27" s="44"/>
      <c r="BVD27" s="44"/>
      <c r="BVE27" s="44"/>
      <c r="BVF27" s="44"/>
      <c r="BVG27" s="44"/>
      <c r="BVH27" s="44"/>
      <c r="BVI27" s="44"/>
      <c r="BVJ27" s="44"/>
      <c r="BVK27" s="44"/>
      <c r="BVL27" s="44"/>
      <c r="BVM27" s="44"/>
      <c r="BVN27" s="43"/>
      <c r="BVO27" s="44"/>
      <c r="BVP27" s="44"/>
      <c r="BVQ27" s="44"/>
      <c r="BVR27" s="44"/>
      <c r="BVS27" s="44"/>
      <c r="BVT27" s="44"/>
      <c r="BVU27" s="44"/>
      <c r="BVV27" s="44"/>
      <c r="BVW27" s="44"/>
      <c r="BVX27" s="44"/>
      <c r="BVY27" s="44"/>
      <c r="BVZ27" s="44"/>
      <c r="BWA27" s="44"/>
      <c r="BWB27" s="44"/>
      <c r="BWC27" s="43"/>
      <c r="BWD27" s="44"/>
      <c r="BWE27" s="44"/>
      <c r="BWF27" s="44"/>
      <c r="BWG27" s="44"/>
      <c r="BWH27" s="44"/>
      <c r="BWI27" s="44"/>
      <c r="BWJ27" s="44"/>
      <c r="BWK27" s="44"/>
      <c r="BWL27" s="44"/>
      <c r="BWM27" s="44"/>
      <c r="BWN27" s="44"/>
      <c r="BWO27" s="44"/>
      <c r="BWP27" s="44"/>
      <c r="BWQ27" s="44"/>
      <c r="BWR27" s="43"/>
      <c r="BWS27" s="44"/>
      <c r="BWT27" s="44"/>
      <c r="BWU27" s="44"/>
      <c r="BWV27" s="44"/>
      <c r="BWW27" s="44"/>
      <c r="BWX27" s="44"/>
      <c r="BWY27" s="44"/>
      <c r="BWZ27" s="44"/>
      <c r="BXA27" s="44"/>
      <c r="BXB27" s="44"/>
      <c r="BXC27" s="44"/>
      <c r="BXD27" s="44"/>
      <c r="BXE27" s="44"/>
      <c r="BXF27" s="44"/>
      <c r="BXG27" s="43"/>
      <c r="BXH27" s="44"/>
      <c r="BXI27" s="44"/>
      <c r="BXJ27" s="44"/>
      <c r="BXK27" s="44"/>
      <c r="BXL27" s="44"/>
      <c r="BXM27" s="44"/>
      <c r="BXN27" s="44"/>
      <c r="BXO27" s="44"/>
      <c r="BXP27" s="44"/>
      <c r="BXQ27" s="44"/>
      <c r="BXR27" s="44"/>
      <c r="BXS27" s="44"/>
      <c r="BXT27" s="44"/>
      <c r="BXU27" s="44"/>
      <c r="BXV27" s="43"/>
      <c r="BXW27" s="44"/>
      <c r="BXX27" s="44"/>
      <c r="BXY27" s="44"/>
      <c r="BXZ27" s="44"/>
      <c r="BYA27" s="44"/>
      <c r="BYB27" s="44"/>
      <c r="BYC27" s="44"/>
      <c r="BYD27" s="44"/>
      <c r="BYE27" s="44"/>
      <c r="BYF27" s="44"/>
      <c r="BYG27" s="44"/>
      <c r="BYH27" s="44"/>
      <c r="BYI27" s="44"/>
      <c r="BYJ27" s="44"/>
      <c r="BYK27" s="43"/>
      <c r="BYL27" s="44"/>
      <c r="BYM27" s="44"/>
      <c r="BYN27" s="44"/>
      <c r="BYO27" s="44"/>
      <c r="BYP27" s="44"/>
      <c r="BYQ27" s="44"/>
      <c r="BYR27" s="44"/>
      <c r="BYS27" s="44"/>
      <c r="BYT27" s="44"/>
      <c r="BYU27" s="44"/>
      <c r="BYV27" s="44"/>
      <c r="BYW27" s="44"/>
      <c r="BYX27" s="44"/>
      <c r="BYY27" s="44"/>
      <c r="BYZ27" s="43"/>
      <c r="BZA27" s="44"/>
      <c r="BZB27" s="44"/>
      <c r="BZC27" s="44"/>
      <c r="BZD27" s="44"/>
      <c r="BZE27" s="44"/>
      <c r="BZF27" s="44"/>
      <c r="BZG27" s="44"/>
      <c r="BZH27" s="44"/>
      <c r="BZI27" s="44"/>
      <c r="BZJ27" s="44"/>
      <c r="BZK27" s="44"/>
      <c r="BZL27" s="44"/>
      <c r="BZM27" s="44"/>
      <c r="BZN27" s="44"/>
      <c r="BZO27" s="43"/>
      <c r="BZP27" s="44"/>
      <c r="BZQ27" s="44"/>
      <c r="BZR27" s="44"/>
      <c r="BZS27" s="44"/>
      <c r="BZT27" s="44"/>
      <c r="BZU27" s="44"/>
      <c r="BZV27" s="44"/>
      <c r="BZW27" s="44"/>
      <c r="BZX27" s="44"/>
      <c r="BZY27" s="44"/>
      <c r="BZZ27" s="44"/>
      <c r="CAA27" s="44"/>
      <c r="CAB27" s="44"/>
      <c r="CAC27" s="44"/>
      <c r="CAD27" s="43"/>
      <c r="CAE27" s="44"/>
      <c r="CAF27" s="44"/>
      <c r="CAG27" s="44"/>
      <c r="CAH27" s="44"/>
      <c r="CAI27" s="44"/>
      <c r="CAJ27" s="44"/>
      <c r="CAK27" s="44"/>
      <c r="CAL27" s="44"/>
      <c r="CAM27" s="44"/>
      <c r="CAN27" s="44"/>
      <c r="CAO27" s="44"/>
      <c r="CAP27" s="44"/>
      <c r="CAQ27" s="44"/>
      <c r="CAR27" s="44"/>
      <c r="CAS27" s="43"/>
      <c r="CAT27" s="44"/>
      <c r="CAU27" s="44"/>
      <c r="CAV27" s="44"/>
      <c r="CAW27" s="44"/>
      <c r="CAX27" s="44"/>
      <c r="CAY27" s="44"/>
      <c r="CAZ27" s="44"/>
      <c r="CBA27" s="44"/>
      <c r="CBB27" s="44"/>
      <c r="CBC27" s="44"/>
      <c r="CBD27" s="44"/>
      <c r="CBE27" s="44"/>
      <c r="CBF27" s="44"/>
      <c r="CBG27" s="44"/>
      <c r="CBH27" s="43"/>
      <c r="CBI27" s="44"/>
      <c r="CBJ27" s="44"/>
      <c r="CBK27" s="44"/>
      <c r="CBL27" s="44"/>
      <c r="CBM27" s="44"/>
      <c r="CBN27" s="44"/>
      <c r="CBO27" s="44"/>
      <c r="CBP27" s="44"/>
      <c r="CBQ27" s="44"/>
      <c r="CBR27" s="44"/>
      <c r="CBS27" s="44"/>
      <c r="CBT27" s="44"/>
      <c r="CBU27" s="44"/>
      <c r="CBV27" s="44"/>
      <c r="CBW27" s="43"/>
      <c r="CBX27" s="44"/>
      <c r="CBY27" s="44"/>
      <c r="CBZ27" s="44"/>
      <c r="CCA27" s="44"/>
      <c r="CCB27" s="44"/>
      <c r="CCC27" s="44"/>
      <c r="CCD27" s="44"/>
      <c r="CCE27" s="44"/>
      <c r="CCF27" s="44"/>
      <c r="CCG27" s="44"/>
      <c r="CCH27" s="44"/>
      <c r="CCI27" s="44"/>
      <c r="CCJ27" s="44"/>
      <c r="CCK27" s="44"/>
      <c r="CCL27" s="43"/>
      <c r="CCM27" s="44"/>
      <c r="CCN27" s="44"/>
      <c r="CCO27" s="44"/>
      <c r="CCP27" s="44"/>
      <c r="CCQ27" s="44"/>
      <c r="CCR27" s="44"/>
      <c r="CCS27" s="44"/>
      <c r="CCT27" s="44"/>
      <c r="CCU27" s="44"/>
      <c r="CCV27" s="44"/>
      <c r="CCW27" s="44"/>
      <c r="CCX27" s="44"/>
      <c r="CCY27" s="44"/>
      <c r="CCZ27" s="44"/>
      <c r="CDA27" s="43"/>
      <c r="CDB27" s="44"/>
      <c r="CDC27" s="44"/>
      <c r="CDD27" s="44"/>
      <c r="CDE27" s="44"/>
      <c r="CDF27" s="44"/>
      <c r="CDG27" s="44"/>
      <c r="CDH27" s="44"/>
      <c r="CDI27" s="44"/>
      <c r="CDJ27" s="44"/>
      <c r="CDK27" s="44"/>
      <c r="CDL27" s="44"/>
      <c r="CDM27" s="44"/>
      <c r="CDN27" s="44"/>
      <c r="CDO27" s="44"/>
      <c r="CDP27" s="43"/>
      <c r="CDQ27" s="44"/>
      <c r="CDR27" s="44"/>
      <c r="CDS27" s="44"/>
      <c r="CDT27" s="44"/>
      <c r="CDU27" s="44"/>
      <c r="CDV27" s="44"/>
      <c r="CDW27" s="44"/>
      <c r="CDX27" s="44"/>
      <c r="CDY27" s="44"/>
      <c r="CDZ27" s="44"/>
      <c r="CEA27" s="44"/>
      <c r="CEB27" s="44"/>
      <c r="CEC27" s="44"/>
      <c r="CED27" s="44"/>
      <c r="CEE27" s="43"/>
      <c r="CEF27" s="44"/>
      <c r="CEG27" s="44"/>
      <c r="CEH27" s="44"/>
      <c r="CEI27" s="44"/>
      <c r="CEJ27" s="44"/>
      <c r="CEK27" s="44"/>
      <c r="CEL27" s="44"/>
      <c r="CEM27" s="44"/>
      <c r="CEN27" s="44"/>
      <c r="CEO27" s="44"/>
      <c r="CEP27" s="44"/>
      <c r="CEQ27" s="44"/>
      <c r="CER27" s="44"/>
      <c r="CES27" s="44"/>
      <c r="CET27" s="43"/>
      <c r="CEU27" s="44"/>
      <c r="CEV27" s="44"/>
      <c r="CEW27" s="44"/>
      <c r="CEX27" s="44"/>
      <c r="CEY27" s="44"/>
      <c r="CEZ27" s="44"/>
      <c r="CFA27" s="44"/>
      <c r="CFB27" s="44"/>
      <c r="CFC27" s="44"/>
      <c r="CFD27" s="44"/>
      <c r="CFE27" s="44"/>
      <c r="CFF27" s="44"/>
      <c r="CFG27" s="44"/>
      <c r="CFH27" s="44"/>
      <c r="CFI27" s="43"/>
      <c r="CFJ27" s="44"/>
      <c r="CFK27" s="44"/>
      <c r="CFL27" s="44"/>
      <c r="CFM27" s="44"/>
      <c r="CFN27" s="44"/>
      <c r="CFO27" s="44"/>
      <c r="CFP27" s="44"/>
      <c r="CFQ27" s="44"/>
      <c r="CFR27" s="44"/>
      <c r="CFS27" s="44"/>
      <c r="CFT27" s="44"/>
      <c r="CFU27" s="44"/>
      <c r="CFV27" s="44"/>
      <c r="CFW27" s="44"/>
      <c r="CFX27" s="43"/>
      <c r="CFY27" s="44"/>
      <c r="CFZ27" s="44"/>
      <c r="CGA27" s="44"/>
      <c r="CGB27" s="44"/>
      <c r="CGC27" s="44"/>
      <c r="CGD27" s="44"/>
      <c r="CGE27" s="44"/>
      <c r="CGF27" s="44"/>
      <c r="CGG27" s="44"/>
      <c r="CGH27" s="44"/>
      <c r="CGI27" s="44"/>
      <c r="CGJ27" s="44"/>
      <c r="CGK27" s="44"/>
      <c r="CGL27" s="44"/>
      <c r="CGM27" s="43"/>
      <c r="CGN27" s="44"/>
      <c r="CGO27" s="44"/>
      <c r="CGP27" s="44"/>
      <c r="CGQ27" s="44"/>
      <c r="CGR27" s="44"/>
      <c r="CGS27" s="44"/>
      <c r="CGT27" s="44"/>
      <c r="CGU27" s="44"/>
      <c r="CGV27" s="44"/>
      <c r="CGW27" s="44"/>
      <c r="CGX27" s="44"/>
      <c r="CGY27" s="44"/>
      <c r="CGZ27" s="44"/>
      <c r="CHA27" s="44"/>
      <c r="CHB27" s="43"/>
      <c r="CHC27" s="44"/>
      <c r="CHD27" s="44"/>
      <c r="CHE27" s="44"/>
      <c r="CHF27" s="44"/>
      <c r="CHG27" s="44"/>
      <c r="CHH27" s="44"/>
      <c r="CHI27" s="44"/>
      <c r="CHJ27" s="44"/>
      <c r="CHK27" s="44"/>
      <c r="CHL27" s="44"/>
      <c r="CHM27" s="44"/>
      <c r="CHN27" s="44"/>
      <c r="CHO27" s="44"/>
      <c r="CHP27" s="44"/>
      <c r="CHQ27" s="43"/>
      <c r="CHR27" s="44"/>
      <c r="CHS27" s="44"/>
      <c r="CHT27" s="44"/>
      <c r="CHU27" s="44"/>
      <c r="CHV27" s="44"/>
      <c r="CHW27" s="44"/>
      <c r="CHX27" s="44"/>
      <c r="CHY27" s="44"/>
      <c r="CHZ27" s="44"/>
      <c r="CIA27" s="44"/>
      <c r="CIB27" s="44"/>
      <c r="CIC27" s="44"/>
      <c r="CID27" s="44"/>
      <c r="CIE27" s="44"/>
      <c r="CIF27" s="43"/>
      <c r="CIG27" s="44"/>
      <c r="CIH27" s="44"/>
      <c r="CII27" s="44"/>
      <c r="CIJ27" s="44"/>
      <c r="CIK27" s="44"/>
      <c r="CIL27" s="44"/>
      <c r="CIM27" s="44"/>
      <c r="CIN27" s="44"/>
      <c r="CIO27" s="44"/>
      <c r="CIP27" s="44"/>
      <c r="CIQ27" s="44"/>
      <c r="CIR27" s="44"/>
      <c r="CIS27" s="44"/>
      <c r="CIT27" s="44"/>
      <c r="CIU27" s="43"/>
      <c r="CIV27" s="44"/>
      <c r="CIW27" s="44"/>
      <c r="CIX27" s="44"/>
      <c r="CIY27" s="44"/>
      <c r="CIZ27" s="44"/>
      <c r="CJA27" s="44"/>
      <c r="CJB27" s="44"/>
      <c r="CJC27" s="44"/>
      <c r="CJD27" s="44"/>
      <c r="CJE27" s="44"/>
      <c r="CJF27" s="44"/>
      <c r="CJG27" s="44"/>
      <c r="CJH27" s="44"/>
      <c r="CJI27" s="44"/>
      <c r="CJJ27" s="43"/>
      <c r="CJK27" s="44"/>
      <c r="CJL27" s="44"/>
      <c r="CJM27" s="44"/>
      <c r="CJN27" s="44"/>
      <c r="CJO27" s="44"/>
      <c r="CJP27" s="44"/>
      <c r="CJQ27" s="44"/>
      <c r="CJR27" s="44"/>
      <c r="CJS27" s="44"/>
      <c r="CJT27" s="44"/>
      <c r="CJU27" s="44"/>
      <c r="CJV27" s="44"/>
      <c r="CJW27" s="44"/>
      <c r="CJX27" s="44"/>
      <c r="CJY27" s="43"/>
      <c r="CJZ27" s="44"/>
      <c r="CKA27" s="44"/>
      <c r="CKB27" s="44"/>
      <c r="CKC27" s="44"/>
      <c r="CKD27" s="44"/>
      <c r="CKE27" s="44"/>
      <c r="CKF27" s="44"/>
      <c r="CKG27" s="44"/>
      <c r="CKH27" s="44"/>
      <c r="CKI27" s="44"/>
      <c r="CKJ27" s="44"/>
      <c r="CKK27" s="44"/>
      <c r="CKL27" s="44"/>
      <c r="CKM27" s="44"/>
      <c r="CKN27" s="43"/>
      <c r="CKO27" s="44"/>
      <c r="CKP27" s="44"/>
      <c r="CKQ27" s="44"/>
      <c r="CKR27" s="44"/>
      <c r="CKS27" s="44"/>
      <c r="CKT27" s="44"/>
      <c r="CKU27" s="44"/>
      <c r="CKV27" s="44"/>
      <c r="CKW27" s="44"/>
      <c r="CKX27" s="44"/>
      <c r="CKY27" s="44"/>
      <c r="CKZ27" s="44"/>
      <c r="CLA27" s="44"/>
      <c r="CLB27" s="44"/>
      <c r="CLC27" s="43"/>
      <c r="CLD27" s="44"/>
      <c r="CLE27" s="44"/>
      <c r="CLF27" s="44"/>
      <c r="CLG27" s="44"/>
      <c r="CLH27" s="44"/>
      <c r="CLI27" s="44"/>
      <c r="CLJ27" s="44"/>
      <c r="CLK27" s="44"/>
      <c r="CLL27" s="44"/>
      <c r="CLM27" s="44"/>
      <c r="CLN27" s="44"/>
      <c r="CLO27" s="44"/>
      <c r="CLP27" s="44"/>
      <c r="CLQ27" s="44"/>
      <c r="CLR27" s="43"/>
      <c r="CLS27" s="44"/>
      <c r="CLT27" s="44"/>
      <c r="CLU27" s="44"/>
      <c r="CLV27" s="44"/>
      <c r="CLW27" s="44"/>
      <c r="CLX27" s="44"/>
      <c r="CLY27" s="44"/>
      <c r="CLZ27" s="44"/>
      <c r="CMA27" s="44"/>
      <c r="CMB27" s="44"/>
      <c r="CMC27" s="44"/>
      <c r="CMD27" s="44"/>
      <c r="CME27" s="44"/>
      <c r="CMF27" s="44"/>
      <c r="CMG27" s="43"/>
      <c r="CMH27" s="44"/>
      <c r="CMI27" s="44"/>
      <c r="CMJ27" s="44"/>
      <c r="CMK27" s="44"/>
      <c r="CML27" s="44"/>
      <c r="CMM27" s="44"/>
      <c r="CMN27" s="44"/>
      <c r="CMO27" s="44"/>
      <c r="CMP27" s="44"/>
      <c r="CMQ27" s="44"/>
      <c r="CMR27" s="44"/>
      <c r="CMS27" s="44"/>
      <c r="CMT27" s="44"/>
      <c r="CMU27" s="44"/>
      <c r="CMV27" s="43"/>
      <c r="CMW27" s="44"/>
      <c r="CMX27" s="44"/>
      <c r="CMY27" s="44"/>
      <c r="CMZ27" s="44"/>
      <c r="CNA27" s="44"/>
      <c r="CNB27" s="44"/>
      <c r="CNC27" s="44"/>
      <c r="CND27" s="44"/>
      <c r="CNE27" s="44"/>
      <c r="CNF27" s="44"/>
      <c r="CNG27" s="44"/>
      <c r="CNH27" s="44"/>
      <c r="CNI27" s="44"/>
      <c r="CNJ27" s="44"/>
      <c r="CNK27" s="43"/>
      <c r="CNL27" s="44"/>
      <c r="CNM27" s="44"/>
      <c r="CNN27" s="44"/>
      <c r="CNO27" s="44"/>
      <c r="CNP27" s="44"/>
      <c r="CNQ27" s="44"/>
      <c r="CNR27" s="44"/>
      <c r="CNS27" s="44"/>
      <c r="CNT27" s="44"/>
      <c r="CNU27" s="44"/>
      <c r="CNV27" s="44"/>
      <c r="CNW27" s="44"/>
      <c r="CNX27" s="44"/>
      <c r="CNY27" s="44"/>
      <c r="CNZ27" s="43"/>
      <c r="COA27" s="44"/>
      <c r="COB27" s="44"/>
      <c r="COC27" s="44"/>
      <c r="COD27" s="44"/>
      <c r="COE27" s="44"/>
      <c r="COF27" s="44"/>
      <c r="COG27" s="44"/>
      <c r="COH27" s="44"/>
      <c r="COI27" s="44"/>
      <c r="COJ27" s="44"/>
      <c r="COK27" s="44"/>
      <c r="COL27" s="44"/>
      <c r="COM27" s="44"/>
      <c r="CON27" s="44"/>
      <c r="COO27" s="43"/>
      <c r="COP27" s="44"/>
      <c r="COQ27" s="44"/>
      <c r="COR27" s="44"/>
      <c r="COS27" s="44"/>
      <c r="COT27" s="44"/>
      <c r="COU27" s="44"/>
      <c r="COV27" s="44"/>
      <c r="COW27" s="44"/>
      <c r="COX27" s="44"/>
      <c r="COY27" s="44"/>
      <c r="COZ27" s="44"/>
      <c r="CPA27" s="44"/>
      <c r="CPB27" s="44"/>
      <c r="CPC27" s="44"/>
      <c r="CPD27" s="43"/>
      <c r="CPE27" s="44"/>
      <c r="CPF27" s="44"/>
      <c r="CPG27" s="44"/>
      <c r="CPH27" s="44"/>
      <c r="CPI27" s="44"/>
      <c r="CPJ27" s="44"/>
      <c r="CPK27" s="44"/>
      <c r="CPL27" s="44"/>
      <c r="CPM27" s="44"/>
      <c r="CPN27" s="44"/>
      <c r="CPO27" s="44"/>
      <c r="CPP27" s="44"/>
      <c r="CPQ27" s="44"/>
      <c r="CPR27" s="44"/>
      <c r="CPS27" s="43"/>
      <c r="CPT27" s="44"/>
      <c r="CPU27" s="44"/>
      <c r="CPV27" s="44"/>
      <c r="CPW27" s="44"/>
      <c r="CPX27" s="44"/>
      <c r="CPY27" s="44"/>
      <c r="CPZ27" s="44"/>
      <c r="CQA27" s="44"/>
      <c r="CQB27" s="44"/>
      <c r="CQC27" s="44"/>
      <c r="CQD27" s="44"/>
      <c r="CQE27" s="44"/>
      <c r="CQF27" s="44"/>
      <c r="CQG27" s="44"/>
      <c r="CQH27" s="43"/>
      <c r="CQI27" s="44"/>
      <c r="CQJ27" s="44"/>
      <c r="CQK27" s="44"/>
      <c r="CQL27" s="44"/>
      <c r="CQM27" s="44"/>
      <c r="CQN27" s="44"/>
      <c r="CQO27" s="44"/>
      <c r="CQP27" s="44"/>
      <c r="CQQ27" s="44"/>
      <c r="CQR27" s="44"/>
      <c r="CQS27" s="44"/>
      <c r="CQT27" s="44"/>
      <c r="CQU27" s="44"/>
      <c r="CQV27" s="44"/>
      <c r="CQW27" s="43"/>
      <c r="CQX27" s="44"/>
      <c r="CQY27" s="44"/>
      <c r="CQZ27" s="44"/>
      <c r="CRA27" s="44"/>
      <c r="CRB27" s="44"/>
      <c r="CRC27" s="44"/>
      <c r="CRD27" s="44"/>
      <c r="CRE27" s="44"/>
      <c r="CRF27" s="44"/>
      <c r="CRG27" s="44"/>
      <c r="CRH27" s="44"/>
      <c r="CRI27" s="44"/>
      <c r="CRJ27" s="44"/>
      <c r="CRK27" s="44"/>
      <c r="CRL27" s="43"/>
      <c r="CRM27" s="44"/>
      <c r="CRN27" s="44"/>
      <c r="CRO27" s="44"/>
      <c r="CRP27" s="44"/>
      <c r="CRQ27" s="44"/>
      <c r="CRR27" s="44"/>
      <c r="CRS27" s="44"/>
      <c r="CRT27" s="44"/>
      <c r="CRU27" s="44"/>
      <c r="CRV27" s="44"/>
      <c r="CRW27" s="44"/>
      <c r="CRX27" s="44"/>
      <c r="CRY27" s="44"/>
      <c r="CRZ27" s="44"/>
      <c r="CSA27" s="43"/>
      <c r="CSB27" s="44"/>
      <c r="CSC27" s="44"/>
      <c r="CSD27" s="44"/>
      <c r="CSE27" s="44"/>
      <c r="CSF27" s="44"/>
      <c r="CSG27" s="44"/>
      <c r="CSH27" s="44"/>
      <c r="CSI27" s="44"/>
      <c r="CSJ27" s="44"/>
      <c r="CSK27" s="44"/>
      <c r="CSL27" s="44"/>
      <c r="CSM27" s="44"/>
      <c r="CSN27" s="44"/>
      <c r="CSO27" s="44"/>
      <c r="CSP27" s="43"/>
      <c r="CSQ27" s="44"/>
      <c r="CSR27" s="44"/>
      <c r="CSS27" s="44"/>
      <c r="CST27" s="44"/>
      <c r="CSU27" s="44"/>
      <c r="CSV27" s="44"/>
      <c r="CSW27" s="44"/>
      <c r="CSX27" s="44"/>
      <c r="CSY27" s="44"/>
      <c r="CSZ27" s="44"/>
      <c r="CTA27" s="44"/>
      <c r="CTB27" s="44"/>
      <c r="CTC27" s="44"/>
      <c r="CTD27" s="44"/>
      <c r="CTE27" s="43"/>
      <c r="CTF27" s="44"/>
      <c r="CTG27" s="44"/>
      <c r="CTH27" s="44"/>
      <c r="CTI27" s="44"/>
      <c r="CTJ27" s="44"/>
      <c r="CTK27" s="44"/>
      <c r="CTL27" s="44"/>
      <c r="CTM27" s="44"/>
      <c r="CTN27" s="44"/>
      <c r="CTO27" s="44"/>
      <c r="CTP27" s="44"/>
      <c r="CTQ27" s="44"/>
      <c r="CTR27" s="44"/>
      <c r="CTS27" s="44"/>
      <c r="CTT27" s="43"/>
      <c r="CTU27" s="44"/>
      <c r="CTV27" s="44"/>
      <c r="CTW27" s="44"/>
      <c r="CTX27" s="44"/>
      <c r="CTY27" s="44"/>
      <c r="CTZ27" s="44"/>
      <c r="CUA27" s="44"/>
      <c r="CUB27" s="44"/>
      <c r="CUC27" s="44"/>
      <c r="CUD27" s="44"/>
      <c r="CUE27" s="44"/>
      <c r="CUF27" s="44"/>
      <c r="CUG27" s="44"/>
      <c r="CUH27" s="44"/>
      <c r="CUI27" s="43"/>
      <c r="CUJ27" s="44"/>
      <c r="CUK27" s="44"/>
      <c r="CUL27" s="44"/>
      <c r="CUM27" s="44"/>
      <c r="CUN27" s="44"/>
      <c r="CUO27" s="44"/>
      <c r="CUP27" s="44"/>
      <c r="CUQ27" s="44"/>
      <c r="CUR27" s="44"/>
      <c r="CUS27" s="44"/>
      <c r="CUT27" s="44"/>
      <c r="CUU27" s="44"/>
      <c r="CUV27" s="44"/>
      <c r="CUW27" s="44"/>
      <c r="CUX27" s="43"/>
      <c r="CUY27" s="44"/>
      <c r="CUZ27" s="44"/>
      <c r="CVA27" s="44"/>
      <c r="CVB27" s="44"/>
      <c r="CVC27" s="44"/>
      <c r="CVD27" s="44"/>
      <c r="CVE27" s="44"/>
      <c r="CVF27" s="44"/>
      <c r="CVG27" s="44"/>
      <c r="CVH27" s="44"/>
      <c r="CVI27" s="44"/>
      <c r="CVJ27" s="44"/>
      <c r="CVK27" s="44"/>
      <c r="CVL27" s="44"/>
      <c r="CVM27" s="43"/>
      <c r="CVN27" s="44"/>
      <c r="CVO27" s="44"/>
      <c r="CVP27" s="44"/>
      <c r="CVQ27" s="44"/>
      <c r="CVR27" s="44"/>
      <c r="CVS27" s="44"/>
      <c r="CVT27" s="44"/>
      <c r="CVU27" s="44"/>
      <c r="CVV27" s="44"/>
      <c r="CVW27" s="44"/>
      <c r="CVX27" s="44"/>
      <c r="CVY27" s="44"/>
      <c r="CVZ27" s="44"/>
      <c r="CWA27" s="44"/>
      <c r="CWB27" s="43"/>
      <c r="CWC27" s="44"/>
      <c r="CWD27" s="44"/>
      <c r="CWE27" s="44"/>
      <c r="CWF27" s="44"/>
      <c r="CWG27" s="44"/>
      <c r="CWH27" s="44"/>
      <c r="CWI27" s="44"/>
      <c r="CWJ27" s="44"/>
      <c r="CWK27" s="44"/>
      <c r="CWL27" s="44"/>
      <c r="CWM27" s="44"/>
      <c r="CWN27" s="44"/>
      <c r="CWO27" s="44"/>
      <c r="CWP27" s="44"/>
      <c r="CWQ27" s="43"/>
      <c r="CWR27" s="44"/>
      <c r="CWS27" s="44"/>
      <c r="CWT27" s="44"/>
      <c r="CWU27" s="44"/>
      <c r="CWV27" s="44"/>
      <c r="CWW27" s="44"/>
      <c r="CWX27" s="44"/>
      <c r="CWY27" s="44"/>
      <c r="CWZ27" s="44"/>
      <c r="CXA27" s="44"/>
      <c r="CXB27" s="44"/>
      <c r="CXC27" s="44"/>
      <c r="CXD27" s="44"/>
      <c r="CXE27" s="44"/>
      <c r="CXF27" s="43"/>
      <c r="CXG27" s="44"/>
      <c r="CXH27" s="44"/>
      <c r="CXI27" s="44"/>
      <c r="CXJ27" s="44"/>
      <c r="CXK27" s="44"/>
      <c r="CXL27" s="44"/>
      <c r="CXM27" s="44"/>
      <c r="CXN27" s="44"/>
      <c r="CXO27" s="44"/>
      <c r="CXP27" s="44"/>
      <c r="CXQ27" s="44"/>
      <c r="CXR27" s="44"/>
      <c r="CXS27" s="44"/>
      <c r="CXT27" s="44"/>
      <c r="CXU27" s="43"/>
      <c r="CXV27" s="44"/>
      <c r="CXW27" s="44"/>
      <c r="CXX27" s="44"/>
      <c r="CXY27" s="44"/>
      <c r="CXZ27" s="44"/>
      <c r="CYA27" s="44"/>
      <c r="CYB27" s="44"/>
      <c r="CYC27" s="44"/>
      <c r="CYD27" s="44"/>
      <c r="CYE27" s="44"/>
      <c r="CYF27" s="44"/>
      <c r="CYG27" s="44"/>
      <c r="CYH27" s="44"/>
      <c r="CYI27" s="44"/>
      <c r="CYJ27" s="43"/>
      <c r="CYK27" s="44"/>
      <c r="CYL27" s="44"/>
      <c r="CYM27" s="44"/>
      <c r="CYN27" s="44"/>
      <c r="CYO27" s="44"/>
      <c r="CYP27" s="44"/>
      <c r="CYQ27" s="44"/>
      <c r="CYR27" s="44"/>
      <c r="CYS27" s="44"/>
      <c r="CYT27" s="44"/>
      <c r="CYU27" s="44"/>
      <c r="CYV27" s="44"/>
      <c r="CYW27" s="44"/>
      <c r="CYX27" s="44"/>
      <c r="CYY27" s="43"/>
      <c r="CYZ27" s="44"/>
      <c r="CZA27" s="44"/>
      <c r="CZB27" s="44"/>
      <c r="CZC27" s="44"/>
      <c r="CZD27" s="44"/>
      <c r="CZE27" s="44"/>
      <c r="CZF27" s="44"/>
      <c r="CZG27" s="44"/>
      <c r="CZH27" s="44"/>
      <c r="CZI27" s="44"/>
      <c r="CZJ27" s="44"/>
      <c r="CZK27" s="44"/>
      <c r="CZL27" s="44"/>
      <c r="CZM27" s="44"/>
      <c r="CZN27" s="43"/>
      <c r="CZO27" s="44"/>
      <c r="CZP27" s="44"/>
      <c r="CZQ27" s="44"/>
      <c r="CZR27" s="44"/>
      <c r="CZS27" s="44"/>
      <c r="CZT27" s="44"/>
      <c r="CZU27" s="44"/>
      <c r="CZV27" s="44"/>
      <c r="CZW27" s="44"/>
      <c r="CZX27" s="44"/>
      <c r="CZY27" s="44"/>
      <c r="CZZ27" s="44"/>
      <c r="DAA27" s="44"/>
      <c r="DAB27" s="44"/>
      <c r="DAC27" s="43"/>
      <c r="DAD27" s="44"/>
      <c r="DAE27" s="44"/>
      <c r="DAF27" s="44"/>
      <c r="DAG27" s="44"/>
      <c r="DAH27" s="44"/>
      <c r="DAI27" s="44"/>
      <c r="DAJ27" s="44"/>
      <c r="DAK27" s="44"/>
      <c r="DAL27" s="44"/>
      <c r="DAM27" s="44"/>
      <c r="DAN27" s="44"/>
      <c r="DAO27" s="44"/>
      <c r="DAP27" s="44"/>
      <c r="DAQ27" s="44"/>
      <c r="DAR27" s="43"/>
      <c r="DAS27" s="44"/>
      <c r="DAT27" s="44"/>
      <c r="DAU27" s="44"/>
      <c r="DAV27" s="44"/>
      <c r="DAW27" s="44"/>
      <c r="DAX27" s="44"/>
      <c r="DAY27" s="44"/>
      <c r="DAZ27" s="44"/>
      <c r="DBA27" s="44"/>
      <c r="DBB27" s="44"/>
      <c r="DBC27" s="44"/>
      <c r="DBD27" s="44"/>
      <c r="DBE27" s="44"/>
      <c r="DBF27" s="44"/>
      <c r="DBG27" s="43"/>
      <c r="DBH27" s="44"/>
      <c r="DBI27" s="44"/>
      <c r="DBJ27" s="44"/>
      <c r="DBK27" s="44"/>
      <c r="DBL27" s="44"/>
      <c r="DBM27" s="44"/>
      <c r="DBN27" s="44"/>
      <c r="DBO27" s="44"/>
      <c r="DBP27" s="44"/>
      <c r="DBQ27" s="44"/>
      <c r="DBR27" s="44"/>
      <c r="DBS27" s="44"/>
      <c r="DBT27" s="44"/>
      <c r="DBU27" s="44"/>
      <c r="DBV27" s="43"/>
      <c r="DBW27" s="44"/>
      <c r="DBX27" s="44"/>
      <c r="DBY27" s="44"/>
      <c r="DBZ27" s="44"/>
      <c r="DCA27" s="44"/>
      <c r="DCB27" s="44"/>
      <c r="DCC27" s="44"/>
      <c r="DCD27" s="44"/>
      <c r="DCE27" s="44"/>
      <c r="DCF27" s="44"/>
      <c r="DCG27" s="44"/>
      <c r="DCH27" s="44"/>
      <c r="DCI27" s="44"/>
      <c r="DCJ27" s="44"/>
      <c r="DCK27" s="43"/>
      <c r="DCL27" s="44"/>
      <c r="DCM27" s="44"/>
      <c r="DCN27" s="44"/>
      <c r="DCO27" s="44"/>
      <c r="DCP27" s="44"/>
      <c r="DCQ27" s="44"/>
      <c r="DCR27" s="44"/>
      <c r="DCS27" s="44"/>
      <c r="DCT27" s="44"/>
      <c r="DCU27" s="44"/>
      <c r="DCV27" s="44"/>
      <c r="DCW27" s="44"/>
      <c r="DCX27" s="44"/>
      <c r="DCY27" s="44"/>
      <c r="DCZ27" s="43"/>
      <c r="DDA27" s="44"/>
      <c r="DDB27" s="44"/>
      <c r="DDC27" s="44"/>
      <c r="DDD27" s="44"/>
      <c r="DDE27" s="44"/>
      <c r="DDF27" s="44"/>
      <c r="DDG27" s="44"/>
      <c r="DDH27" s="44"/>
      <c r="DDI27" s="44"/>
      <c r="DDJ27" s="44"/>
      <c r="DDK27" s="44"/>
      <c r="DDL27" s="44"/>
      <c r="DDM27" s="44"/>
      <c r="DDN27" s="44"/>
      <c r="DDO27" s="43"/>
      <c r="DDP27" s="44"/>
      <c r="DDQ27" s="44"/>
      <c r="DDR27" s="44"/>
      <c r="DDS27" s="44"/>
      <c r="DDT27" s="44"/>
      <c r="DDU27" s="44"/>
      <c r="DDV27" s="44"/>
      <c r="DDW27" s="44"/>
      <c r="DDX27" s="44"/>
      <c r="DDY27" s="44"/>
      <c r="DDZ27" s="44"/>
      <c r="DEA27" s="44"/>
      <c r="DEB27" s="44"/>
      <c r="DEC27" s="44"/>
      <c r="DED27" s="43"/>
      <c r="DEE27" s="44"/>
      <c r="DEF27" s="44"/>
      <c r="DEG27" s="44"/>
      <c r="DEH27" s="44"/>
      <c r="DEI27" s="44"/>
      <c r="DEJ27" s="44"/>
      <c r="DEK27" s="44"/>
      <c r="DEL27" s="44"/>
      <c r="DEM27" s="44"/>
      <c r="DEN27" s="44"/>
      <c r="DEO27" s="44"/>
      <c r="DEP27" s="44"/>
      <c r="DEQ27" s="44"/>
      <c r="DER27" s="44"/>
      <c r="DES27" s="43"/>
      <c r="DET27" s="44"/>
      <c r="DEU27" s="44"/>
      <c r="DEV27" s="44"/>
      <c r="DEW27" s="44"/>
      <c r="DEX27" s="44"/>
      <c r="DEY27" s="44"/>
      <c r="DEZ27" s="44"/>
      <c r="DFA27" s="44"/>
      <c r="DFB27" s="44"/>
      <c r="DFC27" s="44"/>
      <c r="DFD27" s="44"/>
      <c r="DFE27" s="44"/>
      <c r="DFF27" s="44"/>
      <c r="DFG27" s="44"/>
      <c r="DFH27" s="43"/>
      <c r="DFI27" s="44"/>
      <c r="DFJ27" s="44"/>
      <c r="DFK27" s="44"/>
      <c r="DFL27" s="44"/>
      <c r="DFM27" s="44"/>
      <c r="DFN27" s="44"/>
      <c r="DFO27" s="44"/>
      <c r="DFP27" s="44"/>
      <c r="DFQ27" s="44"/>
      <c r="DFR27" s="44"/>
      <c r="DFS27" s="44"/>
      <c r="DFT27" s="44"/>
      <c r="DFU27" s="44"/>
      <c r="DFV27" s="44"/>
      <c r="DFW27" s="43"/>
      <c r="DFX27" s="44"/>
      <c r="DFY27" s="44"/>
      <c r="DFZ27" s="44"/>
      <c r="DGA27" s="44"/>
      <c r="DGB27" s="44"/>
      <c r="DGC27" s="44"/>
      <c r="DGD27" s="44"/>
      <c r="DGE27" s="44"/>
      <c r="DGF27" s="44"/>
      <c r="DGG27" s="44"/>
      <c r="DGH27" s="44"/>
      <c r="DGI27" s="44"/>
      <c r="DGJ27" s="44"/>
      <c r="DGK27" s="44"/>
      <c r="DGL27" s="43"/>
      <c r="DGM27" s="44"/>
      <c r="DGN27" s="44"/>
      <c r="DGO27" s="44"/>
      <c r="DGP27" s="44"/>
      <c r="DGQ27" s="44"/>
      <c r="DGR27" s="44"/>
      <c r="DGS27" s="44"/>
      <c r="DGT27" s="44"/>
      <c r="DGU27" s="44"/>
      <c r="DGV27" s="44"/>
      <c r="DGW27" s="44"/>
      <c r="DGX27" s="44"/>
      <c r="DGY27" s="44"/>
      <c r="DGZ27" s="44"/>
      <c r="DHA27" s="43"/>
      <c r="DHB27" s="44"/>
      <c r="DHC27" s="44"/>
      <c r="DHD27" s="44"/>
      <c r="DHE27" s="44"/>
      <c r="DHF27" s="44"/>
      <c r="DHG27" s="44"/>
      <c r="DHH27" s="44"/>
      <c r="DHI27" s="44"/>
      <c r="DHJ27" s="44"/>
      <c r="DHK27" s="44"/>
      <c r="DHL27" s="44"/>
      <c r="DHM27" s="44"/>
      <c r="DHN27" s="44"/>
      <c r="DHO27" s="44"/>
      <c r="DHP27" s="43"/>
      <c r="DHQ27" s="44"/>
      <c r="DHR27" s="44"/>
      <c r="DHS27" s="44"/>
      <c r="DHT27" s="44"/>
      <c r="DHU27" s="44"/>
      <c r="DHV27" s="44"/>
      <c r="DHW27" s="44"/>
      <c r="DHX27" s="44"/>
      <c r="DHY27" s="44"/>
      <c r="DHZ27" s="44"/>
      <c r="DIA27" s="44"/>
      <c r="DIB27" s="44"/>
      <c r="DIC27" s="44"/>
      <c r="DID27" s="44"/>
      <c r="DIE27" s="43"/>
      <c r="DIF27" s="44"/>
      <c r="DIG27" s="44"/>
      <c r="DIH27" s="44"/>
      <c r="DII27" s="44"/>
      <c r="DIJ27" s="44"/>
      <c r="DIK27" s="44"/>
      <c r="DIL27" s="44"/>
      <c r="DIM27" s="44"/>
      <c r="DIN27" s="44"/>
      <c r="DIO27" s="44"/>
      <c r="DIP27" s="44"/>
      <c r="DIQ27" s="44"/>
      <c r="DIR27" s="44"/>
      <c r="DIS27" s="44"/>
      <c r="DIT27" s="43"/>
      <c r="DIU27" s="44"/>
      <c r="DIV27" s="44"/>
      <c r="DIW27" s="44"/>
      <c r="DIX27" s="44"/>
      <c r="DIY27" s="44"/>
      <c r="DIZ27" s="44"/>
      <c r="DJA27" s="44"/>
      <c r="DJB27" s="44"/>
      <c r="DJC27" s="44"/>
      <c r="DJD27" s="44"/>
      <c r="DJE27" s="44"/>
      <c r="DJF27" s="44"/>
      <c r="DJG27" s="44"/>
      <c r="DJH27" s="44"/>
      <c r="DJI27" s="43"/>
      <c r="DJJ27" s="44"/>
      <c r="DJK27" s="44"/>
      <c r="DJL27" s="44"/>
      <c r="DJM27" s="44"/>
      <c r="DJN27" s="44"/>
      <c r="DJO27" s="44"/>
      <c r="DJP27" s="44"/>
      <c r="DJQ27" s="44"/>
      <c r="DJR27" s="44"/>
      <c r="DJS27" s="44"/>
      <c r="DJT27" s="44"/>
      <c r="DJU27" s="44"/>
      <c r="DJV27" s="44"/>
      <c r="DJW27" s="44"/>
      <c r="DJX27" s="43"/>
      <c r="DJY27" s="44"/>
      <c r="DJZ27" s="44"/>
      <c r="DKA27" s="44"/>
      <c r="DKB27" s="44"/>
      <c r="DKC27" s="44"/>
      <c r="DKD27" s="44"/>
      <c r="DKE27" s="44"/>
      <c r="DKF27" s="44"/>
      <c r="DKG27" s="44"/>
      <c r="DKH27" s="44"/>
      <c r="DKI27" s="44"/>
      <c r="DKJ27" s="44"/>
      <c r="DKK27" s="44"/>
      <c r="DKL27" s="44"/>
      <c r="DKM27" s="43"/>
      <c r="DKN27" s="44"/>
      <c r="DKO27" s="44"/>
      <c r="DKP27" s="44"/>
      <c r="DKQ27" s="44"/>
      <c r="DKR27" s="44"/>
      <c r="DKS27" s="44"/>
      <c r="DKT27" s="44"/>
      <c r="DKU27" s="44"/>
      <c r="DKV27" s="44"/>
      <c r="DKW27" s="44"/>
      <c r="DKX27" s="44"/>
      <c r="DKY27" s="44"/>
      <c r="DKZ27" s="44"/>
      <c r="DLA27" s="44"/>
      <c r="DLB27" s="43"/>
      <c r="DLC27" s="44"/>
      <c r="DLD27" s="44"/>
      <c r="DLE27" s="44"/>
      <c r="DLF27" s="44"/>
      <c r="DLG27" s="44"/>
      <c r="DLH27" s="44"/>
      <c r="DLI27" s="44"/>
      <c r="DLJ27" s="44"/>
      <c r="DLK27" s="44"/>
      <c r="DLL27" s="44"/>
      <c r="DLM27" s="44"/>
      <c r="DLN27" s="44"/>
      <c r="DLO27" s="44"/>
      <c r="DLP27" s="44"/>
      <c r="DLQ27" s="43"/>
      <c r="DLR27" s="44"/>
      <c r="DLS27" s="44"/>
      <c r="DLT27" s="44"/>
      <c r="DLU27" s="44"/>
      <c r="DLV27" s="44"/>
      <c r="DLW27" s="44"/>
      <c r="DLX27" s="44"/>
      <c r="DLY27" s="44"/>
      <c r="DLZ27" s="44"/>
      <c r="DMA27" s="44"/>
      <c r="DMB27" s="44"/>
      <c r="DMC27" s="44"/>
      <c r="DMD27" s="44"/>
      <c r="DME27" s="44"/>
      <c r="DMF27" s="43"/>
      <c r="DMG27" s="44"/>
      <c r="DMH27" s="44"/>
      <c r="DMI27" s="44"/>
      <c r="DMJ27" s="44"/>
      <c r="DMK27" s="44"/>
      <c r="DML27" s="44"/>
      <c r="DMM27" s="44"/>
      <c r="DMN27" s="44"/>
      <c r="DMO27" s="44"/>
      <c r="DMP27" s="44"/>
      <c r="DMQ27" s="44"/>
      <c r="DMR27" s="44"/>
      <c r="DMS27" s="44"/>
      <c r="DMT27" s="44"/>
      <c r="DMU27" s="43"/>
      <c r="DMV27" s="44"/>
      <c r="DMW27" s="44"/>
      <c r="DMX27" s="44"/>
      <c r="DMY27" s="44"/>
      <c r="DMZ27" s="44"/>
      <c r="DNA27" s="44"/>
      <c r="DNB27" s="44"/>
      <c r="DNC27" s="44"/>
      <c r="DND27" s="44"/>
      <c r="DNE27" s="44"/>
      <c r="DNF27" s="44"/>
      <c r="DNG27" s="44"/>
      <c r="DNH27" s="44"/>
      <c r="DNI27" s="44"/>
      <c r="DNJ27" s="43"/>
      <c r="DNK27" s="44"/>
      <c r="DNL27" s="44"/>
      <c r="DNM27" s="44"/>
      <c r="DNN27" s="44"/>
      <c r="DNO27" s="44"/>
      <c r="DNP27" s="44"/>
      <c r="DNQ27" s="44"/>
      <c r="DNR27" s="44"/>
      <c r="DNS27" s="44"/>
      <c r="DNT27" s="44"/>
      <c r="DNU27" s="44"/>
      <c r="DNV27" s="44"/>
      <c r="DNW27" s="44"/>
      <c r="DNX27" s="44"/>
      <c r="DNY27" s="43"/>
      <c r="DNZ27" s="44"/>
      <c r="DOA27" s="44"/>
      <c r="DOB27" s="44"/>
      <c r="DOC27" s="44"/>
      <c r="DOD27" s="44"/>
      <c r="DOE27" s="44"/>
      <c r="DOF27" s="44"/>
      <c r="DOG27" s="44"/>
      <c r="DOH27" s="44"/>
      <c r="DOI27" s="44"/>
      <c r="DOJ27" s="44"/>
      <c r="DOK27" s="44"/>
      <c r="DOL27" s="44"/>
      <c r="DOM27" s="44"/>
      <c r="DON27" s="43"/>
      <c r="DOO27" s="44"/>
      <c r="DOP27" s="44"/>
      <c r="DOQ27" s="44"/>
      <c r="DOR27" s="44"/>
      <c r="DOS27" s="44"/>
      <c r="DOT27" s="44"/>
      <c r="DOU27" s="44"/>
      <c r="DOV27" s="44"/>
      <c r="DOW27" s="44"/>
      <c r="DOX27" s="44"/>
      <c r="DOY27" s="44"/>
      <c r="DOZ27" s="44"/>
      <c r="DPA27" s="44"/>
      <c r="DPB27" s="44"/>
      <c r="DPC27" s="43"/>
      <c r="DPD27" s="44"/>
      <c r="DPE27" s="44"/>
      <c r="DPF27" s="44"/>
      <c r="DPG27" s="44"/>
      <c r="DPH27" s="44"/>
      <c r="DPI27" s="44"/>
      <c r="DPJ27" s="44"/>
      <c r="DPK27" s="44"/>
      <c r="DPL27" s="44"/>
      <c r="DPM27" s="44"/>
      <c r="DPN27" s="44"/>
      <c r="DPO27" s="44"/>
      <c r="DPP27" s="44"/>
      <c r="DPQ27" s="44"/>
      <c r="DPR27" s="43"/>
      <c r="DPS27" s="44"/>
      <c r="DPT27" s="44"/>
      <c r="DPU27" s="44"/>
      <c r="DPV27" s="44"/>
      <c r="DPW27" s="44"/>
      <c r="DPX27" s="44"/>
      <c r="DPY27" s="44"/>
      <c r="DPZ27" s="44"/>
      <c r="DQA27" s="44"/>
      <c r="DQB27" s="44"/>
      <c r="DQC27" s="44"/>
      <c r="DQD27" s="44"/>
      <c r="DQE27" s="44"/>
      <c r="DQF27" s="44"/>
      <c r="DQG27" s="43"/>
      <c r="DQH27" s="44"/>
      <c r="DQI27" s="44"/>
      <c r="DQJ27" s="44"/>
      <c r="DQK27" s="44"/>
      <c r="DQL27" s="44"/>
      <c r="DQM27" s="44"/>
      <c r="DQN27" s="44"/>
      <c r="DQO27" s="44"/>
      <c r="DQP27" s="44"/>
      <c r="DQQ27" s="44"/>
      <c r="DQR27" s="44"/>
      <c r="DQS27" s="44"/>
      <c r="DQT27" s="44"/>
      <c r="DQU27" s="44"/>
      <c r="DQV27" s="43"/>
      <c r="DQW27" s="44"/>
      <c r="DQX27" s="44"/>
      <c r="DQY27" s="44"/>
      <c r="DQZ27" s="44"/>
      <c r="DRA27" s="44"/>
      <c r="DRB27" s="44"/>
      <c r="DRC27" s="44"/>
      <c r="DRD27" s="44"/>
      <c r="DRE27" s="44"/>
      <c r="DRF27" s="44"/>
      <c r="DRG27" s="44"/>
      <c r="DRH27" s="44"/>
      <c r="DRI27" s="44"/>
      <c r="DRJ27" s="44"/>
      <c r="DRK27" s="43"/>
      <c r="DRL27" s="44"/>
      <c r="DRM27" s="44"/>
      <c r="DRN27" s="44"/>
      <c r="DRO27" s="44"/>
      <c r="DRP27" s="44"/>
      <c r="DRQ27" s="44"/>
      <c r="DRR27" s="44"/>
      <c r="DRS27" s="44"/>
      <c r="DRT27" s="44"/>
      <c r="DRU27" s="44"/>
      <c r="DRV27" s="44"/>
      <c r="DRW27" s="44"/>
      <c r="DRX27" s="44"/>
      <c r="DRY27" s="44"/>
      <c r="DRZ27" s="43"/>
      <c r="DSA27" s="44"/>
      <c r="DSB27" s="44"/>
      <c r="DSC27" s="44"/>
      <c r="DSD27" s="44"/>
      <c r="DSE27" s="44"/>
      <c r="DSF27" s="44"/>
      <c r="DSG27" s="44"/>
      <c r="DSH27" s="44"/>
      <c r="DSI27" s="44"/>
      <c r="DSJ27" s="44"/>
      <c r="DSK27" s="44"/>
      <c r="DSL27" s="44"/>
      <c r="DSM27" s="44"/>
      <c r="DSN27" s="44"/>
      <c r="DSO27" s="43"/>
      <c r="DSP27" s="44"/>
      <c r="DSQ27" s="44"/>
      <c r="DSR27" s="44"/>
      <c r="DSS27" s="44"/>
      <c r="DST27" s="44"/>
      <c r="DSU27" s="44"/>
      <c r="DSV27" s="44"/>
      <c r="DSW27" s="44"/>
      <c r="DSX27" s="44"/>
      <c r="DSY27" s="44"/>
      <c r="DSZ27" s="44"/>
      <c r="DTA27" s="44"/>
      <c r="DTB27" s="44"/>
      <c r="DTC27" s="44"/>
      <c r="DTD27" s="43"/>
      <c r="DTE27" s="44"/>
      <c r="DTF27" s="44"/>
      <c r="DTG27" s="44"/>
      <c r="DTH27" s="44"/>
      <c r="DTI27" s="44"/>
      <c r="DTJ27" s="44"/>
      <c r="DTK27" s="44"/>
      <c r="DTL27" s="44"/>
      <c r="DTM27" s="44"/>
      <c r="DTN27" s="44"/>
      <c r="DTO27" s="44"/>
      <c r="DTP27" s="44"/>
      <c r="DTQ27" s="44"/>
      <c r="DTR27" s="44"/>
      <c r="DTS27" s="43"/>
      <c r="DTT27" s="44"/>
      <c r="DTU27" s="44"/>
      <c r="DTV27" s="44"/>
      <c r="DTW27" s="44"/>
      <c r="DTX27" s="44"/>
      <c r="DTY27" s="44"/>
      <c r="DTZ27" s="44"/>
      <c r="DUA27" s="44"/>
      <c r="DUB27" s="44"/>
      <c r="DUC27" s="44"/>
      <c r="DUD27" s="44"/>
      <c r="DUE27" s="44"/>
      <c r="DUF27" s="44"/>
      <c r="DUG27" s="44"/>
      <c r="DUH27" s="43"/>
      <c r="DUI27" s="44"/>
      <c r="DUJ27" s="44"/>
      <c r="DUK27" s="44"/>
      <c r="DUL27" s="44"/>
      <c r="DUM27" s="44"/>
      <c r="DUN27" s="44"/>
      <c r="DUO27" s="44"/>
      <c r="DUP27" s="44"/>
      <c r="DUQ27" s="44"/>
      <c r="DUR27" s="44"/>
      <c r="DUS27" s="44"/>
      <c r="DUT27" s="44"/>
      <c r="DUU27" s="44"/>
      <c r="DUV27" s="44"/>
      <c r="DUW27" s="43"/>
      <c r="DUX27" s="44"/>
      <c r="DUY27" s="44"/>
      <c r="DUZ27" s="44"/>
      <c r="DVA27" s="44"/>
      <c r="DVB27" s="44"/>
      <c r="DVC27" s="44"/>
      <c r="DVD27" s="44"/>
      <c r="DVE27" s="44"/>
      <c r="DVF27" s="44"/>
      <c r="DVG27" s="44"/>
      <c r="DVH27" s="44"/>
      <c r="DVI27" s="44"/>
      <c r="DVJ27" s="44"/>
      <c r="DVK27" s="44"/>
      <c r="DVL27" s="43"/>
      <c r="DVM27" s="44"/>
      <c r="DVN27" s="44"/>
      <c r="DVO27" s="44"/>
      <c r="DVP27" s="44"/>
      <c r="DVQ27" s="44"/>
      <c r="DVR27" s="44"/>
      <c r="DVS27" s="44"/>
      <c r="DVT27" s="44"/>
      <c r="DVU27" s="44"/>
      <c r="DVV27" s="44"/>
      <c r="DVW27" s="44"/>
      <c r="DVX27" s="44"/>
      <c r="DVY27" s="44"/>
      <c r="DVZ27" s="44"/>
      <c r="DWA27" s="43"/>
      <c r="DWB27" s="44"/>
      <c r="DWC27" s="44"/>
      <c r="DWD27" s="44"/>
      <c r="DWE27" s="44"/>
      <c r="DWF27" s="44"/>
      <c r="DWG27" s="44"/>
      <c r="DWH27" s="44"/>
      <c r="DWI27" s="44"/>
      <c r="DWJ27" s="44"/>
      <c r="DWK27" s="44"/>
      <c r="DWL27" s="44"/>
      <c r="DWM27" s="44"/>
      <c r="DWN27" s="44"/>
      <c r="DWO27" s="44"/>
      <c r="DWP27" s="43"/>
      <c r="DWQ27" s="44"/>
      <c r="DWR27" s="44"/>
      <c r="DWS27" s="44"/>
      <c r="DWT27" s="44"/>
      <c r="DWU27" s="44"/>
      <c r="DWV27" s="44"/>
      <c r="DWW27" s="44"/>
      <c r="DWX27" s="44"/>
      <c r="DWY27" s="44"/>
      <c r="DWZ27" s="44"/>
      <c r="DXA27" s="44"/>
      <c r="DXB27" s="44"/>
      <c r="DXC27" s="44"/>
      <c r="DXD27" s="44"/>
      <c r="DXE27" s="43"/>
      <c r="DXF27" s="44"/>
      <c r="DXG27" s="44"/>
      <c r="DXH27" s="44"/>
      <c r="DXI27" s="44"/>
      <c r="DXJ27" s="44"/>
      <c r="DXK27" s="44"/>
      <c r="DXL27" s="44"/>
      <c r="DXM27" s="44"/>
      <c r="DXN27" s="44"/>
      <c r="DXO27" s="44"/>
      <c r="DXP27" s="44"/>
      <c r="DXQ27" s="44"/>
      <c r="DXR27" s="44"/>
      <c r="DXS27" s="44"/>
      <c r="DXT27" s="43"/>
      <c r="DXU27" s="44"/>
      <c r="DXV27" s="44"/>
      <c r="DXW27" s="44"/>
      <c r="DXX27" s="44"/>
      <c r="DXY27" s="44"/>
      <c r="DXZ27" s="44"/>
      <c r="DYA27" s="44"/>
      <c r="DYB27" s="44"/>
      <c r="DYC27" s="44"/>
      <c r="DYD27" s="44"/>
      <c r="DYE27" s="44"/>
      <c r="DYF27" s="44"/>
      <c r="DYG27" s="44"/>
      <c r="DYH27" s="44"/>
      <c r="DYI27" s="43"/>
      <c r="DYJ27" s="44"/>
      <c r="DYK27" s="44"/>
      <c r="DYL27" s="44"/>
      <c r="DYM27" s="44"/>
      <c r="DYN27" s="44"/>
      <c r="DYO27" s="44"/>
      <c r="DYP27" s="44"/>
      <c r="DYQ27" s="44"/>
      <c r="DYR27" s="44"/>
      <c r="DYS27" s="44"/>
      <c r="DYT27" s="44"/>
      <c r="DYU27" s="44"/>
      <c r="DYV27" s="44"/>
      <c r="DYW27" s="44"/>
      <c r="DYX27" s="43"/>
      <c r="DYY27" s="44"/>
      <c r="DYZ27" s="44"/>
      <c r="DZA27" s="44"/>
      <c r="DZB27" s="44"/>
      <c r="DZC27" s="44"/>
      <c r="DZD27" s="44"/>
      <c r="DZE27" s="44"/>
      <c r="DZF27" s="44"/>
      <c r="DZG27" s="44"/>
      <c r="DZH27" s="44"/>
      <c r="DZI27" s="44"/>
      <c r="DZJ27" s="44"/>
      <c r="DZK27" s="44"/>
      <c r="DZL27" s="44"/>
      <c r="DZM27" s="43"/>
      <c r="DZN27" s="44"/>
      <c r="DZO27" s="44"/>
      <c r="DZP27" s="44"/>
      <c r="DZQ27" s="44"/>
      <c r="DZR27" s="44"/>
      <c r="DZS27" s="44"/>
      <c r="DZT27" s="44"/>
      <c r="DZU27" s="44"/>
      <c r="DZV27" s="44"/>
      <c r="DZW27" s="44"/>
      <c r="DZX27" s="44"/>
      <c r="DZY27" s="44"/>
      <c r="DZZ27" s="44"/>
      <c r="EAA27" s="44"/>
      <c r="EAB27" s="43"/>
      <c r="EAC27" s="44"/>
      <c r="EAD27" s="44"/>
      <c r="EAE27" s="44"/>
      <c r="EAF27" s="44"/>
      <c r="EAG27" s="44"/>
      <c r="EAH27" s="44"/>
      <c r="EAI27" s="44"/>
      <c r="EAJ27" s="44"/>
      <c r="EAK27" s="44"/>
      <c r="EAL27" s="44"/>
      <c r="EAM27" s="44"/>
      <c r="EAN27" s="44"/>
      <c r="EAO27" s="44"/>
      <c r="EAP27" s="44"/>
      <c r="EAQ27" s="43"/>
      <c r="EAR27" s="44"/>
      <c r="EAS27" s="44"/>
      <c r="EAT27" s="44"/>
      <c r="EAU27" s="44"/>
      <c r="EAV27" s="44"/>
      <c r="EAW27" s="44"/>
      <c r="EAX27" s="44"/>
      <c r="EAY27" s="44"/>
      <c r="EAZ27" s="44"/>
      <c r="EBA27" s="44"/>
      <c r="EBB27" s="44"/>
      <c r="EBC27" s="44"/>
      <c r="EBD27" s="44"/>
      <c r="EBE27" s="44"/>
      <c r="EBF27" s="43"/>
      <c r="EBG27" s="44"/>
      <c r="EBH27" s="44"/>
      <c r="EBI27" s="44"/>
      <c r="EBJ27" s="44"/>
      <c r="EBK27" s="44"/>
      <c r="EBL27" s="44"/>
      <c r="EBM27" s="44"/>
      <c r="EBN27" s="44"/>
      <c r="EBO27" s="44"/>
      <c r="EBP27" s="44"/>
      <c r="EBQ27" s="44"/>
      <c r="EBR27" s="44"/>
      <c r="EBS27" s="44"/>
      <c r="EBT27" s="44"/>
      <c r="EBU27" s="43"/>
      <c r="EBV27" s="44"/>
      <c r="EBW27" s="44"/>
      <c r="EBX27" s="44"/>
      <c r="EBY27" s="44"/>
      <c r="EBZ27" s="44"/>
      <c r="ECA27" s="44"/>
      <c r="ECB27" s="44"/>
      <c r="ECC27" s="44"/>
      <c r="ECD27" s="44"/>
      <c r="ECE27" s="44"/>
      <c r="ECF27" s="44"/>
      <c r="ECG27" s="44"/>
      <c r="ECH27" s="44"/>
      <c r="ECI27" s="44"/>
      <c r="ECJ27" s="43"/>
      <c r="ECK27" s="44"/>
      <c r="ECL27" s="44"/>
      <c r="ECM27" s="44"/>
      <c r="ECN27" s="44"/>
      <c r="ECO27" s="44"/>
      <c r="ECP27" s="44"/>
      <c r="ECQ27" s="44"/>
      <c r="ECR27" s="44"/>
      <c r="ECS27" s="44"/>
      <c r="ECT27" s="44"/>
      <c r="ECU27" s="44"/>
      <c r="ECV27" s="44"/>
      <c r="ECW27" s="44"/>
      <c r="ECX27" s="44"/>
      <c r="ECY27" s="43"/>
      <c r="ECZ27" s="44"/>
      <c r="EDA27" s="44"/>
      <c r="EDB27" s="44"/>
      <c r="EDC27" s="44"/>
      <c r="EDD27" s="44"/>
      <c r="EDE27" s="44"/>
      <c r="EDF27" s="44"/>
      <c r="EDG27" s="44"/>
      <c r="EDH27" s="44"/>
      <c r="EDI27" s="44"/>
      <c r="EDJ27" s="44"/>
      <c r="EDK27" s="44"/>
      <c r="EDL27" s="44"/>
      <c r="EDM27" s="44"/>
      <c r="EDN27" s="43"/>
      <c r="EDO27" s="44"/>
      <c r="EDP27" s="44"/>
      <c r="EDQ27" s="44"/>
      <c r="EDR27" s="44"/>
      <c r="EDS27" s="44"/>
      <c r="EDT27" s="44"/>
      <c r="EDU27" s="44"/>
      <c r="EDV27" s="44"/>
      <c r="EDW27" s="44"/>
      <c r="EDX27" s="44"/>
      <c r="EDY27" s="44"/>
      <c r="EDZ27" s="44"/>
      <c r="EEA27" s="44"/>
      <c r="EEB27" s="44"/>
      <c r="EEC27" s="43"/>
      <c r="EED27" s="44"/>
      <c r="EEE27" s="44"/>
      <c r="EEF27" s="44"/>
      <c r="EEG27" s="44"/>
      <c r="EEH27" s="44"/>
      <c r="EEI27" s="44"/>
      <c r="EEJ27" s="44"/>
      <c r="EEK27" s="44"/>
      <c r="EEL27" s="44"/>
      <c r="EEM27" s="44"/>
      <c r="EEN27" s="44"/>
      <c r="EEO27" s="44"/>
      <c r="EEP27" s="44"/>
      <c r="EEQ27" s="44"/>
      <c r="EER27" s="43"/>
      <c r="EES27" s="44"/>
      <c r="EET27" s="44"/>
      <c r="EEU27" s="44"/>
      <c r="EEV27" s="44"/>
      <c r="EEW27" s="44"/>
      <c r="EEX27" s="44"/>
      <c r="EEY27" s="44"/>
      <c r="EEZ27" s="44"/>
      <c r="EFA27" s="44"/>
      <c r="EFB27" s="44"/>
      <c r="EFC27" s="44"/>
      <c r="EFD27" s="44"/>
      <c r="EFE27" s="44"/>
      <c r="EFF27" s="44"/>
      <c r="EFG27" s="43"/>
      <c r="EFH27" s="44"/>
      <c r="EFI27" s="44"/>
      <c r="EFJ27" s="44"/>
      <c r="EFK27" s="44"/>
      <c r="EFL27" s="44"/>
      <c r="EFM27" s="44"/>
      <c r="EFN27" s="44"/>
      <c r="EFO27" s="44"/>
      <c r="EFP27" s="44"/>
      <c r="EFQ27" s="44"/>
      <c r="EFR27" s="44"/>
      <c r="EFS27" s="44"/>
      <c r="EFT27" s="44"/>
      <c r="EFU27" s="44"/>
      <c r="EFV27" s="43"/>
      <c r="EFW27" s="44"/>
      <c r="EFX27" s="44"/>
      <c r="EFY27" s="44"/>
      <c r="EFZ27" s="44"/>
      <c r="EGA27" s="44"/>
      <c r="EGB27" s="44"/>
      <c r="EGC27" s="44"/>
      <c r="EGD27" s="44"/>
      <c r="EGE27" s="44"/>
      <c r="EGF27" s="44"/>
      <c r="EGG27" s="44"/>
      <c r="EGH27" s="44"/>
      <c r="EGI27" s="44"/>
      <c r="EGJ27" s="44"/>
      <c r="EGK27" s="43"/>
      <c r="EGL27" s="44"/>
      <c r="EGM27" s="44"/>
      <c r="EGN27" s="44"/>
      <c r="EGO27" s="44"/>
      <c r="EGP27" s="44"/>
      <c r="EGQ27" s="44"/>
      <c r="EGR27" s="44"/>
      <c r="EGS27" s="44"/>
      <c r="EGT27" s="44"/>
      <c r="EGU27" s="44"/>
      <c r="EGV27" s="44"/>
      <c r="EGW27" s="44"/>
      <c r="EGX27" s="44"/>
      <c r="EGY27" s="44"/>
      <c r="EGZ27" s="43"/>
      <c r="EHA27" s="44"/>
      <c r="EHB27" s="44"/>
      <c r="EHC27" s="44"/>
      <c r="EHD27" s="44"/>
      <c r="EHE27" s="44"/>
      <c r="EHF27" s="44"/>
      <c r="EHG27" s="44"/>
      <c r="EHH27" s="44"/>
      <c r="EHI27" s="44"/>
      <c r="EHJ27" s="44"/>
      <c r="EHK27" s="44"/>
      <c r="EHL27" s="44"/>
      <c r="EHM27" s="44"/>
      <c r="EHN27" s="44"/>
      <c r="EHO27" s="43"/>
      <c r="EHP27" s="44"/>
      <c r="EHQ27" s="44"/>
      <c r="EHR27" s="44"/>
      <c r="EHS27" s="44"/>
      <c r="EHT27" s="44"/>
      <c r="EHU27" s="44"/>
      <c r="EHV27" s="44"/>
      <c r="EHW27" s="44"/>
      <c r="EHX27" s="44"/>
      <c r="EHY27" s="44"/>
      <c r="EHZ27" s="44"/>
      <c r="EIA27" s="44"/>
      <c r="EIB27" s="44"/>
      <c r="EIC27" s="44"/>
      <c r="EID27" s="43"/>
      <c r="EIE27" s="44"/>
      <c r="EIF27" s="44"/>
      <c r="EIG27" s="44"/>
      <c r="EIH27" s="44"/>
      <c r="EII27" s="44"/>
      <c r="EIJ27" s="44"/>
      <c r="EIK27" s="44"/>
      <c r="EIL27" s="44"/>
      <c r="EIM27" s="44"/>
      <c r="EIN27" s="44"/>
      <c r="EIO27" s="44"/>
      <c r="EIP27" s="44"/>
      <c r="EIQ27" s="44"/>
      <c r="EIR27" s="44"/>
      <c r="EIS27" s="43"/>
      <c r="EIT27" s="44"/>
      <c r="EIU27" s="44"/>
      <c r="EIV27" s="44"/>
      <c r="EIW27" s="44"/>
      <c r="EIX27" s="44"/>
      <c r="EIY27" s="44"/>
      <c r="EIZ27" s="44"/>
      <c r="EJA27" s="44"/>
      <c r="EJB27" s="44"/>
      <c r="EJC27" s="44"/>
      <c r="EJD27" s="44"/>
      <c r="EJE27" s="44"/>
      <c r="EJF27" s="44"/>
      <c r="EJG27" s="44"/>
      <c r="EJH27" s="43"/>
      <c r="EJI27" s="44"/>
      <c r="EJJ27" s="44"/>
      <c r="EJK27" s="44"/>
      <c r="EJL27" s="44"/>
      <c r="EJM27" s="44"/>
      <c r="EJN27" s="44"/>
      <c r="EJO27" s="44"/>
      <c r="EJP27" s="44"/>
      <c r="EJQ27" s="44"/>
      <c r="EJR27" s="44"/>
      <c r="EJS27" s="44"/>
      <c r="EJT27" s="44"/>
      <c r="EJU27" s="44"/>
      <c r="EJV27" s="44"/>
      <c r="EJW27" s="43"/>
      <c r="EJX27" s="44"/>
      <c r="EJY27" s="44"/>
      <c r="EJZ27" s="44"/>
      <c r="EKA27" s="44"/>
      <c r="EKB27" s="44"/>
      <c r="EKC27" s="44"/>
      <c r="EKD27" s="44"/>
      <c r="EKE27" s="44"/>
      <c r="EKF27" s="44"/>
      <c r="EKG27" s="44"/>
      <c r="EKH27" s="44"/>
      <c r="EKI27" s="44"/>
      <c r="EKJ27" s="44"/>
      <c r="EKK27" s="44"/>
      <c r="EKL27" s="43"/>
      <c r="EKM27" s="44"/>
      <c r="EKN27" s="44"/>
      <c r="EKO27" s="44"/>
      <c r="EKP27" s="44"/>
      <c r="EKQ27" s="44"/>
      <c r="EKR27" s="44"/>
      <c r="EKS27" s="44"/>
      <c r="EKT27" s="44"/>
      <c r="EKU27" s="44"/>
      <c r="EKV27" s="44"/>
      <c r="EKW27" s="44"/>
      <c r="EKX27" s="44"/>
      <c r="EKY27" s="44"/>
      <c r="EKZ27" s="44"/>
      <c r="ELA27" s="43"/>
      <c r="ELB27" s="44"/>
      <c r="ELC27" s="44"/>
      <c r="ELD27" s="44"/>
      <c r="ELE27" s="44"/>
      <c r="ELF27" s="44"/>
      <c r="ELG27" s="44"/>
      <c r="ELH27" s="44"/>
      <c r="ELI27" s="44"/>
      <c r="ELJ27" s="44"/>
      <c r="ELK27" s="44"/>
      <c r="ELL27" s="44"/>
      <c r="ELM27" s="44"/>
      <c r="ELN27" s="44"/>
      <c r="ELO27" s="44"/>
      <c r="ELP27" s="43"/>
      <c r="ELQ27" s="44"/>
      <c r="ELR27" s="44"/>
      <c r="ELS27" s="44"/>
      <c r="ELT27" s="44"/>
      <c r="ELU27" s="44"/>
      <c r="ELV27" s="44"/>
      <c r="ELW27" s="44"/>
      <c r="ELX27" s="44"/>
      <c r="ELY27" s="44"/>
      <c r="ELZ27" s="44"/>
      <c r="EMA27" s="44"/>
      <c r="EMB27" s="44"/>
      <c r="EMC27" s="44"/>
      <c r="EMD27" s="44"/>
      <c r="EME27" s="43"/>
      <c r="EMF27" s="44"/>
      <c r="EMG27" s="44"/>
      <c r="EMH27" s="44"/>
      <c r="EMI27" s="44"/>
      <c r="EMJ27" s="44"/>
      <c r="EMK27" s="44"/>
      <c r="EML27" s="44"/>
      <c r="EMM27" s="44"/>
      <c r="EMN27" s="44"/>
      <c r="EMO27" s="44"/>
      <c r="EMP27" s="44"/>
      <c r="EMQ27" s="44"/>
      <c r="EMR27" s="44"/>
      <c r="EMS27" s="44"/>
      <c r="EMT27" s="43"/>
      <c r="EMU27" s="44"/>
      <c r="EMV27" s="44"/>
      <c r="EMW27" s="44"/>
      <c r="EMX27" s="44"/>
      <c r="EMY27" s="44"/>
      <c r="EMZ27" s="44"/>
      <c r="ENA27" s="44"/>
      <c r="ENB27" s="44"/>
      <c r="ENC27" s="44"/>
      <c r="END27" s="44"/>
      <c r="ENE27" s="44"/>
      <c r="ENF27" s="44"/>
      <c r="ENG27" s="44"/>
      <c r="ENH27" s="44"/>
      <c r="ENI27" s="43"/>
      <c r="ENJ27" s="44"/>
      <c r="ENK27" s="44"/>
      <c r="ENL27" s="44"/>
      <c r="ENM27" s="44"/>
      <c r="ENN27" s="44"/>
      <c r="ENO27" s="44"/>
      <c r="ENP27" s="44"/>
      <c r="ENQ27" s="44"/>
      <c r="ENR27" s="44"/>
      <c r="ENS27" s="44"/>
      <c r="ENT27" s="44"/>
      <c r="ENU27" s="44"/>
      <c r="ENV27" s="44"/>
      <c r="ENW27" s="44"/>
      <c r="ENX27" s="43"/>
      <c r="ENY27" s="44"/>
      <c r="ENZ27" s="44"/>
      <c r="EOA27" s="44"/>
      <c r="EOB27" s="44"/>
      <c r="EOC27" s="44"/>
      <c r="EOD27" s="44"/>
      <c r="EOE27" s="44"/>
      <c r="EOF27" s="44"/>
      <c r="EOG27" s="44"/>
      <c r="EOH27" s="44"/>
      <c r="EOI27" s="44"/>
      <c r="EOJ27" s="44"/>
      <c r="EOK27" s="44"/>
      <c r="EOL27" s="44"/>
      <c r="EOM27" s="43"/>
      <c r="EON27" s="44"/>
      <c r="EOO27" s="44"/>
      <c r="EOP27" s="44"/>
      <c r="EOQ27" s="44"/>
      <c r="EOR27" s="44"/>
      <c r="EOS27" s="44"/>
      <c r="EOT27" s="44"/>
      <c r="EOU27" s="44"/>
      <c r="EOV27" s="44"/>
      <c r="EOW27" s="44"/>
      <c r="EOX27" s="44"/>
      <c r="EOY27" s="44"/>
      <c r="EOZ27" s="44"/>
      <c r="EPA27" s="44"/>
      <c r="EPB27" s="43"/>
      <c r="EPC27" s="44"/>
      <c r="EPD27" s="44"/>
      <c r="EPE27" s="44"/>
      <c r="EPF27" s="44"/>
      <c r="EPG27" s="44"/>
      <c r="EPH27" s="44"/>
      <c r="EPI27" s="44"/>
      <c r="EPJ27" s="44"/>
      <c r="EPK27" s="44"/>
      <c r="EPL27" s="44"/>
      <c r="EPM27" s="44"/>
      <c r="EPN27" s="44"/>
      <c r="EPO27" s="44"/>
      <c r="EPP27" s="44"/>
      <c r="EPQ27" s="43"/>
      <c r="EPR27" s="44"/>
      <c r="EPS27" s="44"/>
      <c r="EPT27" s="44"/>
      <c r="EPU27" s="44"/>
      <c r="EPV27" s="44"/>
      <c r="EPW27" s="44"/>
      <c r="EPX27" s="44"/>
      <c r="EPY27" s="44"/>
      <c r="EPZ27" s="44"/>
      <c r="EQA27" s="44"/>
      <c r="EQB27" s="44"/>
      <c r="EQC27" s="44"/>
      <c r="EQD27" s="44"/>
      <c r="EQE27" s="44"/>
      <c r="EQF27" s="43"/>
      <c r="EQG27" s="44"/>
      <c r="EQH27" s="44"/>
      <c r="EQI27" s="44"/>
      <c r="EQJ27" s="44"/>
      <c r="EQK27" s="44"/>
      <c r="EQL27" s="44"/>
      <c r="EQM27" s="44"/>
      <c r="EQN27" s="44"/>
      <c r="EQO27" s="44"/>
      <c r="EQP27" s="44"/>
      <c r="EQQ27" s="44"/>
      <c r="EQR27" s="44"/>
      <c r="EQS27" s="44"/>
      <c r="EQT27" s="44"/>
      <c r="EQU27" s="43"/>
      <c r="EQV27" s="44"/>
      <c r="EQW27" s="44"/>
      <c r="EQX27" s="44"/>
      <c r="EQY27" s="44"/>
      <c r="EQZ27" s="44"/>
      <c r="ERA27" s="44"/>
      <c r="ERB27" s="44"/>
      <c r="ERC27" s="44"/>
      <c r="ERD27" s="44"/>
      <c r="ERE27" s="44"/>
      <c r="ERF27" s="44"/>
      <c r="ERG27" s="44"/>
      <c r="ERH27" s="44"/>
      <c r="ERI27" s="44"/>
      <c r="ERJ27" s="43"/>
      <c r="ERK27" s="44"/>
      <c r="ERL27" s="44"/>
      <c r="ERM27" s="44"/>
      <c r="ERN27" s="44"/>
      <c r="ERO27" s="44"/>
      <c r="ERP27" s="44"/>
      <c r="ERQ27" s="44"/>
      <c r="ERR27" s="44"/>
      <c r="ERS27" s="44"/>
      <c r="ERT27" s="44"/>
      <c r="ERU27" s="44"/>
      <c r="ERV27" s="44"/>
      <c r="ERW27" s="44"/>
      <c r="ERX27" s="44"/>
      <c r="ERY27" s="43"/>
      <c r="ERZ27" s="44"/>
      <c r="ESA27" s="44"/>
      <c r="ESB27" s="44"/>
      <c r="ESC27" s="44"/>
      <c r="ESD27" s="44"/>
      <c r="ESE27" s="44"/>
      <c r="ESF27" s="44"/>
      <c r="ESG27" s="44"/>
      <c r="ESH27" s="44"/>
      <c r="ESI27" s="44"/>
      <c r="ESJ27" s="44"/>
      <c r="ESK27" s="44"/>
      <c r="ESL27" s="44"/>
      <c r="ESM27" s="44"/>
      <c r="ESN27" s="43"/>
      <c r="ESO27" s="44"/>
      <c r="ESP27" s="44"/>
      <c r="ESQ27" s="44"/>
      <c r="ESR27" s="44"/>
      <c r="ESS27" s="44"/>
      <c r="EST27" s="44"/>
      <c r="ESU27" s="44"/>
      <c r="ESV27" s="44"/>
      <c r="ESW27" s="44"/>
      <c r="ESX27" s="44"/>
      <c r="ESY27" s="44"/>
      <c r="ESZ27" s="44"/>
      <c r="ETA27" s="44"/>
      <c r="ETB27" s="44"/>
      <c r="ETC27" s="43"/>
      <c r="ETD27" s="44"/>
      <c r="ETE27" s="44"/>
      <c r="ETF27" s="44"/>
      <c r="ETG27" s="44"/>
      <c r="ETH27" s="44"/>
      <c r="ETI27" s="44"/>
      <c r="ETJ27" s="44"/>
      <c r="ETK27" s="44"/>
      <c r="ETL27" s="44"/>
      <c r="ETM27" s="44"/>
      <c r="ETN27" s="44"/>
      <c r="ETO27" s="44"/>
      <c r="ETP27" s="44"/>
      <c r="ETQ27" s="44"/>
      <c r="ETR27" s="43"/>
      <c r="ETS27" s="44"/>
      <c r="ETT27" s="44"/>
      <c r="ETU27" s="44"/>
      <c r="ETV27" s="44"/>
      <c r="ETW27" s="44"/>
      <c r="ETX27" s="44"/>
      <c r="ETY27" s="44"/>
      <c r="ETZ27" s="44"/>
      <c r="EUA27" s="44"/>
      <c r="EUB27" s="44"/>
      <c r="EUC27" s="44"/>
      <c r="EUD27" s="44"/>
      <c r="EUE27" s="44"/>
      <c r="EUF27" s="44"/>
      <c r="EUG27" s="43"/>
      <c r="EUH27" s="44"/>
      <c r="EUI27" s="44"/>
      <c r="EUJ27" s="44"/>
      <c r="EUK27" s="44"/>
      <c r="EUL27" s="44"/>
      <c r="EUM27" s="44"/>
      <c r="EUN27" s="44"/>
      <c r="EUO27" s="44"/>
      <c r="EUP27" s="44"/>
      <c r="EUQ27" s="44"/>
      <c r="EUR27" s="44"/>
      <c r="EUS27" s="44"/>
      <c r="EUT27" s="44"/>
      <c r="EUU27" s="44"/>
      <c r="EUV27" s="43"/>
      <c r="EUW27" s="44"/>
      <c r="EUX27" s="44"/>
      <c r="EUY27" s="44"/>
      <c r="EUZ27" s="44"/>
      <c r="EVA27" s="44"/>
      <c r="EVB27" s="44"/>
      <c r="EVC27" s="44"/>
      <c r="EVD27" s="44"/>
      <c r="EVE27" s="44"/>
      <c r="EVF27" s="44"/>
      <c r="EVG27" s="44"/>
      <c r="EVH27" s="44"/>
      <c r="EVI27" s="44"/>
      <c r="EVJ27" s="44"/>
      <c r="EVK27" s="43"/>
      <c r="EVL27" s="44"/>
      <c r="EVM27" s="44"/>
      <c r="EVN27" s="44"/>
      <c r="EVO27" s="44"/>
      <c r="EVP27" s="44"/>
      <c r="EVQ27" s="44"/>
      <c r="EVR27" s="44"/>
      <c r="EVS27" s="44"/>
      <c r="EVT27" s="44"/>
      <c r="EVU27" s="44"/>
      <c r="EVV27" s="44"/>
      <c r="EVW27" s="44"/>
      <c r="EVX27" s="44"/>
      <c r="EVY27" s="44"/>
      <c r="EVZ27" s="43"/>
      <c r="EWA27" s="44"/>
      <c r="EWB27" s="44"/>
      <c r="EWC27" s="44"/>
      <c r="EWD27" s="44"/>
      <c r="EWE27" s="44"/>
      <c r="EWF27" s="44"/>
      <c r="EWG27" s="44"/>
      <c r="EWH27" s="44"/>
      <c r="EWI27" s="44"/>
      <c r="EWJ27" s="44"/>
      <c r="EWK27" s="44"/>
      <c r="EWL27" s="44"/>
      <c r="EWM27" s="44"/>
      <c r="EWN27" s="44"/>
      <c r="EWO27" s="43"/>
      <c r="EWP27" s="44"/>
      <c r="EWQ27" s="44"/>
      <c r="EWR27" s="44"/>
      <c r="EWS27" s="44"/>
      <c r="EWT27" s="44"/>
      <c r="EWU27" s="44"/>
      <c r="EWV27" s="44"/>
      <c r="EWW27" s="44"/>
      <c r="EWX27" s="44"/>
      <c r="EWY27" s="44"/>
      <c r="EWZ27" s="44"/>
      <c r="EXA27" s="44"/>
      <c r="EXB27" s="44"/>
      <c r="EXC27" s="44"/>
      <c r="EXD27" s="43"/>
      <c r="EXE27" s="44"/>
      <c r="EXF27" s="44"/>
      <c r="EXG27" s="44"/>
      <c r="EXH27" s="44"/>
      <c r="EXI27" s="44"/>
      <c r="EXJ27" s="44"/>
      <c r="EXK27" s="44"/>
      <c r="EXL27" s="44"/>
      <c r="EXM27" s="44"/>
      <c r="EXN27" s="44"/>
      <c r="EXO27" s="44"/>
      <c r="EXP27" s="44"/>
      <c r="EXQ27" s="44"/>
      <c r="EXR27" s="44"/>
      <c r="EXS27" s="43"/>
      <c r="EXT27" s="44"/>
      <c r="EXU27" s="44"/>
      <c r="EXV27" s="44"/>
      <c r="EXW27" s="44"/>
      <c r="EXX27" s="44"/>
      <c r="EXY27" s="44"/>
      <c r="EXZ27" s="44"/>
      <c r="EYA27" s="44"/>
      <c r="EYB27" s="44"/>
      <c r="EYC27" s="44"/>
      <c r="EYD27" s="44"/>
      <c r="EYE27" s="44"/>
      <c r="EYF27" s="44"/>
      <c r="EYG27" s="44"/>
      <c r="EYH27" s="43"/>
      <c r="EYI27" s="44"/>
      <c r="EYJ27" s="44"/>
      <c r="EYK27" s="44"/>
      <c r="EYL27" s="44"/>
      <c r="EYM27" s="44"/>
      <c r="EYN27" s="44"/>
      <c r="EYO27" s="44"/>
      <c r="EYP27" s="44"/>
      <c r="EYQ27" s="44"/>
      <c r="EYR27" s="44"/>
      <c r="EYS27" s="44"/>
      <c r="EYT27" s="44"/>
      <c r="EYU27" s="44"/>
      <c r="EYV27" s="44"/>
      <c r="EYW27" s="43"/>
      <c r="EYX27" s="44"/>
      <c r="EYY27" s="44"/>
      <c r="EYZ27" s="44"/>
      <c r="EZA27" s="44"/>
      <c r="EZB27" s="44"/>
      <c r="EZC27" s="44"/>
      <c r="EZD27" s="44"/>
      <c r="EZE27" s="44"/>
      <c r="EZF27" s="44"/>
      <c r="EZG27" s="44"/>
      <c r="EZH27" s="44"/>
      <c r="EZI27" s="44"/>
      <c r="EZJ27" s="44"/>
      <c r="EZK27" s="44"/>
      <c r="EZL27" s="43"/>
      <c r="EZM27" s="44"/>
      <c r="EZN27" s="44"/>
      <c r="EZO27" s="44"/>
      <c r="EZP27" s="44"/>
      <c r="EZQ27" s="44"/>
      <c r="EZR27" s="44"/>
      <c r="EZS27" s="44"/>
      <c r="EZT27" s="44"/>
      <c r="EZU27" s="44"/>
      <c r="EZV27" s="44"/>
      <c r="EZW27" s="44"/>
      <c r="EZX27" s="44"/>
      <c r="EZY27" s="44"/>
      <c r="EZZ27" s="44"/>
      <c r="FAA27" s="43"/>
      <c r="FAB27" s="44"/>
      <c r="FAC27" s="44"/>
      <c r="FAD27" s="44"/>
      <c r="FAE27" s="44"/>
      <c r="FAF27" s="44"/>
      <c r="FAG27" s="44"/>
      <c r="FAH27" s="44"/>
      <c r="FAI27" s="44"/>
      <c r="FAJ27" s="44"/>
      <c r="FAK27" s="44"/>
      <c r="FAL27" s="44"/>
      <c r="FAM27" s="44"/>
      <c r="FAN27" s="44"/>
      <c r="FAO27" s="44"/>
      <c r="FAP27" s="43"/>
      <c r="FAQ27" s="44"/>
      <c r="FAR27" s="44"/>
      <c r="FAS27" s="44"/>
      <c r="FAT27" s="44"/>
      <c r="FAU27" s="44"/>
      <c r="FAV27" s="44"/>
      <c r="FAW27" s="44"/>
      <c r="FAX27" s="44"/>
      <c r="FAY27" s="44"/>
      <c r="FAZ27" s="44"/>
      <c r="FBA27" s="44"/>
      <c r="FBB27" s="44"/>
      <c r="FBC27" s="44"/>
      <c r="FBD27" s="44"/>
      <c r="FBE27" s="43"/>
      <c r="FBF27" s="44"/>
      <c r="FBG27" s="44"/>
      <c r="FBH27" s="44"/>
      <c r="FBI27" s="44"/>
      <c r="FBJ27" s="44"/>
      <c r="FBK27" s="44"/>
      <c r="FBL27" s="44"/>
      <c r="FBM27" s="44"/>
      <c r="FBN27" s="44"/>
      <c r="FBO27" s="44"/>
      <c r="FBP27" s="44"/>
      <c r="FBQ27" s="44"/>
      <c r="FBR27" s="44"/>
      <c r="FBS27" s="44"/>
      <c r="FBT27" s="43"/>
      <c r="FBU27" s="44"/>
      <c r="FBV27" s="44"/>
      <c r="FBW27" s="44"/>
      <c r="FBX27" s="44"/>
      <c r="FBY27" s="44"/>
      <c r="FBZ27" s="44"/>
      <c r="FCA27" s="44"/>
      <c r="FCB27" s="44"/>
      <c r="FCC27" s="44"/>
      <c r="FCD27" s="44"/>
      <c r="FCE27" s="44"/>
      <c r="FCF27" s="44"/>
      <c r="FCG27" s="44"/>
      <c r="FCH27" s="44"/>
      <c r="FCI27" s="43"/>
      <c r="FCJ27" s="44"/>
      <c r="FCK27" s="44"/>
      <c r="FCL27" s="44"/>
      <c r="FCM27" s="44"/>
      <c r="FCN27" s="44"/>
      <c r="FCO27" s="44"/>
      <c r="FCP27" s="44"/>
      <c r="FCQ27" s="44"/>
      <c r="FCR27" s="44"/>
      <c r="FCS27" s="44"/>
      <c r="FCT27" s="44"/>
      <c r="FCU27" s="44"/>
      <c r="FCV27" s="44"/>
      <c r="FCW27" s="44"/>
      <c r="FCX27" s="43"/>
      <c r="FCY27" s="44"/>
      <c r="FCZ27" s="44"/>
      <c r="FDA27" s="44"/>
      <c r="FDB27" s="44"/>
      <c r="FDC27" s="44"/>
      <c r="FDD27" s="44"/>
      <c r="FDE27" s="44"/>
      <c r="FDF27" s="44"/>
      <c r="FDG27" s="44"/>
      <c r="FDH27" s="44"/>
      <c r="FDI27" s="44"/>
      <c r="FDJ27" s="44"/>
      <c r="FDK27" s="44"/>
      <c r="FDL27" s="44"/>
      <c r="FDM27" s="43"/>
      <c r="FDN27" s="44"/>
      <c r="FDO27" s="44"/>
      <c r="FDP27" s="44"/>
      <c r="FDQ27" s="44"/>
      <c r="FDR27" s="44"/>
      <c r="FDS27" s="44"/>
      <c r="FDT27" s="44"/>
      <c r="FDU27" s="44"/>
      <c r="FDV27" s="44"/>
      <c r="FDW27" s="44"/>
      <c r="FDX27" s="44"/>
      <c r="FDY27" s="44"/>
      <c r="FDZ27" s="44"/>
      <c r="FEA27" s="44"/>
      <c r="FEB27" s="43"/>
      <c r="FEC27" s="44"/>
      <c r="FED27" s="44"/>
      <c r="FEE27" s="44"/>
      <c r="FEF27" s="44"/>
      <c r="FEG27" s="44"/>
      <c r="FEH27" s="44"/>
      <c r="FEI27" s="44"/>
      <c r="FEJ27" s="44"/>
      <c r="FEK27" s="44"/>
      <c r="FEL27" s="44"/>
      <c r="FEM27" s="44"/>
      <c r="FEN27" s="44"/>
      <c r="FEO27" s="44"/>
      <c r="FEP27" s="44"/>
      <c r="FEQ27" s="43"/>
      <c r="FER27" s="44"/>
      <c r="FES27" s="44"/>
      <c r="FET27" s="44"/>
      <c r="FEU27" s="44"/>
      <c r="FEV27" s="44"/>
      <c r="FEW27" s="44"/>
      <c r="FEX27" s="44"/>
      <c r="FEY27" s="44"/>
      <c r="FEZ27" s="44"/>
      <c r="FFA27" s="44"/>
      <c r="FFB27" s="44"/>
      <c r="FFC27" s="44"/>
      <c r="FFD27" s="44"/>
      <c r="FFE27" s="44"/>
      <c r="FFF27" s="43"/>
      <c r="FFG27" s="44"/>
      <c r="FFH27" s="44"/>
      <c r="FFI27" s="44"/>
      <c r="FFJ27" s="44"/>
      <c r="FFK27" s="44"/>
      <c r="FFL27" s="44"/>
      <c r="FFM27" s="44"/>
      <c r="FFN27" s="44"/>
      <c r="FFO27" s="44"/>
      <c r="FFP27" s="44"/>
      <c r="FFQ27" s="44"/>
      <c r="FFR27" s="44"/>
      <c r="FFS27" s="44"/>
      <c r="FFT27" s="44"/>
      <c r="FFU27" s="43"/>
      <c r="FFV27" s="44"/>
      <c r="FFW27" s="44"/>
      <c r="FFX27" s="44"/>
      <c r="FFY27" s="44"/>
      <c r="FFZ27" s="44"/>
      <c r="FGA27" s="44"/>
      <c r="FGB27" s="44"/>
      <c r="FGC27" s="44"/>
      <c r="FGD27" s="44"/>
      <c r="FGE27" s="44"/>
      <c r="FGF27" s="44"/>
      <c r="FGG27" s="44"/>
      <c r="FGH27" s="44"/>
      <c r="FGI27" s="44"/>
      <c r="FGJ27" s="43"/>
      <c r="FGK27" s="44"/>
      <c r="FGL27" s="44"/>
      <c r="FGM27" s="44"/>
      <c r="FGN27" s="44"/>
      <c r="FGO27" s="44"/>
      <c r="FGP27" s="44"/>
      <c r="FGQ27" s="44"/>
      <c r="FGR27" s="44"/>
      <c r="FGS27" s="44"/>
      <c r="FGT27" s="44"/>
      <c r="FGU27" s="44"/>
      <c r="FGV27" s="44"/>
      <c r="FGW27" s="44"/>
      <c r="FGX27" s="44"/>
      <c r="FGY27" s="43"/>
      <c r="FGZ27" s="44"/>
      <c r="FHA27" s="44"/>
      <c r="FHB27" s="44"/>
      <c r="FHC27" s="44"/>
      <c r="FHD27" s="44"/>
      <c r="FHE27" s="44"/>
      <c r="FHF27" s="44"/>
      <c r="FHG27" s="44"/>
      <c r="FHH27" s="44"/>
      <c r="FHI27" s="44"/>
      <c r="FHJ27" s="44"/>
      <c r="FHK27" s="44"/>
      <c r="FHL27" s="44"/>
      <c r="FHM27" s="44"/>
      <c r="FHN27" s="43"/>
      <c r="FHO27" s="44"/>
      <c r="FHP27" s="44"/>
      <c r="FHQ27" s="44"/>
      <c r="FHR27" s="44"/>
      <c r="FHS27" s="44"/>
      <c r="FHT27" s="44"/>
      <c r="FHU27" s="44"/>
      <c r="FHV27" s="44"/>
      <c r="FHW27" s="44"/>
      <c r="FHX27" s="44"/>
      <c r="FHY27" s="44"/>
      <c r="FHZ27" s="44"/>
      <c r="FIA27" s="44"/>
      <c r="FIB27" s="44"/>
      <c r="FIC27" s="43"/>
      <c r="FID27" s="44"/>
      <c r="FIE27" s="44"/>
      <c r="FIF27" s="44"/>
      <c r="FIG27" s="44"/>
      <c r="FIH27" s="44"/>
      <c r="FII27" s="44"/>
      <c r="FIJ27" s="44"/>
      <c r="FIK27" s="44"/>
      <c r="FIL27" s="44"/>
      <c r="FIM27" s="44"/>
      <c r="FIN27" s="44"/>
      <c r="FIO27" s="44"/>
      <c r="FIP27" s="44"/>
      <c r="FIQ27" s="44"/>
      <c r="FIR27" s="43"/>
      <c r="FIS27" s="44"/>
      <c r="FIT27" s="44"/>
      <c r="FIU27" s="44"/>
      <c r="FIV27" s="44"/>
      <c r="FIW27" s="44"/>
      <c r="FIX27" s="44"/>
      <c r="FIY27" s="44"/>
      <c r="FIZ27" s="44"/>
      <c r="FJA27" s="44"/>
      <c r="FJB27" s="44"/>
      <c r="FJC27" s="44"/>
      <c r="FJD27" s="44"/>
      <c r="FJE27" s="44"/>
      <c r="FJF27" s="44"/>
      <c r="FJG27" s="43"/>
      <c r="FJH27" s="44"/>
      <c r="FJI27" s="44"/>
      <c r="FJJ27" s="44"/>
      <c r="FJK27" s="44"/>
      <c r="FJL27" s="44"/>
      <c r="FJM27" s="44"/>
      <c r="FJN27" s="44"/>
      <c r="FJO27" s="44"/>
      <c r="FJP27" s="44"/>
      <c r="FJQ27" s="44"/>
      <c r="FJR27" s="44"/>
      <c r="FJS27" s="44"/>
      <c r="FJT27" s="44"/>
      <c r="FJU27" s="44"/>
      <c r="FJV27" s="43"/>
      <c r="FJW27" s="44"/>
      <c r="FJX27" s="44"/>
      <c r="FJY27" s="44"/>
      <c r="FJZ27" s="44"/>
      <c r="FKA27" s="44"/>
      <c r="FKB27" s="44"/>
      <c r="FKC27" s="44"/>
      <c r="FKD27" s="44"/>
      <c r="FKE27" s="44"/>
      <c r="FKF27" s="44"/>
      <c r="FKG27" s="44"/>
      <c r="FKH27" s="44"/>
      <c r="FKI27" s="44"/>
      <c r="FKJ27" s="44"/>
      <c r="FKK27" s="43"/>
      <c r="FKL27" s="44"/>
      <c r="FKM27" s="44"/>
      <c r="FKN27" s="44"/>
      <c r="FKO27" s="44"/>
      <c r="FKP27" s="44"/>
      <c r="FKQ27" s="44"/>
      <c r="FKR27" s="44"/>
      <c r="FKS27" s="44"/>
      <c r="FKT27" s="44"/>
      <c r="FKU27" s="44"/>
      <c r="FKV27" s="44"/>
      <c r="FKW27" s="44"/>
      <c r="FKX27" s="44"/>
      <c r="FKY27" s="44"/>
      <c r="FKZ27" s="43"/>
      <c r="FLA27" s="44"/>
      <c r="FLB27" s="44"/>
      <c r="FLC27" s="44"/>
      <c r="FLD27" s="44"/>
      <c r="FLE27" s="44"/>
      <c r="FLF27" s="44"/>
      <c r="FLG27" s="44"/>
      <c r="FLH27" s="44"/>
      <c r="FLI27" s="44"/>
      <c r="FLJ27" s="44"/>
      <c r="FLK27" s="44"/>
      <c r="FLL27" s="44"/>
      <c r="FLM27" s="44"/>
      <c r="FLN27" s="44"/>
      <c r="FLO27" s="43"/>
      <c r="FLP27" s="44"/>
      <c r="FLQ27" s="44"/>
      <c r="FLR27" s="44"/>
      <c r="FLS27" s="44"/>
      <c r="FLT27" s="44"/>
      <c r="FLU27" s="44"/>
      <c r="FLV27" s="44"/>
      <c r="FLW27" s="44"/>
      <c r="FLX27" s="44"/>
      <c r="FLY27" s="44"/>
      <c r="FLZ27" s="44"/>
      <c r="FMA27" s="44"/>
      <c r="FMB27" s="44"/>
      <c r="FMC27" s="44"/>
      <c r="FMD27" s="43"/>
      <c r="FME27" s="44"/>
      <c r="FMF27" s="44"/>
      <c r="FMG27" s="44"/>
      <c r="FMH27" s="44"/>
      <c r="FMI27" s="44"/>
      <c r="FMJ27" s="44"/>
      <c r="FMK27" s="44"/>
      <c r="FML27" s="44"/>
      <c r="FMM27" s="44"/>
      <c r="FMN27" s="44"/>
      <c r="FMO27" s="44"/>
      <c r="FMP27" s="44"/>
      <c r="FMQ27" s="44"/>
      <c r="FMR27" s="44"/>
      <c r="FMS27" s="43"/>
      <c r="FMT27" s="44"/>
      <c r="FMU27" s="44"/>
      <c r="FMV27" s="44"/>
      <c r="FMW27" s="44"/>
      <c r="FMX27" s="44"/>
      <c r="FMY27" s="44"/>
      <c r="FMZ27" s="44"/>
      <c r="FNA27" s="44"/>
      <c r="FNB27" s="44"/>
      <c r="FNC27" s="44"/>
      <c r="FND27" s="44"/>
      <c r="FNE27" s="44"/>
      <c r="FNF27" s="44"/>
      <c r="FNG27" s="44"/>
      <c r="FNH27" s="43"/>
      <c r="FNI27" s="44"/>
      <c r="FNJ27" s="44"/>
      <c r="FNK27" s="44"/>
      <c r="FNL27" s="44"/>
      <c r="FNM27" s="44"/>
      <c r="FNN27" s="44"/>
      <c r="FNO27" s="44"/>
      <c r="FNP27" s="44"/>
      <c r="FNQ27" s="44"/>
      <c r="FNR27" s="44"/>
      <c r="FNS27" s="44"/>
      <c r="FNT27" s="44"/>
      <c r="FNU27" s="44"/>
      <c r="FNV27" s="44"/>
      <c r="FNW27" s="43"/>
      <c r="FNX27" s="44"/>
      <c r="FNY27" s="44"/>
      <c r="FNZ27" s="44"/>
      <c r="FOA27" s="44"/>
      <c r="FOB27" s="44"/>
      <c r="FOC27" s="44"/>
      <c r="FOD27" s="44"/>
      <c r="FOE27" s="44"/>
      <c r="FOF27" s="44"/>
      <c r="FOG27" s="44"/>
      <c r="FOH27" s="44"/>
      <c r="FOI27" s="44"/>
      <c r="FOJ27" s="44"/>
      <c r="FOK27" s="44"/>
      <c r="FOL27" s="43"/>
      <c r="FOM27" s="44"/>
      <c r="FON27" s="44"/>
      <c r="FOO27" s="44"/>
      <c r="FOP27" s="44"/>
      <c r="FOQ27" s="44"/>
      <c r="FOR27" s="44"/>
      <c r="FOS27" s="44"/>
      <c r="FOT27" s="44"/>
      <c r="FOU27" s="44"/>
      <c r="FOV27" s="44"/>
      <c r="FOW27" s="44"/>
      <c r="FOX27" s="44"/>
      <c r="FOY27" s="44"/>
      <c r="FOZ27" s="44"/>
      <c r="FPA27" s="43"/>
      <c r="FPB27" s="44"/>
      <c r="FPC27" s="44"/>
      <c r="FPD27" s="44"/>
      <c r="FPE27" s="44"/>
      <c r="FPF27" s="44"/>
      <c r="FPG27" s="44"/>
      <c r="FPH27" s="44"/>
      <c r="FPI27" s="44"/>
      <c r="FPJ27" s="44"/>
      <c r="FPK27" s="44"/>
      <c r="FPL27" s="44"/>
      <c r="FPM27" s="44"/>
      <c r="FPN27" s="44"/>
      <c r="FPO27" s="44"/>
      <c r="FPP27" s="43"/>
      <c r="FPQ27" s="44"/>
      <c r="FPR27" s="44"/>
      <c r="FPS27" s="44"/>
      <c r="FPT27" s="44"/>
      <c r="FPU27" s="44"/>
      <c r="FPV27" s="44"/>
      <c r="FPW27" s="44"/>
      <c r="FPX27" s="44"/>
      <c r="FPY27" s="44"/>
      <c r="FPZ27" s="44"/>
      <c r="FQA27" s="44"/>
      <c r="FQB27" s="44"/>
      <c r="FQC27" s="44"/>
      <c r="FQD27" s="44"/>
      <c r="FQE27" s="43"/>
      <c r="FQF27" s="44"/>
      <c r="FQG27" s="44"/>
      <c r="FQH27" s="44"/>
      <c r="FQI27" s="44"/>
      <c r="FQJ27" s="44"/>
      <c r="FQK27" s="44"/>
      <c r="FQL27" s="44"/>
      <c r="FQM27" s="44"/>
      <c r="FQN27" s="44"/>
      <c r="FQO27" s="44"/>
      <c r="FQP27" s="44"/>
      <c r="FQQ27" s="44"/>
      <c r="FQR27" s="44"/>
      <c r="FQS27" s="44"/>
      <c r="FQT27" s="43"/>
      <c r="FQU27" s="44"/>
      <c r="FQV27" s="44"/>
      <c r="FQW27" s="44"/>
      <c r="FQX27" s="44"/>
      <c r="FQY27" s="44"/>
      <c r="FQZ27" s="44"/>
      <c r="FRA27" s="44"/>
      <c r="FRB27" s="44"/>
      <c r="FRC27" s="44"/>
      <c r="FRD27" s="44"/>
      <c r="FRE27" s="44"/>
      <c r="FRF27" s="44"/>
      <c r="FRG27" s="44"/>
      <c r="FRH27" s="44"/>
      <c r="FRI27" s="43"/>
      <c r="FRJ27" s="44"/>
      <c r="FRK27" s="44"/>
      <c r="FRL27" s="44"/>
      <c r="FRM27" s="44"/>
      <c r="FRN27" s="44"/>
      <c r="FRO27" s="44"/>
      <c r="FRP27" s="44"/>
      <c r="FRQ27" s="44"/>
      <c r="FRR27" s="44"/>
      <c r="FRS27" s="44"/>
      <c r="FRT27" s="44"/>
      <c r="FRU27" s="44"/>
      <c r="FRV27" s="44"/>
      <c r="FRW27" s="44"/>
      <c r="FRX27" s="43"/>
      <c r="FRY27" s="44"/>
      <c r="FRZ27" s="44"/>
      <c r="FSA27" s="44"/>
      <c r="FSB27" s="44"/>
      <c r="FSC27" s="44"/>
      <c r="FSD27" s="44"/>
      <c r="FSE27" s="44"/>
      <c r="FSF27" s="44"/>
      <c r="FSG27" s="44"/>
      <c r="FSH27" s="44"/>
      <c r="FSI27" s="44"/>
      <c r="FSJ27" s="44"/>
      <c r="FSK27" s="44"/>
      <c r="FSL27" s="44"/>
      <c r="FSM27" s="43"/>
      <c r="FSN27" s="44"/>
      <c r="FSO27" s="44"/>
      <c r="FSP27" s="44"/>
      <c r="FSQ27" s="44"/>
      <c r="FSR27" s="44"/>
      <c r="FSS27" s="44"/>
      <c r="FST27" s="44"/>
      <c r="FSU27" s="44"/>
      <c r="FSV27" s="44"/>
      <c r="FSW27" s="44"/>
      <c r="FSX27" s="44"/>
      <c r="FSY27" s="44"/>
      <c r="FSZ27" s="44"/>
      <c r="FTA27" s="44"/>
      <c r="FTB27" s="43"/>
      <c r="FTC27" s="44"/>
      <c r="FTD27" s="44"/>
      <c r="FTE27" s="44"/>
      <c r="FTF27" s="44"/>
      <c r="FTG27" s="44"/>
      <c r="FTH27" s="44"/>
      <c r="FTI27" s="44"/>
      <c r="FTJ27" s="44"/>
      <c r="FTK27" s="44"/>
      <c r="FTL27" s="44"/>
      <c r="FTM27" s="44"/>
      <c r="FTN27" s="44"/>
      <c r="FTO27" s="44"/>
      <c r="FTP27" s="44"/>
      <c r="FTQ27" s="43"/>
      <c r="FTR27" s="44"/>
      <c r="FTS27" s="44"/>
      <c r="FTT27" s="44"/>
      <c r="FTU27" s="44"/>
      <c r="FTV27" s="44"/>
      <c r="FTW27" s="44"/>
      <c r="FTX27" s="44"/>
      <c r="FTY27" s="44"/>
      <c r="FTZ27" s="44"/>
      <c r="FUA27" s="44"/>
      <c r="FUB27" s="44"/>
      <c r="FUC27" s="44"/>
      <c r="FUD27" s="44"/>
      <c r="FUE27" s="44"/>
      <c r="FUF27" s="43"/>
      <c r="FUG27" s="44"/>
      <c r="FUH27" s="44"/>
      <c r="FUI27" s="44"/>
      <c r="FUJ27" s="44"/>
      <c r="FUK27" s="44"/>
      <c r="FUL27" s="44"/>
      <c r="FUM27" s="44"/>
      <c r="FUN27" s="44"/>
      <c r="FUO27" s="44"/>
      <c r="FUP27" s="44"/>
      <c r="FUQ27" s="44"/>
      <c r="FUR27" s="44"/>
      <c r="FUS27" s="44"/>
      <c r="FUT27" s="44"/>
      <c r="FUU27" s="43"/>
      <c r="FUV27" s="44"/>
      <c r="FUW27" s="44"/>
      <c r="FUX27" s="44"/>
      <c r="FUY27" s="44"/>
      <c r="FUZ27" s="44"/>
      <c r="FVA27" s="44"/>
      <c r="FVB27" s="44"/>
      <c r="FVC27" s="44"/>
      <c r="FVD27" s="44"/>
      <c r="FVE27" s="44"/>
      <c r="FVF27" s="44"/>
      <c r="FVG27" s="44"/>
      <c r="FVH27" s="44"/>
      <c r="FVI27" s="44"/>
      <c r="FVJ27" s="43"/>
      <c r="FVK27" s="44"/>
      <c r="FVL27" s="44"/>
      <c r="FVM27" s="44"/>
      <c r="FVN27" s="44"/>
      <c r="FVO27" s="44"/>
      <c r="FVP27" s="44"/>
      <c r="FVQ27" s="44"/>
      <c r="FVR27" s="44"/>
      <c r="FVS27" s="44"/>
      <c r="FVT27" s="44"/>
      <c r="FVU27" s="44"/>
      <c r="FVV27" s="44"/>
      <c r="FVW27" s="44"/>
      <c r="FVX27" s="44"/>
      <c r="FVY27" s="43"/>
      <c r="FVZ27" s="44"/>
      <c r="FWA27" s="44"/>
      <c r="FWB27" s="44"/>
      <c r="FWC27" s="44"/>
      <c r="FWD27" s="44"/>
      <c r="FWE27" s="44"/>
      <c r="FWF27" s="44"/>
      <c r="FWG27" s="44"/>
      <c r="FWH27" s="44"/>
      <c r="FWI27" s="44"/>
      <c r="FWJ27" s="44"/>
      <c r="FWK27" s="44"/>
      <c r="FWL27" s="44"/>
      <c r="FWM27" s="44"/>
      <c r="FWN27" s="43"/>
      <c r="FWO27" s="44"/>
      <c r="FWP27" s="44"/>
      <c r="FWQ27" s="44"/>
      <c r="FWR27" s="44"/>
      <c r="FWS27" s="44"/>
      <c r="FWT27" s="44"/>
      <c r="FWU27" s="44"/>
      <c r="FWV27" s="44"/>
      <c r="FWW27" s="44"/>
      <c r="FWX27" s="44"/>
      <c r="FWY27" s="44"/>
      <c r="FWZ27" s="44"/>
      <c r="FXA27" s="44"/>
      <c r="FXB27" s="44"/>
      <c r="FXC27" s="43"/>
      <c r="FXD27" s="44"/>
      <c r="FXE27" s="44"/>
      <c r="FXF27" s="44"/>
      <c r="FXG27" s="44"/>
      <c r="FXH27" s="44"/>
      <c r="FXI27" s="44"/>
      <c r="FXJ27" s="44"/>
      <c r="FXK27" s="44"/>
      <c r="FXL27" s="44"/>
      <c r="FXM27" s="44"/>
      <c r="FXN27" s="44"/>
      <c r="FXO27" s="44"/>
      <c r="FXP27" s="44"/>
      <c r="FXQ27" s="44"/>
      <c r="FXR27" s="43"/>
      <c r="FXS27" s="44"/>
      <c r="FXT27" s="44"/>
      <c r="FXU27" s="44"/>
      <c r="FXV27" s="44"/>
      <c r="FXW27" s="44"/>
      <c r="FXX27" s="44"/>
      <c r="FXY27" s="44"/>
      <c r="FXZ27" s="44"/>
      <c r="FYA27" s="44"/>
      <c r="FYB27" s="44"/>
      <c r="FYC27" s="44"/>
      <c r="FYD27" s="44"/>
      <c r="FYE27" s="44"/>
      <c r="FYF27" s="44"/>
      <c r="FYG27" s="43"/>
      <c r="FYH27" s="44"/>
      <c r="FYI27" s="44"/>
      <c r="FYJ27" s="44"/>
      <c r="FYK27" s="44"/>
      <c r="FYL27" s="44"/>
      <c r="FYM27" s="44"/>
      <c r="FYN27" s="44"/>
      <c r="FYO27" s="44"/>
      <c r="FYP27" s="44"/>
      <c r="FYQ27" s="44"/>
      <c r="FYR27" s="44"/>
      <c r="FYS27" s="44"/>
      <c r="FYT27" s="44"/>
      <c r="FYU27" s="44"/>
      <c r="FYV27" s="43"/>
      <c r="FYW27" s="44"/>
      <c r="FYX27" s="44"/>
      <c r="FYY27" s="44"/>
      <c r="FYZ27" s="44"/>
      <c r="FZA27" s="44"/>
      <c r="FZB27" s="44"/>
      <c r="FZC27" s="44"/>
      <c r="FZD27" s="44"/>
      <c r="FZE27" s="44"/>
      <c r="FZF27" s="44"/>
      <c r="FZG27" s="44"/>
      <c r="FZH27" s="44"/>
      <c r="FZI27" s="44"/>
      <c r="FZJ27" s="44"/>
      <c r="FZK27" s="43"/>
      <c r="FZL27" s="44"/>
      <c r="FZM27" s="44"/>
      <c r="FZN27" s="44"/>
      <c r="FZO27" s="44"/>
      <c r="FZP27" s="44"/>
      <c r="FZQ27" s="44"/>
      <c r="FZR27" s="44"/>
      <c r="FZS27" s="44"/>
      <c r="FZT27" s="44"/>
      <c r="FZU27" s="44"/>
      <c r="FZV27" s="44"/>
      <c r="FZW27" s="44"/>
      <c r="FZX27" s="44"/>
      <c r="FZY27" s="44"/>
      <c r="FZZ27" s="43"/>
      <c r="GAA27" s="44"/>
      <c r="GAB27" s="44"/>
      <c r="GAC27" s="44"/>
      <c r="GAD27" s="44"/>
      <c r="GAE27" s="44"/>
      <c r="GAF27" s="44"/>
      <c r="GAG27" s="44"/>
      <c r="GAH27" s="44"/>
      <c r="GAI27" s="44"/>
      <c r="GAJ27" s="44"/>
      <c r="GAK27" s="44"/>
      <c r="GAL27" s="44"/>
      <c r="GAM27" s="44"/>
      <c r="GAN27" s="44"/>
      <c r="GAO27" s="43"/>
      <c r="GAP27" s="44"/>
      <c r="GAQ27" s="44"/>
      <c r="GAR27" s="44"/>
      <c r="GAS27" s="44"/>
      <c r="GAT27" s="44"/>
      <c r="GAU27" s="44"/>
      <c r="GAV27" s="44"/>
      <c r="GAW27" s="44"/>
      <c r="GAX27" s="44"/>
      <c r="GAY27" s="44"/>
      <c r="GAZ27" s="44"/>
      <c r="GBA27" s="44"/>
      <c r="GBB27" s="44"/>
      <c r="GBC27" s="44"/>
      <c r="GBD27" s="43"/>
      <c r="GBE27" s="44"/>
      <c r="GBF27" s="44"/>
      <c r="GBG27" s="44"/>
      <c r="GBH27" s="44"/>
      <c r="GBI27" s="44"/>
      <c r="GBJ27" s="44"/>
      <c r="GBK27" s="44"/>
      <c r="GBL27" s="44"/>
      <c r="GBM27" s="44"/>
      <c r="GBN27" s="44"/>
      <c r="GBO27" s="44"/>
      <c r="GBP27" s="44"/>
      <c r="GBQ27" s="44"/>
      <c r="GBR27" s="44"/>
      <c r="GBS27" s="43"/>
      <c r="GBT27" s="44"/>
      <c r="GBU27" s="44"/>
      <c r="GBV27" s="44"/>
      <c r="GBW27" s="44"/>
      <c r="GBX27" s="44"/>
      <c r="GBY27" s="44"/>
      <c r="GBZ27" s="44"/>
      <c r="GCA27" s="44"/>
      <c r="GCB27" s="44"/>
      <c r="GCC27" s="44"/>
      <c r="GCD27" s="44"/>
      <c r="GCE27" s="44"/>
      <c r="GCF27" s="44"/>
      <c r="GCG27" s="44"/>
      <c r="GCH27" s="43"/>
      <c r="GCI27" s="44"/>
      <c r="GCJ27" s="44"/>
      <c r="GCK27" s="44"/>
      <c r="GCL27" s="44"/>
      <c r="GCM27" s="44"/>
      <c r="GCN27" s="44"/>
      <c r="GCO27" s="44"/>
      <c r="GCP27" s="44"/>
      <c r="GCQ27" s="44"/>
      <c r="GCR27" s="44"/>
      <c r="GCS27" s="44"/>
      <c r="GCT27" s="44"/>
      <c r="GCU27" s="44"/>
      <c r="GCV27" s="44"/>
      <c r="GCW27" s="43"/>
      <c r="GCX27" s="44"/>
      <c r="GCY27" s="44"/>
      <c r="GCZ27" s="44"/>
      <c r="GDA27" s="44"/>
      <c r="GDB27" s="44"/>
      <c r="GDC27" s="44"/>
      <c r="GDD27" s="44"/>
      <c r="GDE27" s="44"/>
      <c r="GDF27" s="44"/>
      <c r="GDG27" s="44"/>
      <c r="GDH27" s="44"/>
      <c r="GDI27" s="44"/>
      <c r="GDJ27" s="44"/>
      <c r="GDK27" s="44"/>
      <c r="GDL27" s="43"/>
      <c r="GDM27" s="44"/>
      <c r="GDN27" s="44"/>
      <c r="GDO27" s="44"/>
      <c r="GDP27" s="44"/>
      <c r="GDQ27" s="44"/>
      <c r="GDR27" s="44"/>
      <c r="GDS27" s="44"/>
      <c r="GDT27" s="44"/>
      <c r="GDU27" s="44"/>
      <c r="GDV27" s="44"/>
      <c r="GDW27" s="44"/>
      <c r="GDX27" s="44"/>
      <c r="GDY27" s="44"/>
      <c r="GDZ27" s="44"/>
      <c r="GEA27" s="43"/>
      <c r="GEB27" s="44"/>
      <c r="GEC27" s="44"/>
      <c r="GED27" s="44"/>
      <c r="GEE27" s="44"/>
      <c r="GEF27" s="44"/>
      <c r="GEG27" s="44"/>
      <c r="GEH27" s="44"/>
      <c r="GEI27" s="44"/>
      <c r="GEJ27" s="44"/>
      <c r="GEK27" s="44"/>
      <c r="GEL27" s="44"/>
      <c r="GEM27" s="44"/>
      <c r="GEN27" s="44"/>
      <c r="GEO27" s="44"/>
      <c r="GEP27" s="43"/>
      <c r="GEQ27" s="44"/>
      <c r="GER27" s="44"/>
      <c r="GES27" s="44"/>
      <c r="GET27" s="44"/>
      <c r="GEU27" s="44"/>
      <c r="GEV27" s="44"/>
      <c r="GEW27" s="44"/>
      <c r="GEX27" s="44"/>
      <c r="GEY27" s="44"/>
      <c r="GEZ27" s="44"/>
      <c r="GFA27" s="44"/>
      <c r="GFB27" s="44"/>
      <c r="GFC27" s="44"/>
      <c r="GFD27" s="44"/>
      <c r="GFE27" s="43"/>
      <c r="GFF27" s="44"/>
      <c r="GFG27" s="44"/>
      <c r="GFH27" s="44"/>
      <c r="GFI27" s="44"/>
      <c r="GFJ27" s="44"/>
      <c r="GFK27" s="44"/>
      <c r="GFL27" s="44"/>
      <c r="GFM27" s="44"/>
      <c r="GFN27" s="44"/>
      <c r="GFO27" s="44"/>
      <c r="GFP27" s="44"/>
      <c r="GFQ27" s="44"/>
      <c r="GFR27" s="44"/>
      <c r="GFS27" s="44"/>
      <c r="GFT27" s="43"/>
      <c r="GFU27" s="44"/>
      <c r="GFV27" s="44"/>
      <c r="GFW27" s="44"/>
      <c r="GFX27" s="44"/>
      <c r="GFY27" s="44"/>
      <c r="GFZ27" s="44"/>
      <c r="GGA27" s="44"/>
      <c r="GGB27" s="44"/>
      <c r="GGC27" s="44"/>
      <c r="GGD27" s="44"/>
      <c r="GGE27" s="44"/>
      <c r="GGF27" s="44"/>
      <c r="GGG27" s="44"/>
      <c r="GGH27" s="44"/>
      <c r="GGI27" s="43"/>
      <c r="GGJ27" s="44"/>
      <c r="GGK27" s="44"/>
      <c r="GGL27" s="44"/>
      <c r="GGM27" s="44"/>
      <c r="GGN27" s="44"/>
      <c r="GGO27" s="44"/>
      <c r="GGP27" s="44"/>
      <c r="GGQ27" s="44"/>
      <c r="GGR27" s="44"/>
      <c r="GGS27" s="44"/>
      <c r="GGT27" s="44"/>
      <c r="GGU27" s="44"/>
      <c r="GGV27" s="44"/>
      <c r="GGW27" s="44"/>
      <c r="GGX27" s="43"/>
      <c r="GGY27" s="44"/>
      <c r="GGZ27" s="44"/>
      <c r="GHA27" s="44"/>
      <c r="GHB27" s="44"/>
      <c r="GHC27" s="44"/>
      <c r="GHD27" s="44"/>
      <c r="GHE27" s="44"/>
      <c r="GHF27" s="44"/>
      <c r="GHG27" s="44"/>
      <c r="GHH27" s="44"/>
      <c r="GHI27" s="44"/>
      <c r="GHJ27" s="44"/>
      <c r="GHK27" s="44"/>
      <c r="GHL27" s="44"/>
      <c r="GHM27" s="43"/>
      <c r="GHN27" s="44"/>
      <c r="GHO27" s="44"/>
      <c r="GHP27" s="44"/>
      <c r="GHQ27" s="44"/>
      <c r="GHR27" s="44"/>
      <c r="GHS27" s="44"/>
      <c r="GHT27" s="44"/>
      <c r="GHU27" s="44"/>
      <c r="GHV27" s="44"/>
      <c r="GHW27" s="44"/>
      <c r="GHX27" s="44"/>
      <c r="GHY27" s="44"/>
      <c r="GHZ27" s="44"/>
      <c r="GIA27" s="44"/>
      <c r="GIB27" s="43"/>
      <c r="GIC27" s="44"/>
      <c r="GID27" s="44"/>
      <c r="GIE27" s="44"/>
      <c r="GIF27" s="44"/>
      <c r="GIG27" s="44"/>
      <c r="GIH27" s="44"/>
      <c r="GII27" s="44"/>
      <c r="GIJ27" s="44"/>
      <c r="GIK27" s="44"/>
      <c r="GIL27" s="44"/>
      <c r="GIM27" s="44"/>
      <c r="GIN27" s="44"/>
      <c r="GIO27" s="44"/>
      <c r="GIP27" s="44"/>
      <c r="GIQ27" s="43"/>
      <c r="GIR27" s="44"/>
      <c r="GIS27" s="44"/>
      <c r="GIT27" s="44"/>
      <c r="GIU27" s="44"/>
      <c r="GIV27" s="44"/>
      <c r="GIW27" s="44"/>
      <c r="GIX27" s="44"/>
      <c r="GIY27" s="44"/>
      <c r="GIZ27" s="44"/>
      <c r="GJA27" s="44"/>
      <c r="GJB27" s="44"/>
      <c r="GJC27" s="44"/>
      <c r="GJD27" s="44"/>
      <c r="GJE27" s="44"/>
      <c r="GJF27" s="43"/>
      <c r="GJG27" s="44"/>
      <c r="GJH27" s="44"/>
      <c r="GJI27" s="44"/>
      <c r="GJJ27" s="44"/>
      <c r="GJK27" s="44"/>
      <c r="GJL27" s="44"/>
      <c r="GJM27" s="44"/>
      <c r="GJN27" s="44"/>
      <c r="GJO27" s="44"/>
      <c r="GJP27" s="44"/>
      <c r="GJQ27" s="44"/>
      <c r="GJR27" s="44"/>
      <c r="GJS27" s="44"/>
      <c r="GJT27" s="44"/>
      <c r="GJU27" s="43"/>
      <c r="GJV27" s="44"/>
      <c r="GJW27" s="44"/>
      <c r="GJX27" s="44"/>
      <c r="GJY27" s="44"/>
      <c r="GJZ27" s="44"/>
      <c r="GKA27" s="44"/>
      <c r="GKB27" s="44"/>
      <c r="GKC27" s="44"/>
      <c r="GKD27" s="44"/>
      <c r="GKE27" s="44"/>
      <c r="GKF27" s="44"/>
      <c r="GKG27" s="44"/>
      <c r="GKH27" s="44"/>
      <c r="GKI27" s="44"/>
      <c r="GKJ27" s="43"/>
      <c r="GKK27" s="44"/>
      <c r="GKL27" s="44"/>
      <c r="GKM27" s="44"/>
      <c r="GKN27" s="44"/>
      <c r="GKO27" s="44"/>
      <c r="GKP27" s="44"/>
      <c r="GKQ27" s="44"/>
      <c r="GKR27" s="44"/>
      <c r="GKS27" s="44"/>
      <c r="GKT27" s="44"/>
      <c r="GKU27" s="44"/>
      <c r="GKV27" s="44"/>
      <c r="GKW27" s="44"/>
      <c r="GKX27" s="44"/>
      <c r="GKY27" s="43"/>
      <c r="GKZ27" s="44"/>
      <c r="GLA27" s="44"/>
      <c r="GLB27" s="44"/>
      <c r="GLC27" s="44"/>
      <c r="GLD27" s="44"/>
      <c r="GLE27" s="44"/>
      <c r="GLF27" s="44"/>
      <c r="GLG27" s="44"/>
      <c r="GLH27" s="44"/>
      <c r="GLI27" s="44"/>
      <c r="GLJ27" s="44"/>
      <c r="GLK27" s="44"/>
      <c r="GLL27" s="44"/>
      <c r="GLM27" s="44"/>
      <c r="GLN27" s="43"/>
      <c r="GLO27" s="44"/>
      <c r="GLP27" s="44"/>
      <c r="GLQ27" s="44"/>
      <c r="GLR27" s="44"/>
      <c r="GLS27" s="44"/>
      <c r="GLT27" s="44"/>
      <c r="GLU27" s="44"/>
      <c r="GLV27" s="44"/>
      <c r="GLW27" s="44"/>
      <c r="GLX27" s="44"/>
      <c r="GLY27" s="44"/>
      <c r="GLZ27" s="44"/>
      <c r="GMA27" s="44"/>
      <c r="GMB27" s="44"/>
      <c r="GMC27" s="43"/>
      <c r="GMD27" s="44"/>
      <c r="GME27" s="44"/>
      <c r="GMF27" s="44"/>
      <c r="GMG27" s="44"/>
      <c r="GMH27" s="44"/>
      <c r="GMI27" s="44"/>
      <c r="GMJ27" s="44"/>
      <c r="GMK27" s="44"/>
      <c r="GML27" s="44"/>
      <c r="GMM27" s="44"/>
      <c r="GMN27" s="44"/>
      <c r="GMO27" s="44"/>
      <c r="GMP27" s="44"/>
      <c r="GMQ27" s="44"/>
      <c r="GMR27" s="43"/>
      <c r="GMS27" s="44"/>
      <c r="GMT27" s="44"/>
      <c r="GMU27" s="44"/>
      <c r="GMV27" s="44"/>
      <c r="GMW27" s="44"/>
      <c r="GMX27" s="44"/>
      <c r="GMY27" s="44"/>
      <c r="GMZ27" s="44"/>
      <c r="GNA27" s="44"/>
      <c r="GNB27" s="44"/>
      <c r="GNC27" s="44"/>
      <c r="GND27" s="44"/>
      <c r="GNE27" s="44"/>
      <c r="GNF27" s="44"/>
      <c r="GNG27" s="43"/>
      <c r="GNH27" s="44"/>
      <c r="GNI27" s="44"/>
      <c r="GNJ27" s="44"/>
      <c r="GNK27" s="44"/>
      <c r="GNL27" s="44"/>
      <c r="GNM27" s="44"/>
      <c r="GNN27" s="44"/>
      <c r="GNO27" s="44"/>
      <c r="GNP27" s="44"/>
      <c r="GNQ27" s="44"/>
      <c r="GNR27" s="44"/>
      <c r="GNS27" s="44"/>
      <c r="GNT27" s="44"/>
      <c r="GNU27" s="44"/>
      <c r="GNV27" s="43"/>
      <c r="GNW27" s="44"/>
      <c r="GNX27" s="44"/>
      <c r="GNY27" s="44"/>
      <c r="GNZ27" s="44"/>
      <c r="GOA27" s="44"/>
      <c r="GOB27" s="44"/>
      <c r="GOC27" s="44"/>
      <c r="GOD27" s="44"/>
      <c r="GOE27" s="44"/>
      <c r="GOF27" s="44"/>
      <c r="GOG27" s="44"/>
      <c r="GOH27" s="44"/>
      <c r="GOI27" s="44"/>
      <c r="GOJ27" s="44"/>
      <c r="GOK27" s="43"/>
      <c r="GOL27" s="44"/>
      <c r="GOM27" s="44"/>
      <c r="GON27" s="44"/>
      <c r="GOO27" s="44"/>
      <c r="GOP27" s="44"/>
      <c r="GOQ27" s="44"/>
      <c r="GOR27" s="44"/>
      <c r="GOS27" s="44"/>
      <c r="GOT27" s="44"/>
      <c r="GOU27" s="44"/>
      <c r="GOV27" s="44"/>
      <c r="GOW27" s="44"/>
      <c r="GOX27" s="44"/>
      <c r="GOY27" s="44"/>
      <c r="GOZ27" s="43"/>
      <c r="GPA27" s="44"/>
      <c r="GPB27" s="44"/>
      <c r="GPC27" s="44"/>
      <c r="GPD27" s="44"/>
      <c r="GPE27" s="44"/>
      <c r="GPF27" s="44"/>
      <c r="GPG27" s="44"/>
      <c r="GPH27" s="44"/>
      <c r="GPI27" s="44"/>
      <c r="GPJ27" s="44"/>
      <c r="GPK27" s="44"/>
      <c r="GPL27" s="44"/>
      <c r="GPM27" s="44"/>
      <c r="GPN27" s="44"/>
      <c r="GPO27" s="43"/>
      <c r="GPP27" s="44"/>
      <c r="GPQ27" s="44"/>
      <c r="GPR27" s="44"/>
      <c r="GPS27" s="44"/>
      <c r="GPT27" s="44"/>
      <c r="GPU27" s="44"/>
      <c r="GPV27" s="44"/>
      <c r="GPW27" s="44"/>
      <c r="GPX27" s="44"/>
      <c r="GPY27" s="44"/>
      <c r="GPZ27" s="44"/>
      <c r="GQA27" s="44"/>
      <c r="GQB27" s="44"/>
      <c r="GQC27" s="44"/>
      <c r="GQD27" s="43"/>
      <c r="GQE27" s="44"/>
      <c r="GQF27" s="44"/>
      <c r="GQG27" s="44"/>
      <c r="GQH27" s="44"/>
      <c r="GQI27" s="44"/>
      <c r="GQJ27" s="44"/>
      <c r="GQK27" s="44"/>
      <c r="GQL27" s="44"/>
      <c r="GQM27" s="44"/>
      <c r="GQN27" s="44"/>
      <c r="GQO27" s="44"/>
      <c r="GQP27" s="44"/>
      <c r="GQQ27" s="44"/>
      <c r="GQR27" s="44"/>
      <c r="GQS27" s="43"/>
      <c r="GQT27" s="44"/>
      <c r="GQU27" s="44"/>
      <c r="GQV27" s="44"/>
      <c r="GQW27" s="44"/>
      <c r="GQX27" s="44"/>
      <c r="GQY27" s="44"/>
      <c r="GQZ27" s="44"/>
      <c r="GRA27" s="44"/>
      <c r="GRB27" s="44"/>
      <c r="GRC27" s="44"/>
      <c r="GRD27" s="44"/>
      <c r="GRE27" s="44"/>
      <c r="GRF27" s="44"/>
      <c r="GRG27" s="44"/>
      <c r="GRH27" s="43"/>
      <c r="GRI27" s="44"/>
      <c r="GRJ27" s="44"/>
      <c r="GRK27" s="44"/>
      <c r="GRL27" s="44"/>
      <c r="GRM27" s="44"/>
      <c r="GRN27" s="44"/>
      <c r="GRO27" s="44"/>
      <c r="GRP27" s="44"/>
      <c r="GRQ27" s="44"/>
      <c r="GRR27" s="44"/>
      <c r="GRS27" s="44"/>
      <c r="GRT27" s="44"/>
      <c r="GRU27" s="44"/>
      <c r="GRV27" s="44"/>
      <c r="GRW27" s="43"/>
      <c r="GRX27" s="44"/>
      <c r="GRY27" s="44"/>
      <c r="GRZ27" s="44"/>
      <c r="GSA27" s="44"/>
      <c r="GSB27" s="44"/>
      <c r="GSC27" s="44"/>
      <c r="GSD27" s="44"/>
      <c r="GSE27" s="44"/>
      <c r="GSF27" s="44"/>
      <c r="GSG27" s="44"/>
      <c r="GSH27" s="44"/>
      <c r="GSI27" s="44"/>
      <c r="GSJ27" s="44"/>
      <c r="GSK27" s="44"/>
      <c r="GSL27" s="43"/>
      <c r="GSM27" s="44"/>
      <c r="GSN27" s="44"/>
      <c r="GSO27" s="44"/>
      <c r="GSP27" s="44"/>
      <c r="GSQ27" s="44"/>
      <c r="GSR27" s="44"/>
      <c r="GSS27" s="44"/>
      <c r="GST27" s="44"/>
      <c r="GSU27" s="44"/>
      <c r="GSV27" s="44"/>
      <c r="GSW27" s="44"/>
      <c r="GSX27" s="44"/>
      <c r="GSY27" s="44"/>
      <c r="GSZ27" s="44"/>
      <c r="GTA27" s="43"/>
      <c r="GTB27" s="44"/>
      <c r="GTC27" s="44"/>
      <c r="GTD27" s="44"/>
      <c r="GTE27" s="44"/>
      <c r="GTF27" s="44"/>
      <c r="GTG27" s="44"/>
      <c r="GTH27" s="44"/>
      <c r="GTI27" s="44"/>
      <c r="GTJ27" s="44"/>
      <c r="GTK27" s="44"/>
      <c r="GTL27" s="44"/>
      <c r="GTM27" s="44"/>
      <c r="GTN27" s="44"/>
      <c r="GTO27" s="44"/>
      <c r="GTP27" s="43"/>
      <c r="GTQ27" s="44"/>
      <c r="GTR27" s="44"/>
      <c r="GTS27" s="44"/>
      <c r="GTT27" s="44"/>
      <c r="GTU27" s="44"/>
      <c r="GTV27" s="44"/>
      <c r="GTW27" s="44"/>
      <c r="GTX27" s="44"/>
      <c r="GTY27" s="44"/>
      <c r="GTZ27" s="44"/>
      <c r="GUA27" s="44"/>
      <c r="GUB27" s="44"/>
      <c r="GUC27" s="44"/>
      <c r="GUD27" s="44"/>
      <c r="GUE27" s="43"/>
      <c r="GUF27" s="44"/>
      <c r="GUG27" s="44"/>
      <c r="GUH27" s="44"/>
      <c r="GUI27" s="44"/>
      <c r="GUJ27" s="44"/>
      <c r="GUK27" s="44"/>
      <c r="GUL27" s="44"/>
      <c r="GUM27" s="44"/>
      <c r="GUN27" s="44"/>
      <c r="GUO27" s="44"/>
      <c r="GUP27" s="44"/>
      <c r="GUQ27" s="44"/>
      <c r="GUR27" s="44"/>
      <c r="GUS27" s="44"/>
      <c r="GUT27" s="43"/>
      <c r="GUU27" s="44"/>
      <c r="GUV27" s="44"/>
      <c r="GUW27" s="44"/>
      <c r="GUX27" s="44"/>
      <c r="GUY27" s="44"/>
      <c r="GUZ27" s="44"/>
      <c r="GVA27" s="44"/>
      <c r="GVB27" s="44"/>
      <c r="GVC27" s="44"/>
      <c r="GVD27" s="44"/>
      <c r="GVE27" s="44"/>
      <c r="GVF27" s="44"/>
      <c r="GVG27" s="44"/>
      <c r="GVH27" s="44"/>
      <c r="GVI27" s="43"/>
      <c r="GVJ27" s="44"/>
      <c r="GVK27" s="44"/>
      <c r="GVL27" s="44"/>
      <c r="GVM27" s="44"/>
      <c r="GVN27" s="44"/>
      <c r="GVO27" s="44"/>
      <c r="GVP27" s="44"/>
      <c r="GVQ27" s="44"/>
      <c r="GVR27" s="44"/>
      <c r="GVS27" s="44"/>
      <c r="GVT27" s="44"/>
      <c r="GVU27" s="44"/>
      <c r="GVV27" s="44"/>
      <c r="GVW27" s="44"/>
      <c r="GVX27" s="43"/>
      <c r="GVY27" s="44"/>
      <c r="GVZ27" s="44"/>
      <c r="GWA27" s="44"/>
      <c r="GWB27" s="44"/>
      <c r="GWC27" s="44"/>
      <c r="GWD27" s="44"/>
      <c r="GWE27" s="44"/>
      <c r="GWF27" s="44"/>
      <c r="GWG27" s="44"/>
      <c r="GWH27" s="44"/>
      <c r="GWI27" s="44"/>
      <c r="GWJ27" s="44"/>
      <c r="GWK27" s="44"/>
      <c r="GWL27" s="44"/>
      <c r="GWM27" s="43"/>
      <c r="GWN27" s="44"/>
      <c r="GWO27" s="44"/>
      <c r="GWP27" s="44"/>
      <c r="GWQ27" s="44"/>
      <c r="GWR27" s="44"/>
      <c r="GWS27" s="44"/>
      <c r="GWT27" s="44"/>
      <c r="GWU27" s="44"/>
      <c r="GWV27" s="44"/>
      <c r="GWW27" s="44"/>
      <c r="GWX27" s="44"/>
      <c r="GWY27" s="44"/>
      <c r="GWZ27" s="44"/>
      <c r="GXA27" s="44"/>
      <c r="GXB27" s="43"/>
      <c r="GXC27" s="44"/>
      <c r="GXD27" s="44"/>
      <c r="GXE27" s="44"/>
      <c r="GXF27" s="44"/>
      <c r="GXG27" s="44"/>
      <c r="GXH27" s="44"/>
      <c r="GXI27" s="44"/>
      <c r="GXJ27" s="44"/>
      <c r="GXK27" s="44"/>
      <c r="GXL27" s="44"/>
      <c r="GXM27" s="44"/>
      <c r="GXN27" s="44"/>
      <c r="GXO27" s="44"/>
      <c r="GXP27" s="44"/>
      <c r="GXQ27" s="43"/>
      <c r="GXR27" s="44"/>
      <c r="GXS27" s="44"/>
      <c r="GXT27" s="44"/>
      <c r="GXU27" s="44"/>
      <c r="GXV27" s="44"/>
      <c r="GXW27" s="44"/>
      <c r="GXX27" s="44"/>
      <c r="GXY27" s="44"/>
      <c r="GXZ27" s="44"/>
      <c r="GYA27" s="44"/>
      <c r="GYB27" s="44"/>
      <c r="GYC27" s="44"/>
      <c r="GYD27" s="44"/>
      <c r="GYE27" s="44"/>
      <c r="GYF27" s="43"/>
      <c r="GYG27" s="44"/>
      <c r="GYH27" s="44"/>
      <c r="GYI27" s="44"/>
      <c r="GYJ27" s="44"/>
      <c r="GYK27" s="44"/>
      <c r="GYL27" s="44"/>
      <c r="GYM27" s="44"/>
      <c r="GYN27" s="44"/>
      <c r="GYO27" s="44"/>
      <c r="GYP27" s="44"/>
      <c r="GYQ27" s="44"/>
      <c r="GYR27" s="44"/>
      <c r="GYS27" s="44"/>
      <c r="GYT27" s="44"/>
      <c r="GYU27" s="43"/>
      <c r="GYV27" s="44"/>
      <c r="GYW27" s="44"/>
      <c r="GYX27" s="44"/>
      <c r="GYY27" s="44"/>
      <c r="GYZ27" s="44"/>
      <c r="GZA27" s="44"/>
      <c r="GZB27" s="44"/>
      <c r="GZC27" s="44"/>
      <c r="GZD27" s="44"/>
      <c r="GZE27" s="44"/>
      <c r="GZF27" s="44"/>
      <c r="GZG27" s="44"/>
      <c r="GZH27" s="44"/>
      <c r="GZI27" s="44"/>
      <c r="GZJ27" s="43"/>
      <c r="GZK27" s="44"/>
      <c r="GZL27" s="44"/>
      <c r="GZM27" s="44"/>
      <c r="GZN27" s="44"/>
      <c r="GZO27" s="44"/>
      <c r="GZP27" s="44"/>
      <c r="GZQ27" s="44"/>
      <c r="GZR27" s="44"/>
      <c r="GZS27" s="44"/>
      <c r="GZT27" s="44"/>
      <c r="GZU27" s="44"/>
      <c r="GZV27" s="44"/>
      <c r="GZW27" s="44"/>
      <c r="GZX27" s="44"/>
      <c r="GZY27" s="43"/>
      <c r="GZZ27" s="44"/>
      <c r="HAA27" s="44"/>
      <c r="HAB27" s="44"/>
      <c r="HAC27" s="44"/>
      <c r="HAD27" s="44"/>
      <c r="HAE27" s="44"/>
      <c r="HAF27" s="44"/>
      <c r="HAG27" s="44"/>
      <c r="HAH27" s="44"/>
      <c r="HAI27" s="44"/>
      <c r="HAJ27" s="44"/>
      <c r="HAK27" s="44"/>
      <c r="HAL27" s="44"/>
      <c r="HAM27" s="44"/>
      <c r="HAN27" s="43"/>
      <c r="HAO27" s="44"/>
      <c r="HAP27" s="44"/>
      <c r="HAQ27" s="44"/>
      <c r="HAR27" s="44"/>
      <c r="HAS27" s="44"/>
      <c r="HAT27" s="44"/>
      <c r="HAU27" s="44"/>
      <c r="HAV27" s="44"/>
      <c r="HAW27" s="44"/>
      <c r="HAX27" s="44"/>
      <c r="HAY27" s="44"/>
      <c r="HAZ27" s="44"/>
      <c r="HBA27" s="44"/>
      <c r="HBB27" s="44"/>
      <c r="HBC27" s="43"/>
      <c r="HBD27" s="44"/>
      <c r="HBE27" s="44"/>
      <c r="HBF27" s="44"/>
      <c r="HBG27" s="44"/>
      <c r="HBH27" s="44"/>
      <c r="HBI27" s="44"/>
      <c r="HBJ27" s="44"/>
      <c r="HBK27" s="44"/>
      <c r="HBL27" s="44"/>
      <c r="HBM27" s="44"/>
      <c r="HBN27" s="44"/>
      <c r="HBO27" s="44"/>
      <c r="HBP27" s="44"/>
      <c r="HBQ27" s="44"/>
      <c r="HBR27" s="43"/>
      <c r="HBS27" s="44"/>
      <c r="HBT27" s="44"/>
      <c r="HBU27" s="44"/>
      <c r="HBV27" s="44"/>
      <c r="HBW27" s="44"/>
      <c r="HBX27" s="44"/>
      <c r="HBY27" s="44"/>
      <c r="HBZ27" s="44"/>
      <c r="HCA27" s="44"/>
      <c r="HCB27" s="44"/>
      <c r="HCC27" s="44"/>
      <c r="HCD27" s="44"/>
      <c r="HCE27" s="44"/>
      <c r="HCF27" s="44"/>
      <c r="HCG27" s="43"/>
      <c r="HCH27" s="44"/>
      <c r="HCI27" s="44"/>
      <c r="HCJ27" s="44"/>
      <c r="HCK27" s="44"/>
      <c r="HCL27" s="44"/>
      <c r="HCM27" s="44"/>
      <c r="HCN27" s="44"/>
      <c r="HCO27" s="44"/>
      <c r="HCP27" s="44"/>
      <c r="HCQ27" s="44"/>
      <c r="HCR27" s="44"/>
      <c r="HCS27" s="44"/>
      <c r="HCT27" s="44"/>
      <c r="HCU27" s="44"/>
      <c r="HCV27" s="43"/>
      <c r="HCW27" s="44"/>
      <c r="HCX27" s="44"/>
      <c r="HCY27" s="44"/>
      <c r="HCZ27" s="44"/>
      <c r="HDA27" s="44"/>
      <c r="HDB27" s="44"/>
      <c r="HDC27" s="44"/>
      <c r="HDD27" s="44"/>
      <c r="HDE27" s="44"/>
      <c r="HDF27" s="44"/>
      <c r="HDG27" s="44"/>
      <c r="HDH27" s="44"/>
      <c r="HDI27" s="44"/>
      <c r="HDJ27" s="44"/>
      <c r="HDK27" s="43"/>
      <c r="HDL27" s="44"/>
      <c r="HDM27" s="44"/>
      <c r="HDN27" s="44"/>
      <c r="HDO27" s="44"/>
      <c r="HDP27" s="44"/>
      <c r="HDQ27" s="44"/>
      <c r="HDR27" s="44"/>
      <c r="HDS27" s="44"/>
      <c r="HDT27" s="44"/>
      <c r="HDU27" s="44"/>
      <c r="HDV27" s="44"/>
      <c r="HDW27" s="44"/>
      <c r="HDX27" s="44"/>
      <c r="HDY27" s="44"/>
      <c r="HDZ27" s="43"/>
      <c r="HEA27" s="44"/>
      <c r="HEB27" s="44"/>
      <c r="HEC27" s="44"/>
      <c r="HED27" s="44"/>
      <c r="HEE27" s="44"/>
      <c r="HEF27" s="44"/>
      <c r="HEG27" s="44"/>
      <c r="HEH27" s="44"/>
      <c r="HEI27" s="44"/>
      <c r="HEJ27" s="44"/>
      <c r="HEK27" s="44"/>
      <c r="HEL27" s="44"/>
      <c r="HEM27" s="44"/>
      <c r="HEN27" s="44"/>
      <c r="HEO27" s="43"/>
      <c r="HEP27" s="44"/>
      <c r="HEQ27" s="44"/>
      <c r="HER27" s="44"/>
      <c r="HES27" s="44"/>
      <c r="HET27" s="44"/>
      <c r="HEU27" s="44"/>
      <c r="HEV27" s="44"/>
      <c r="HEW27" s="44"/>
      <c r="HEX27" s="44"/>
      <c r="HEY27" s="44"/>
      <c r="HEZ27" s="44"/>
      <c r="HFA27" s="44"/>
      <c r="HFB27" s="44"/>
      <c r="HFC27" s="44"/>
      <c r="HFD27" s="43"/>
      <c r="HFE27" s="44"/>
      <c r="HFF27" s="44"/>
      <c r="HFG27" s="44"/>
      <c r="HFH27" s="44"/>
      <c r="HFI27" s="44"/>
      <c r="HFJ27" s="44"/>
      <c r="HFK27" s="44"/>
      <c r="HFL27" s="44"/>
      <c r="HFM27" s="44"/>
      <c r="HFN27" s="44"/>
      <c r="HFO27" s="44"/>
      <c r="HFP27" s="44"/>
      <c r="HFQ27" s="44"/>
      <c r="HFR27" s="44"/>
      <c r="HFS27" s="43"/>
      <c r="HFT27" s="44"/>
      <c r="HFU27" s="44"/>
      <c r="HFV27" s="44"/>
      <c r="HFW27" s="44"/>
      <c r="HFX27" s="44"/>
      <c r="HFY27" s="44"/>
      <c r="HFZ27" s="44"/>
      <c r="HGA27" s="44"/>
      <c r="HGB27" s="44"/>
      <c r="HGC27" s="44"/>
      <c r="HGD27" s="44"/>
      <c r="HGE27" s="44"/>
      <c r="HGF27" s="44"/>
      <c r="HGG27" s="44"/>
      <c r="HGH27" s="43"/>
      <c r="HGI27" s="44"/>
      <c r="HGJ27" s="44"/>
      <c r="HGK27" s="44"/>
      <c r="HGL27" s="44"/>
      <c r="HGM27" s="44"/>
      <c r="HGN27" s="44"/>
      <c r="HGO27" s="44"/>
      <c r="HGP27" s="44"/>
      <c r="HGQ27" s="44"/>
      <c r="HGR27" s="44"/>
      <c r="HGS27" s="44"/>
      <c r="HGT27" s="44"/>
      <c r="HGU27" s="44"/>
      <c r="HGV27" s="44"/>
      <c r="HGW27" s="43"/>
      <c r="HGX27" s="44"/>
      <c r="HGY27" s="44"/>
      <c r="HGZ27" s="44"/>
      <c r="HHA27" s="44"/>
      <c r="HHB27" s="44"/>
      <c r="HHC27" s="44"/>
      <c r="HHD27" s="44"/>
      <c r="HHE27" s="44"/>
      <c r="HHF27" s="44"/>
      <c r="HHG27" s="44"/>
      <c r="HHH27" s="44"/>
      <c r="HHI27" s="44"/>
      <c r="HHJ27" s="44"/>
      <c r="HHK27" s="44"/>
      <c r="HHL27" s="43"/>
      <c r="HHM27" s="44"/>
      <c r="HHN27" s="44"/>
      <c r="HHO27" s="44"/>
      <c r="HHP27" s="44"/>
      <c r="HHQ27" s="44"/>
      <c r="HHR27" s="44"/>
      <c r="HHS27" s="44"/>
      <c r="HHT27" s="44"/>
      <c r="HHU27" s="44"/>
      <c r="HHV27" s="44"/>
      <c r="HHW27" s="44"/>
      <c r="HHX27" s="44"/>
      <c r="HHY27" s="44"/>
      <c r="HHZ27" s="44"/>
      <c r="HIA27" s="43"/>
      <c r="HIB27" s="44"/>
      <c r="HIC27" s="44"/>
      <c r="HID27" s="44"/>
      <c r="HIE27" s="44"/>
      <c r="HIF27" s="44"/>
      <c r="HIG27" s="44"/>
      <c r="HIH27" s="44"/>
      <c r="HII27" s="44"/>
      <c r="HIJ27" s="44"/>
      <c r="HIK27" s="44"/>
      <c r="HIL27" s="44"/>
      <c r="HIM27" s="44"/>
      <c r="HIN27" s="44"/>
      <c r="HIO27" s="44"/>
      <c r="HIP27" s="43"/>
      <c r="HIQ27" s="44"/>
      <c r="HIR27" s="44"/>
      <c r="HIS27" s="44"/>
      <c r="HIT27" s="44"/>
      <c r="HIU27" s="44"/>
      <c r="HIV27" s="44"/>
      <c r="HIW27" s="44"/>
      <c r="HIX27" s="44"/>
      <c r="HIY27" s="44"/>
      <c r="HIZ27" s="44"/>
      <c r="HJA27" s="44"/>
      <c r="HJB27" s="44"/>
      <c r="HJC27" s="44"/>
      <c r="HJD27" s="44"/>
      <c r="HJE27" s="43"/>
      <c r="HJF27" s="44"/>
      <c r="HJG27" s="44"/>
      <c r="HJH27" s="44"/>
      <c r="HJI27" s="44"/>
      <c r="HJJ27" s="44"/>
      <c r="HJK27" s="44"/>
      <c r="HJL27" s="44"/>
      <c r="HJM27" s="44"/>
      <c r="HJN27" s="44"/>
      <c r="HJO27" s="44"/>
      <c r="HJP27" s="44"/>
      <c r="HJQ27" s="44"/>
      <c r="HJR27" s="44"/>
      <c r="HJS27" s="44"/>
      <c r="HJT27" s="43"/>
      <c r="HJU27" s="44"/>
      <c r="HJV27" s="44"/>
      <c r="HJW27" s="44"/>
      <c r="HJX27" s="44"/>
      <c r="HJY27" s="44"/>
      <c r="HJZ27" s="44"/>
      <c r="HKA27" s="44"/>
      <c r="HKB27" s="44"/>
      <c r="HKC27" s="44"/>
      <c r="HKD27" s="44"/>
      <c r="HKE27" s="44"/>
      <c r="HKF27" s="44"/>
      <c r="HKG27" s="44"/>
      <c r="HKH27" s="44"/>
      <c r="HKI27" s="43"/>
      <c r="HKJ27" s="44"/>
      <c r="HKK27" s="44"/>
      <c r="HKL27" s="44"/>
      <c r="HKM27" s="44"/>
      <c r="HKN27" s="44"/>
      <c r="HKO27" s="44"/>
      <c r="HKP27" s="44"/>
      <c r="HKQ27" s="44"/>
      <c r="HKR27" s="44"/>
      <c r="HKS27" s="44"/>
      <c r="HKT27" s="44"/>
      <c r="HKU27" s="44"/>
      <c r="HKV27" s="44"/>
      <c r="HKW27" s="44"/>
      <c r="HKX27" s="43"/>
      <c r="HKY27" s="44"/>
      <c r="HKZ27" s="44"/>
      <c r="HLA27" s="44"/>
      <c r="HLB27" s="44"/>
      <c r="HLC27" s="44"/>
      <c r="HLD27" s="44"/>
      <c r="HLE27" s="44"/>
      <c r="HLF27" s="44"/>
      <c r="HLG27" s="44"/>
      <c r="HLH27" s="44"/>
      <c r="HLI27" s="44"/>
      <c r="HLJ27" s="44"/>
      <c r="HLK27" s="44"/>
      <c r="HLL27" s="44"/>
      <c r="HLM27" s="43"/>
      <c r="HLN27" s="44"/>
      <c r="HLO27" s="44"/>
      <c r="HLP27" s="44"/>
      <c r="HLQ27" s="44"/>
      <c r="HLR27" s="44"/>
      <c r="HLS27" s="44"/>
      <c r="HLT27" s="44"/>
      <c r="HLU27" s="44"/>
      <c r="HLV27" s="44"/>
      <c r="HLW27" s="44"/>
      <c r="HLX27" s="44"/>
      <c r="HLY27" s="44"/>
      <c r="HLZ27" s="44"/>
      <c r="HMA27" s="44"/>
      <c r="HMB27" s="43"/>
      <c r="HMC27" s="44"/>
      <c r="HMD27" s="44"/>
      <c r="HME27" s="44"/>
      <c r="HMF27" s="44"/>
      <c r="HMG27" s="44"/>
      <c r="HMH27" s="44"/>
      <c r="HMI27" s="44"/>
      <c r="HMJ27" s="44"/>
      <c r="HMK27" s="44"/>
      <c r="HML27" s="44"/>
      <c r="HMM27" s="44"/>
      <c r="HMN27" s="44"/>
      <c r="HMO27" s="44"/>
      <c r="HMP27" s="44"/>
      <c r="HMQ27" s="43"/>
      <c r="HMR27" s="44"/>
      <c r="HMS27" s="44"/>
      <c r="HMT27" s="44"/>
      <c r="HMU27" s="44"/>
      <c r="HMV27" s="44"/>
      <c r="HMW27" s="44"/>
      <c r="HMX27" s="44"/>
      <c r="HMY27" s="44"/>
      <c r="HMZ27" s="44"/>
      <c r="HNA27" s="44"/>
      <c r="HNB27" s="44"/>
      <c r="HNC27" s="44"/>
      <c r="HND27" s="44"/>
      <c r="HNE27" s="44"/>
      <c r="HNF27" s="43"/>
      <c r="HNG27" s="44"/>
      <c r="HNH27" s="44"/>
      <c r="HNI27" s="44"/>
      <c r="HNJ27" s="44"/>
      <c r="HNK27" s="44"/>
      <c r="HNL27" s="44"/>
      <c r="HNM27" s="44"/>
      <c r="HNN27" s="44"/>
      <c r="HNO27" s="44"/>
      <c r="HNP27" s="44"/>
      <c r="HNQ27" s="44"/>
      <c r="HNR27" s="44"/>
      <c r="HNS27" s="44"/>
      <c r="HNT27" s="44"/>
      <c r="HNU27" s="43"/>
      <c r="HNV27" s="44"/>
      <c r="HNW27" s="44"/>
      <c r="HNX27" s="44"/>
      <c r="HNY27" s="44"/>
      <c r="HNZ27" s="44"/>
      <c r="HOA27" s="44"/>
      <c r="HOB27" s="44"/>
      <c r="HOC27" s="44"/>
      <c r="HOD27" s="44"/>
      <c r="HOE27" s="44"/>
      <c r="HOF27" s="44"/>
      <c r="HOG27" s="44"/>
      <c r="HOH27" s="44"/>
      <c r="HOI27" s="44"/>
      <c r="HOJ27" s="43"/>
      <c r="HOK27" s="44"/>
      <c r="HOL27" s="44"/>
      <c r="HOM27" s="44"/>
      <c r="HON27" s="44"/>
      <c r="HOO27" s="44"/>
      <c r="HOP27" s="44"/>
      <c r="HOQ27" s="44"/>
      <c r="HOR27" s="44"/>
      <c r="HOS27" s="44"/>
      <c r="HOT27" s="44"/>
      <c r="HOU27" s="44"/>
      <c r="HOV27" s="44"/>
      <c r="HOW27" s="44"/>
      <c r="HOX27" s="44"/>
      <c r="HOY27" s="43"/>
      <c r="HOZ27" s="44"/>
      <c r="HPA27" s="44"/>
      <c r="HPB27" s="44"/>
      <c r="HPC27" s="44"/>
      <c r="HPD27" s="44"/>
      <c r="HPE27" s="44"/>
      <c r="HPF27" s="44"/>
      <c r="HPG27" s="44"/>
      <c r="HPH27" s="44"/>
      <c r="HPI27" s="44"/>
      <c r="HPJ27" s="44"/>
      <c r="HPK27" s="44"/>
      <c r="HPL27" s="44"/>
      <c r="HPM27" s="44"/>
      <c r="HPN27" s="43"/>
      <c r="HPO27" s="44"/>
      <c r="HPP27" s="44"/>
      <c r="HPQ27" s="44"/>
      <c r="HPR27" s="44"/>
      <c r="HPS27" s="44"/>
      <c r="HPT27" s="44"/>
      <c r="HPU27" s="44"/>
      <c r="HPV27" s="44"/>
      <c r="HPW27" s="44"/>
      <c r="HPX27" s="44"/>
      <c r="HPY27" s="44"/>
      <c r="HPZ27" s="44"/>
      <c r="HQA27" s="44"/>
      <c r="HQB27" s="44"/>
      <c r="HQC27" s="43"/>
      <c r="HQD27" s="44"/>
      <c r="HQE27" s="44"/>
      <c r="HQF27" s="44"/>
      <c r="HQG27" s="44"/>
      <c r="HQH27" s="44"/>
      <c r="HQI27" s="44"/>
      <c r="HQJ27" s="44"/>
      <c r="HQK27" s="44"/>
      <c r="HQL27" s="44"/>
      <c r="HQM27" s="44"/>
      <c r="HQN27" s="44"/>
      <c r="HQO27" s="44"/>
      <c r="HQP27" s="44"/>
      <c r="HQQ27" s="44"/>
      <c r="HQR27" s="43"/>
      <c r="HQS27" s="44"/>
      <c r="HQT27" s="44"/>
      <c r="HQU27" s="44"/>
      <c r="HQV27" s="44"/>
      <c r="HQW27" s="44"/>
      <c r="HQX27" s="44"/>
      <c r="HQY27" s="44"/>
      <c r="HQZ27" s="44"/>
      <c r="HRA27" s="44"/>
      <c r="HRB27" s="44"/>
      <c r="HRC27" s="44"/>
      <c r="HRD27" s="44"/>
      <c r="HRE27" s="44"/>
      <c r="HRF27" s="44"/>
      <c r="HRG27" s="43"/>
      <c r="HRH27" s="44"/>
      <c r="HRI27" s="44"/>
      <c r="HRJ27" s="44"/>
      <c r="HRK27" s="44"/>
      <c r="HRL27" s="44"/>
      <c r="HRM27" s="44"/>
      <c r="HRN27" s="44"/>
      <c r="HRO27" s="44"/>
      <c r="HRP27" s="44"/>
      <c r="HRQ27" s="44"/>
      <c r="HRR27" s="44"/>
      <c r="HRS27" s="44"/>
      <c r="HRT27" s="44"/>
      <c r="HRU27" s="44"/>
      <c r="HRV27" s="43"/>
      <c r="HRW27" s="44"/>
      <c r="HRX27" s="44"/>
      <c r="HRY27" s="44"/>
      <c r="HRZ27" s="44"/>
      <c r="HSA27" s="44"/>
      <c r="HSB27" s="44"/>
      <c r="HSC27" s="44"/>
      <c r="HSD27" s="44"/>
      <c r="HSE27" s="44"/>
      <c r="HSF27" s="44"/>
      <c r="HSG27" s="44"/>
      <c r="HSH27" s="44"/>
      <c r="HSI27" s="44"/>
      <c r="HSJ27" s="44"/>
      <c r="HSK27" s="43"/>
      <c r="HSL27" s="44"/>
      <c r="HSM27" s="44"/>
      <c r="HSN27" s="44"/>
      <c r="HSO27" s="44"/>
      <c r="HSP27" s="44"/>
      <c r="HSQ27" s="44"/>
      <c r="HSR27" s="44"/>
      <c r="HSS27" s="44"/>
      <c r="HST27" s="44"/>
      <c r="HSU27" s="44"/>
      <c r="HSV27" s="44"/>
      <c r="HSW27" s="44"/>
      <c r="HSX27" s="44"/>
      <c r="HSY27" s="44"/>
      <c r="HSZ27" s="43"/>
      <c r="HTA27" s="44"/>
      <c r="HTB27" s="44"/>
      <c r="HTC27" s="44"/>
      <c r="HTD27" s="44"/>
      <c r="HTE27" s="44"/>
      <c r="HTF27" s="44"/>
      <c r="HTG27" s="44"/>
      <c r="HTH27" s="44"/>
      <c r="HTI27" s="44"/>
      <c r="HTJ27" s="44"/>
      <c r="HTK27" s="44"/>
      <c r="HTL27" s="44"/>
      <c r="HTM27" s="44"/>
      <c r="HTN27" s="44"/>
      <c r="HTO27" s="43"/>
      <c r="HTP27" s="44"/>
      <c r="HTQ27" s="44"/>
      <c r="HTR27" s="44"/>
      <c r="HTS27" s="44"/>
      <c r="HTT27" s="44"/>
      <c r="HTU27" s="44"/>
      <c r="HTV27" s="44"/>
      <c r="HTW27" s="44"/>
      <c r="HTX27" s="44"/>
      <c r="HTY27" s="44"/>
      <c r="HTZ27" s="44"/>
      <c r="HUA27" s="44"/>
      <c r="HUB27" s="44"/>
      <c r="HUC27" s="44"/>
      <c r="HUD27" s="43"/>
      <c r="HUE27" s="44"/>
      <c r="HUF27" s="44"/>
      <c r="HUG27" s="44"/>
      <c r="HUH27" s="44"/>
      <c r="HUI27" s="44"/>
      <c r="HUJ27" s="44"/>
      <c r="HUK27" s="44"/>
      <c r="HUL27" s="44"/>
      <c r="HUM27" s="44"/>
      <c r="HUN27" s="44"/>
      <c r="HUO27" s="44"/>
      <c r="HUP27" s="44"/>
      <c r="HUQ27" s="44"/>
      <c r="HUR27" s="44"/>
      <c r="HUS27" s="43"/>
      <c r="HUT27" s="44"/>
      <c r="HUU27" s="44"/>
      <c r="HUV27" s="44"/>
      <c r="HUW27" s="44"/>
      <c r="HUX27" s="44"/>
      <c r="HUY27" s="44"/>
      <c r="HUZ27" s="44"/>
      <c r="HVA27" s="44"/>
      <c r="HVB27" s="44"/>
      <c r="HVC27" s="44"/>
      <c r="HVD27" s="44"/>
      <c r="HVE27" s="44"/>
      <c r="HVF27" s="44"/>
      <c r="HVG27" s="44"/>
      <c r="HVH27" s="43"/>
      <c r="HVI27" s="44"/>
      <c r="HVJ27" s="44"/>
      <c r="HVK27" s="44"/>
      <c r="HVL27" s="44"/>
      <c r="HVM27" s="44"/>
      <c r="HVN27" s="44"/>
      <c r="HVO27" s="44"/>
      <c r="HVP27" s="44"/>
      <c r="HVQ27" s="44"/>
      <c r="HVR27" s="44"/>
      <c r="HVS27" s="44"/>
      <c r="HVT27" s="44"/>
      <c r="HVU27" s="44"/>
      <c r="HVV27" s="44"/>
      <c r="HVW27" s="43"/>
      <c r="HVX27" s="44"/>
      <c r="HVY27" s="44"/>
      <c r="HVZ27" s="44"/>
      <c r="HWA27" s="44"/>
      <c r="HWB27" s="44"/>
      <c r="HWC27" s="44"/>
      <c r="HWD27" s="44"/>
      <c r="HWE27" s="44"/>
      <c r="HWF27" s="44"/>
      <c r="HWG27" s="44"/>
      <c r="HWH27" s="44"/>
      <c r="HWI27" s="44"/>
      <c r="HWJ27" s="44"/>
      <c r="HWK27" s="44"/>
      <c r="HWL27" s="43"/>
      <c r="HWM27" s="44"/>
      <c r="HWN27" s="44"/>
      <c r="HWO27" s="44"/>
      <c r="HWP27" s="44"/>
      <c r="HWQ27" s="44"/>
      <c r="HWR27" s="44"/>
      <c r="HWS27" s="44"/>
      <c r="HWT27" s="44"/>
      <c r="HWU27" s="44"/>
      <c r="HWV27" s="44"/>
      <c r="HWW27" s="44"/>
      <c r="HWX27" s="44"/>
      <c r="HWY27" s="44"/>
      <c r="HWZ27" s="44"/>
      <c r="HXA27" s="43"/>
      <c r="HXB27" s="44"/>
      <c r="HXC27" s="44"/>
      <c r="HXD27" s="44"/>
      <c r="HXE27" s="44"/>
      <c r="HXF27" s="44"/>
      <c r="HXG27" s="44"/>
      <c r="HXH27" s="44"/>
      <c r="HXI27" s="44"/>
      <c r="HXJ27" s="44"/>
      <c r="HXK27" s="44"/>
      <c r="HXL27" s="44"/>
      <c r="HXM27" s="44"/>
      <c r="HXN27" s="44"/>
      <c r="HXO27" s="44"/>
      <c r="HXP27" s="43"/>
      <c r="HXQ27" s="44"/>
      <c r="HXR27" s="44"/>
      <c r="HXS27" s="44"/>
      <c r="HXT27" s="44"/>
      <c r="HXU27" s="44"/>
      <c r="HXV27" s="44"/>
      <c r="HXW27" s="44"/>
      <c r="HXX27" s="44"/>
      <c r="HXY27" s="44"/>
      <c r="HXZ27" s="44"/>
      <c r="HYA27" s="44"/>
      <c r="HYB27" s="44"/>
      <c r="HYC27" s="44"/>
      <c r="HYD27" s="44"/>
      <c r="HYE27" s="43"/>
      <c r="HYF27" s="44"/>
      <c r="HYG27" s="44"/>
      <c r="HYH27" s="44"/>
      <c r="HYI27" s="44"/>
      <c r="HYJ27" s="44"/>
      <c r="HYK27" s="44"/>
      <c r="HYL27" s="44"/>
      <c r="HYM27" s="44"/>
      <c r="HYN27" s="44"/>
      <c r="HYO27" s="44"/>
      <c r="HYP27" s="44"/>
      <c r="HYQ27" s="44"/>
      <c r="HYR27" s="44"/>
      <c r="HYS27" s="44"/>
      <c r="HYT27" s="43"/>
      <c r="HYU27" s="44"/>
      <c r="HYV27" s="44"/>
      <c r="HYW27" s="44"/>
      <c r="HYX27" s="44"/>
      <c r="HYY27" s="44"/>
      <c r="HYZ27" s="44"/>
      <c r="HZA27" s="44"/>
      <c r="HZB27" s="44"/>
      <c r="HZC27" s="44"/>
      <c r="HZD27" s="44"/>
      <c r="HZE27" s="44"/>
      <c r="HZF27" s="44"/>
      <c r="HZG27" s="44"/>
      <c r="HZH27" s="44"/>
      <c r="HZI27" s="43"/>
      <c r="HZJ27" s="44"/>
      <c r="HZK27" s="44"/>
      <c r="HZL27" s="44"/>
      <c r="HZM27" s="44"/>
      <c r="HZN27" s="44"/>
      <c r="HZO27" s="44"/>
      <c r="HZP27" s="44"/>
      <c r="HZQ27" s="44"/>
      <c r="HZR27" s="44"/>
      <c r="HZS27" s="44"/>
      <c r="HZT27" s="44"/>
      <c r="HZU27" s="44"/>
      <c r="HZV27" s="44"/>
      <c r="HZW27" s="44"/>
      <c r="HZX27" s="43"/>
      <c r="HZY27" s="44"/>
      <c r="HZZ27" s="44"/>
      <c r="IAA27" s="44"/>
      <c r="IAB27" s="44"/>
      <c r="IAC27" s="44"/>
      <c r="IAD27" s="44"/>
      <c r="IAE27" s="44"/>
      <c r="IAF27" s="44"/>
      <c r="IAG27" s="44"/>
      <c r="IAH27" s="44"/>
      <c r="IAI27" s="44"/>
      <c r="IAJ27" s="44"/>
      <c r="IAK27" s="44"/>
      <c r="IAL27" s="44"/>
      <c r="IAM27" s="43"/>
      <c r="IAN27" s="44"/>
      <c r="IAO27" s="44"/>
      <c r="IAP27" s="44"/>
      <c r="IAQ27" s="44"/>
      <c r="IAR27" s="44"/>
      <c r="IAS27" s="44"/>
      <c r="IAT27" s="44"/>
      <c r="IAU27" s="44"/>
      <c r="IAV27" s="44"/>
      <c r="IAW27" s="44"/>
      <c r="IAX27" s="44"/>
      <c r="IAY27" s="44"/>
      <c r="IAZ27" s="44"/>
      <c r="IBA27" s="44"/>
      <c r="IBB27" s="43"/>
      <c r="IBC27" s="44"/>
      <c r="IBD27" s="44"/>
      <c r="IBE27" s="44"/>
      <c r="IBF27" s="44"/>
      <c r="IBG27" s="44"/>
      <c r="IBH27" s="44"/>
      <c r="IBI27" s="44"/>
      <c r="IBJ27" s="44"/>
      <c r="IBK27" s="44"/>
      <c r="IBL27" s="44"/>
      <c r="IBM27" s="44"/>
      <c r="IBN27" s="44"/>
      <c r="IBO27" s="44"/>
      <c r="IBP27" s="44"/>
      <c r="IBQ27" s="43"/>
      <c r="IBR27" s="44"/>
      <c r="IBS27" s="44"/>
      <c r="IBT27" s="44"/>
      <c r="IBU27" s="44"/>
      <c r="IBV27" s="44"/>
      <c r="IBW27" s="44"/>
      <c r="IBX27" s="44"/>
      <c r="IBY27" s="44"/>
      <c r="IBZ27" s="44"/>
      <c r="ICA27" s="44"/>
      <c r="ICB27" s="44"/>
      <c r="ICC27" s="44"/>
      <c r="ICD27" s="44"/>
      <c r="ICE27" s="44"/>
      <c r="ICF27" s="43"/>
      <c r="ICG27" s="44"/>
      <c r="ICH27" s="44"/>
      <c r="ICI27" s="44"/>
      <c r="ICJ27" s="44"/>
      <c r="ICK27" s="44"/>
      <c r="ICL27" s="44"/>
      <c r="ICM27" s="44"/>
      <c r="ICN27" s="44"/>
      <c r="ICO27" s="44"/>
      <c r="ICP27" s="44"/>
      <c r="ICQ27" s="44"/>
      <c r="ICR27" s="44"/>
      <c r="ICS27" s="44"/>
      <c r="ICT27" s="44"/>
      <c r="ICU27" s="43"/>
      <c r="ICV27" s="44"/>
      <c r="ICW27" s="44"/>
      <c r="ICX27" s="44"/>
      <c r="ICY27" s="44"/>
      <c r="ICZ27" s="44"/>
      <c r="IDA27" s="44"/>
      <c r="IDB27" s="44"/>
      <c r="IDC27" s="44"/>
      <c r="IDD27" s="44"/>
      <c r="IDE27" s="44"/>
      <c r="IDF27" s="44"/>
      <c r="IDG27" s="44"/>
      <c r="IDH27" s="44"/>
      <c r="IDI27" s="44"/>
      <c r="IDJ27" s="43"/>
      <c r="IDK27" s="44"/>
      <c r="IDL27" s="44"/>
      <c r="IDM27" s="44"/>
      <c r="IDN27" s="44"/>
      <c r="IDO27" s="44"/>
      <c r="IDP27" s="44"/>
      <c r="IDQ27" s="44"/>
      <c r="IDR27" s="44"/>
      <c r="IDS27" s="44"/>
      <c r="IDT27" s="44"/>
      <c r="IDU27" s="44"/>
      <c r="IDV27" s="44"/>
      <c r="IDW27" s="44"/>
      <c r="IDX27" s="44"/>
      <c r="IDY27" s="43"/>
      <c r="IDZ27" s="44"/>
      <c r="IEA27" s="44"/>
      <c r="IEB27" s="44"/>
      <c r="IEC27" s="44"/>
      <c r="IED27" s="44"/>
      <c r="IEE27" s="44"/>
      <c r="IEF27" s="44"/>
      <c r="IEG27" s="44"/>
      <c r="IEH27" s="44"/>
      <c r="IEI27" s="44"/>
      <c r="IEJ27" s="44"/>
      <c r="IEK27" s="44"/>
      <c r="IEL27" s="44"/>
      <c r="IEM27" s="44"/>
      <c r="IEN27" s="43"/>
      <c r="IEO27" s="44"/>
      <c r="IEP27" s="44"/>
      <c r="IEQ27" s="44"/>
      <c r="IER27" s="44"/>
      <c r="IES27" s="44"/>
      <c r="IET27" s="44"/>
      <c r="IEU27" s="44"/>
      <c r="IEV27" s="44"/>
      <c r="IEW27" s="44"/>
      <c r="IEX27" s="44"/>
      <c r="IEY27" s="44"/>
      <c r="IEZ27" s="44"/>
      <c r="IFA27" s="44"/>
      <c r="IFB27" s="44"/>
      <c r="IFC27" s="43"/>
      <c r="IFD27" s="44"/>
      <c r="IFE27" s="44"/>
      <c r="IFF27" s="44"/>
      <c r="IFG27" s="44"/>
      <c r="IFH27" s="44"/>
      <c r="IFI27" s="44"/>
      <c r="IFJ27" s="44"/>
      <c r="IFK27" s="44"/>
      <c r="IFL27" s="44"/>
      <c r="IFM27" s="44"/>
      <c r="IFN27" s="44"/>
      <c r="IFO27" s="44"/>
      <c r="IFP27" s="44"/>
      <c r="IFQ27" s="44"/>
      <c r="IFR27" s="43"/>
      <c r="IFS27" s="44"/>
      <c r="IFT27" s="44"/>
      <c r="IFU27" s="44"/>
      <c r="IFV27" s="44"/>
      <c r="IFW27" s="44"/>
      <c r="IFX27" s="44"/>
      <c r="IFY27" s="44"/>
      <c r="IFZ27" s="44"/>
      <c r="IGA27" s="44"/>
      <c r="IGB27" s="44"/>
      <c r="IGC27" s="44"/>
      <c r="IGD27" s="44"/>
      <c r="IGE27" s="44"/>
      <c r="IGF27" s="44"/>
      <c r="IGG27" s="43"/>
      <c r="IGH27" s="44"/>
      <c r="IGI27" s="44"/>
      <c r="IGJ27" s="44"/>
      <c r="IGK27" s="44"/>
      <c r="IGL27" s="44"/>
      <c r="IGM27" s="44"/>
      <c r="IGN27" s="44"/>
      <c r="IGO27" s="44"/>
      <c r="IGP27" s="44"/>
      <c r="IGQ27" s="44"/>
      <c r="IGR27" s="44"/>
      <c r="IGS27" s="44"/>
      <c r="IGT27" s="44"/>
      <c r="IGU27" s="44"/>
      <c r="IGV27" s="43"/>
      <c r="IGW27" s="44"/>
      <c r="IGX27" s="44"/>
      <c r="IGY27" s="44"/>
      <c r="IGZ27" s="44"/>
      <c r="IHA27" s="44"/>
      <c r="IHB27" s="44"/>
      <c r="IHC27" s="44"/>
      <c r="IHD27" s="44"/>
      <c r="IHE27" s="44"/>
      <c r="IHF27" s="44"/>
      <c r="IHG27" s="44"/>
      <c r="IHH27" s="44"/>
      <c r="IHI27" s="44"/>
      <c r="IHJ27" s="44"/>
      <c r="IHK27" s="43"/>
      <c r="IHL27" s="44"/>
      <c r="IHM27" s="44"/>
      <c r="IHN27" s="44"/>
      <c r="IHO27" s="44"/>
      <c r="IHP27" s="44"/>
      <c r="IHQ27" s="44"/>
      <c r="IHR27" s="44"/>
      <c r="IHS27" s="44"/>
      <c r="IHT27" s="44"/>
      <c r="IHU27" s="44"/>
      <c r="IHV27" s="44"/>
      <c r="IHW27" s="44"/>
      <c r="IHX27" s="44"/>
      <c r="IHY27" s="44"/>
      <c r="IHZ27" s="43"/>
      <c r="IIA27" s="44"/>
      <c r="IIB27" s="44"/>
      <c r="IIC27" s="44"/>
      <c r="IID27" s="44"/>
      <c r="IIE27" s="44"/>
      <c r="IIF27" s="44"/>
      <c r="IIG27" s="44"/>
      <c r="IIH27" s="44"/>
      <c r="III27" s="44"/>
      <c r="IIJ27" s="44"/>
      <c r="IIK27" s="44"/>
      <c r="IIL27" s="44"/>
      <c r="IIM27" s="44"/>
      <c r="IIN27" s="44"/>
      <c r="IIO27" s="43"/>
      <c r="IIP27" s="44"/>
      <c r="IIQ27" s="44"/>
      <c r="IIR27" s="44"/>
      <c r="IIS27" s="44"/>
      <c r="IIT27" s="44"/>
      <c r="IIU27" s="44"/>
      <c r="IIV27" s="44"/>
      <c r="IIW27" s="44"/>
      <c r="IIX27" s="44"/>
      <c r="IIY27" s="44"/>
      <c r="IIZ27" s="44"/>
      <c r="IJA27" s="44"/>
      <c r="IJB27" s="44"/>
      <c r="IJC27" s="44"/>
      <c r="IJD27" s="43"/>
      <c r="IJE27" s="44"/>
      <c r="IJF27" s="44"/>
      <c r="IJG27" s="44"/>
      <c r="IJH27" s="44"/>
      <c r="IJI27" s="44"/>
      <c r="IJJ27" s="44"/>
      <c r="IJK27" s="44"/>
      <c r="IJL27" s="44"/>
      <c r="IJM27" s="44"/>
      <c r="IJN27" s="44"/>
      <c r="IJO27" s="44"/>
      <c r="IJP27" s="44"/>
      <c r="IJQ27" s="44"/>
      <c r="IJR27" s="44"/>
      <c r="IJS27" s="43"/>
      <c r="IJT27" s="44"/>
      <c r="IJU27" s="44"/>
      <c r="IJV27" s="44"/>
      <c r="IJW27" s="44"/>
      <c r="IJX27" s="44"/>
      <c r="IJY27" s="44"/>
      <c r="IJZ27" s="44"/>
      <c r="IKA27" s="44"/>
      <c r="IKB27" s="44"/>
      <c r="IKC27" s="44"/>
      <c r="IKD27" s="44"/>
      <c r="IKE27" s="44"/>
      <c r="IKF27" s="44"/>
      <c r="IKG27" s="44"/>
      <c r="IKH27" s="43"/>
      <c r="IKI27" s="44"/>
      <c r="IKJ27" s="44"/>
      <c r="IKK27" s="44"/>
      <c r="IKL27" s="44"/>
      <c r="IKM27" s="44"/>
      <c r="IKN27" s="44"/>
      <c r="IKO27" s="44"/>
      <c r="IKP27" s="44"/>
      <c r="IKQ27" s="44"/>
      <c r="IKR27" s="44"/>
      <c r="IKS27" s="44"/>
      <c r="IKT27" s="44"/>
      <c r="IKU27" s="44"/>
      <c r="IKV27" s="44"/>
      <c r="IKW27" s="43"/>
      <c r="IKX27" s="44"/>
      <c r="IKY27" s="44"/>
      <c r="IKZ27" s="44"/>
      <c r="ILA27" s="44"/>
      <c r="ILB27" s="44"/>
      <c r="ILC27" s="44"/>
      <c r="ILD27" s="44"/>
      <c r="ILE27" s="44"/>
      <c r="ILF27" s="44"/>
      <c r="ILG27" s="44"/>
      <c r="ILH27" s="44"/>
      <c r="ILI27" s="44"/>
      <c r="ILJ27" s="44"/>
      <c r="ILK27" s="44"/>
      <c r="ILL27" s="43"/>
      <c r="ILM27" s="44"/>
      <c r="ILN27" s="44"/>
      <c r="ILO27" s="44"/>
      <c r="ILP27" s="44"/>
      <c r="ILQ27" s="44"/>
      <c r="ILR27" s="44"/>
      <c r="ILS27" s="44"/>
      <c r="ILT27" s="44"/>
      <c r="ILU27" s="44"/>
      <c r="ILV27" s="44"/>
      <c r="ILW27" s="44"/>
      <c r="ILX27" s="44"/>
      <c r="ILY27" s="44"/>
      <c r="ILZ27" s="44"/>
      <c r="IMA27" s="43"/>
      <c r="IMB27" s="44"/>
      <c r="IMC27" s="44"/>
      <c r="IMD27" s="44"/>
      <c r="IME27" s="44"/>
      <c r="IMF27" s="44"/>
      <c r="IMG27" s="44"/>
      <c r="IMH27" s="44"/>
      <c r="IMI27" s="44"/>
      <c r="IMJ27" s="44"/>
      <c r="IMK27" s="44"/>
      <c r="IML27" s="44"/>
      <c r="IMM27" s="44"/>
      <c r="IMN27" s="44"/>
      <c r="IMO27" s="44"/>
      <c r="IMP27" s="43"/>
      <c r="IMQ27" s="44"/>
      <c r="IMR27" s="44"/>
      <c r="IMS27" s="44"/>
      <c r="IMT27" s="44"/>
      <c r="IMU27" s="44"/>
      <c r="IMV27" s="44"/>
      <c r="IMW27" s="44"/>
      <c r="IMX27" s="44"/>
      <c r="IMY27" s="44"/>
      <c r="IMZ27" s="44"/>
      <c r="INA27" s="44"/>
      <c r="INB27" s="44"/>
      <c r="INC27" s="44"/>
      <c r="IND27" s="44"/>
      <c r="INE27" s="43"/>
      <c r="INF27" s="44"/>
      <c r="ING27" s="44"/>
      <c r="INH27" s="44"/>
      <c r="INI27" s="44"/>
      <c r="INJ27" s="44"/>
      <c r="INK27" s="44"/>
      <c r="INL27" s="44"/>
      <c r="INM27" s="44"/>
      <c r="INN27" s="44"/>
      <c r="INO27" s="44"/>
      <c r="INP27" s="44"/>
      <c r="INQ27" s="44"/>
      <c r="INR27" s="44"/>
      <c r="INS27" s="44"/>
      <c r="INT27" s="43"/>
      <c r="INU27" s="44"/>
      <c r="INV27" s="44"/>
      <c r="INW27" s="44"/>
      <c r="INX27" s="44"/>
      <c r="INY27" s="44"/>
      <c r="INZ27" s="44"/>
      <c r="IOA27" s="44"/>
      <c r="IOB27" s="44"/>
      <c r="IOC27" s="44"/>
      <c r="IOD27" s="44"/>
      <c r="IOE27" s="44"/>
      <c r="IOF27" s="44"/>
      <c r="IOG27" s="44"/>
      <c r="IOH27" s="44"/>
      <c r="IOI27" s="43"/>
      <c r="IOJ27" s="44"/>
      <c r="IOK27" s="44"/>
      <c r="IOL27" s="44"/>
      <c r="IOM27" s="44"/>
      <c r="ION27" s="44"/>
      <c r="IOO27" s="44"/>
      <c r="IOP27" s="44"/>
      <c r="IOQ27" s="44"/>
      <c r="IOR27" s="44"/>
      <c r="IOS27" s="44"/>
      <c r="IOT27" s="44"/>
      <c r="IOU27" s="44"/>
      <c r="IOV27" s="44"/>
      <c r="IOW27" s="44"/>
      <c r="IOX27" s="43"/>
      <c r="IOY27" s="44"/>
      <c r="IOZ27" s="44"/>
      <c r="IPA27" s="44"/>
      <c r="IPB27" s="44"/>
      <c r="IPC27" s="44"/>
      <c r="IPD27" s="44"/>
      <c r="IPE27" s="44"/>
      <c r="IPF27" s="44"/>
      <c r="IPG27" s="44"/>
      <c r="IPH27" s="44"/>
      <c r="IPI27" s="44"/>
      <c r="IPJ27" s="44"/>
      <c r="IPK27" s="44"/>
      <c r="IPL27" s="44"/>
      <c r="IPM27" s="43"/>
      <c r="IPN27" s="44"/>
      <c r="IPO27" s="44"/>
      <c r="IPP27" s="44"/>
      <c r="IPQ27" s="44"/>
      <c r="IPR27" s="44"/>
      <c r="IPS27" s="44"/>
      <c r="IPT27" s="44"/>
      <c r="IPU27" s="44"/>
      <c r="IPV27" s="44"/>
      <c r="IPW27" s="44"/>
      <c r="IPX27" s="44"/>
      <c r="IPY27" s="44"/>
      <c r="IPZ27" s="44"/>
      <c r="IQA27" s="44"/>
      <c r="IQB27" s="43"/>
      <c r="IQC27" s="44"/>
      <c r="IQD27" s="44"/>
      <c r="IQE27" s="44"/>
      <c r="IQF27" s="44"/>
      <c r="IQG27" s="44"/>
      <c r="IQH27" s="44"/>
      <c r="IQI27" s="44"/>
      <c r="IQJ27" s="44"/>
      <c r="IQK27" s="44"/>
      <c r="IQL27" s="44"/>
      <c r="IQM27" s="44"/>
      <c r="IQN27" s="44"/>
      <c r="IQO27" s="44"/>
      <c r="IQP27" s="44"/>
      <c r="IQQ27" s="43"/>
      <c r="IQR27" s="44"/>
      <c r="IQS27" s="44"/>
      <c r="IQT27" s="44"/>
      <c r="IQU27" s="44"/>
      <c r="IQV27" s="44"/>
      <c r="IQW27" s="44"/>
      <c r="IQX27" s="44"/>
      <c r="IQY27" s="44"/>
      <c r="IQZ27" s="44"/>
      <c r="IRA27" s="44"/>
      <c r="IRB27" s="44"/>
      <c r="IRC27" s="44"/>
      <c r="IRD27" s="44"/>
      <c r="IRE27" s="44"/>
      <c r="IRF27" s="43"/>
      <c r="IRG27" s="44"/>
      <c r="IRH27" s="44"/>
      <c r="IRI27" s="44"/>
      <c r="IRJ27" s="44"/>
      <c r="IRK27" s="44"/>
      <c r="IRL27" s="44"/>
      <c r="IRM27" s="44"/>
      <c r="IRN27" s="44"/>
      <c r="IRO27" s="44"/>
      <c r="IRP27" s="44"/>
      <c r="IRQ27" s="44"/>
      <c r="IRR27" s="44"/>
      <c r="IRS27" s="44"/>
      <c r="IRT27" s="44"/>
      <c r="IRU27" s="43"/>
      <c r="IRV27" s="44"/>
      <c r="IRW27" s="44"/>
      <c r="IRX27" s="44"/>
      <c r="IRY27" s="44"/>
      <c r="IRZ27" s="44"/>
      <c r="ISA27" s="44"/>
      <c r="ISB27" s="44"/>
      <c r="ISC27" s="44"/>
      <c r="ISD27" s="44"/>
      <c r="ISE27" s="44"/>
      <c r="ISF27" s="44"/>
      <c r="ISG27" s="44"/>
      <c r="ISH27" s="44"/>
      <c r="ISI27" s="44"/>
      <c r="ISJ27" s="43"/>
      <c r="ISK27" s="44"/>
      <c r="ISL27" s="44"/>
      <c r="ISM27" s="44"/>
      <c r="ISN27" s="44"/>
      <c r="ISO27" s="44"/>
      <c r="ISP27" s="44"/>
      <c r="ISQ27" s="44"/>
      <c r="ISR27" s="44"/>
      <c r="ISS27" s="44"/>
      <c r="IST27" s="44"/>
      <c r="ISU27" s="44"/>
      <c r="ISV27" s="44"/>
      <c r="ISW27" s="44"/>
      <c r="ISX27" s="44"/>
      <c r="ISY27" s="43"/>
      <c r="ISZ27" s="44"/>
      <c r="ITA27" s="44"/>
      <c r="ITB27" s="44"/>
      <c r="ITC27" s="44"/>
      <c r="ITD27" s="44"/>
      <c r="ITE27" s="44"/>
      <c r="ITF27" s="44"/>
      <c r="ITG27" s="44"/>
      <c r="ITH27" s="44"/>
      <c r="ITI27" s="44"/>
      <c r="ITJ27" s="44"/>
      <c r="ITK27" s="44"/>
      <c r="ITL27" s="44"/>
      <c r="ITM27" s="44"/>
      <c r="ITN27" s="43"/>
      <c r="ITO27" s="44"/>
      <c r="ITP27" s="44"/>
      <c r="ITQ27" s="44"/>
      <c r="ITR27" s="44"/>
      <c r="ITS27" s="44"/>
      <c r="ITT27" s="44"/>
      <c r="ITU27" s="44"/>
      <c r="ITV27" s="44"/>
      <c r="ITW27" s="44"/>
      <c r="ITX27" s="44"/>
      <c r="ITY27" s="44"/>
      <c r="ITZ27" s="44"/>
      <c r="IUA27" s="44"/>
      <c r="IUB27" s="44"/>
      <c r="IUC27" s="43"/>
      <c r="IUD27" s="44"/>
      <c r="IUE27" s="44"/>
      <c r="IUF27" s="44"/>
      <c r="IUG27" s="44"/>
      <c r="IUH27" s="44"/>
      <c r="IUI27" s="44"/>
      <c r="IUJ27" s="44"/>
      <c r="IUK27" s="44"/>
      <c r="IUL27" s="44"/>
      <c r="IUM27" s="44"/>
      <c r="IUN27" s="44"/>
      <c r="IUO27" s="44"/>
      <c r="IUP27" s="44"/>
      <c r="IUQ27" s="44"/>
      <c r="IUR27" s="43"/>
      <c r="IUS27" s="44"/>
      <c r="IUT27" s="44"/>
      <c r="IUU27" s="44"/>
      <c r="IUV27" s="44"/>
      <c r="IUW27" s="44"/>
      <c r="IUX27" s="44"/>
      <c r="IUY27" s="44"/>
      <c r="IUZ27" s="44"/>
      <c r="IVA27" s="44"/>
      <c r="IVB27" s="44"/>
      <c r="IVC27" s="44"/>
      <c r="IVD27" s="44"/>
      <c r="IVE27" s="44"/>
      <c r="IVF27" s="44"/>
      <c r="IVG27" s="43"/>
      <c r="IVH27" s="44"/>
      <c r="IVI27" s="44"/>
      <c r="IVJ27" s="44"/>
      <c r="IVK27" s="44"/>
      <c r="IVL27" s="44"/>
      <c r="IVM27" s="44"/>
      <c r="IVN27" s="44"/>
      <c r="IVO27" s="44"/>
      <c r="IVP27" s="44"/>
      <c r="IVQ27" s="44"/>
      <c r="IVR27" s="44"/>
      <c r="IVS27" s="44"/>
      <c r="IVT27" s="44"/>
      <c r="IVU27" s="44"/>
      <c r="IVV27" s="43"/>
      <c r="IVW27" s="44"/>
      <c r="IVX27" s="44"/>
      <c r="IVY27" s="44"/>
      <c r="IVZ27" s="44"/>
      <c r="IWA27" s="44"/>
      <c r="IWB27" s="44"/>
      <c r="IWC27" s="44"/>
      <c r="IWD27" s="44"/>
      <c r="IWE27" s="44"/>
      <c r="IWF27" s="44"/>
      <c r="IWG27" s="44"/>
      <c r="IWH27" s="44"/>
      <c r="IWI27" s="44"/>
      <c r="IWJ27" s="44"/>
      <c r="IWK27" s="43"/>
      <c r="IWL27" s="44"/>
      <c r="IWM27" s="44"/>
      <c r="IWN27" s="44"/>
      <c r="IWO27" s="44"/>
      <c r="IWP27" s="44"/>
      <c r="IWQ27" s="44"/>
      <c r="IWR27" s="44"/>
      <c r="IWS27" s="44"/>
      <c r="IWT27" s="44"/>
      <c r="IWU27" s="44"/>
      <c r="IWV27" s="44"/>
      <c r="IWW27" s="44"/>
      <c r="IWX27" s="44"/>
      <c r="IWY27" s="44"/>
      <c r="IWZ27" s="43"/>
      <c r="IXA27" s="44"/>
      <c r="IXB27" s="44"/>
      <c r="IXC27" s="44"/>
      <c r="IXD27" s="44"/>
      <c r="IXE27" s="44"/>
      <c r="IXF27" s="44"/>
      <c r="IXG27" s="44"/>
      <c r="IXH27" s="44"/>
      <c r="IXI27" s="44"/>
      <c r="IXJ27" s="44"/>
      <c r="IXK27" s="44"/>
      <c r="IXL27" s="44"/>
      <c r="IXM27" s="44"/>
      <c r="IXN27" s="44"/>
      <c r="IXO27" s="43"/>
      <c r="IXP27" s="44"/>
      <c r="IXQ27" s="44"/>
      <c r="IXR27" s="44"/>
      <c r="IXS27" s="44"/>
      <c r="IXT27" s="44"/>
      <c r="IXU27" s="44"/>
      <c r="IXV27" s="44"/>
      <c r="IXW27" s="44"/>
      <c r="IXX27" s="44"/>
      <c r="IXY27" s="44"/>
      <c r="IXZ27" s="44"/>
      <c r="IYA27" s="44"/>
      <c r="IYB27" s="44"/>
      <c r="IYC27" s="44"/>
      <c r="IYD27" s="43"/>
      <c r="IYE27" s="44"/>
      <c r="IYF27" s="44"/>
      <c r="IYG27" s="44"/>
      <c r="IYH27" s="44"/>
      <c r="IYI27" s="44"/>
      <c r="IYJ27" s="44"/>
      <c r="IYK27" s="44"/>
      <c r="IYL27" s="44"/>
      <c r="IYM27" s="44"/>
      <c r="IYN27" s="44"/>
      <c r="IYO27" s="44"/>
      <c r="IYP27" s="44"/>
      <c r="IYQ27" s="44"/>
      <c r="IYR27" s="44"/>
      <c r="IYS27" s="43"/>
      <c r="IYT27" s="44"/>
      <c r="IYU27" s="44"/>
      <c r="IYV27" s="44"/>
      <c r="IYW27" s="44"/>
      <c r="IYX27" s="44"/>
      <c r="IYY27" s="44"/>
      <c r="IYZ27" s="44"/>
      <c r="IZA27" s="44"/>
      <c r="IZB27" s="44"/>
      <c r="IZC27" s="44"/>
      <c r="IZD27" s="44"/>
      <c r="IZE27" s="44"/>
      <c r="IZF27" s="44"/>
      <c r="IZG27" s="44"/>
      <c r="IZH27" s="43"/>
      <c r="IZI27" s="44"/>
      <c r="IZJ27" s="44"/>
      <c r="IZK27" s="44"/>
      <c r="IZL27" s="44"/>
      <c r="IZM27" s="44"/>
      <c r="IZN27" s="44"/>
      <c r="IZO27" s="44"/>
      <c r="IZP27" s="44"/>
      <c r="IZQ27" s="44"/>
      <c r="IZR27" s="44"/>
      <c r="IZS27" s="44"/>
      <c r="IZT27" s="44"/>
      <c r="IZU27" s="44"/>
      <c r="IZV27" s="44"/>
      <c r="IZW27" s="43"/>
      <c r="IZX27" s="44"/>
      <c r="IZY27" s="44"/>
      <c r="IZZ27" s="44"/>
      <c r="JAA27" s="44"/>
      <c r="JAB27" s="44"/>
      <c r="JAC27" s="44"/>
      <c r="JAD27" s="44"/>
      <c r="JAE27" s="44"/>
      <c r="JAF27" s="44"/>
      <c r="JAG27" s="44"/>
      <c r="JAH27" s="44"/>
      <c r="JAI27" s="44"/>
      <c r="JAJ27" s="44"/>
      <c r="JAK27" s="44"/>
      <c r="JAL27" s="43"/>
      <c r="JAM27" s="44"/>
      <c r="JAN27" s="44"/>
      <c r="JAO27" s="44"/>
      <c r="JAP27" s="44"/>
      <c r="JAQ27" s="44"/>
      <c r="JAR27" s="44"/>
      <c r="JAS27" s="44"/>
      <c r="JAT27" s="44"/>
      <c r="JAU27" s="44"/>
      <c r="JAV27" s="44"/>
      <c r="JAW27" s="44"/>
      <c r="JAX27" s="44"/>
      <c r="JAY27" s="44"/>
      <c r="JAZ27" s="44"/>
      <c r="JBA27" s="43"/>
      <c r="JBB27" s="44"/>
      <c r="JBC27" s="44"/>
      <c r="JBD27" s="44"/>
      <c r="JBE27" s="44"/>
      <c r="JBF27" s="44"/>
      <c r="JBG27" s="44"/>
      <c r="JBH27" s="44"/>
      <c r="JBI27" s="44"/>
      <c r="JBJ27" s="44"/>
      <c r="JBK27" s="44"/>
      <c r="JBL27" s="44"/>
      <c r="JBM27" s="44"/>
      <c r="JBN27" s="44"/>
      <c r="JBO27" s="44"/>
      <c r="JBP27" s="43"/>
      <c r="JBQ27" s="44"/>
      <c r="JBR27" s="44"/>
      <c r="JBS27" s="44"/>
      <c r="JBT27" s="44"/>
      <c r="JBU27" s="44"/>
      <c r="JBV27" s="44"/>
      <c r="JBW27" s="44"/>
      <c r="JBX27" s="44"/>
      <c r="JBY27" s="44"/>
      <c r="JBZ27" s="44"/>
      <c r="JCA27" s="44"/>
      <c r="JCB27" s="44"/>
      <c r="JCC27" s="44"/>
      <c r="JCD27" s="44"/>
      <c r="JCE27" s="43"/>
      <c r="JCF27" s="44"/>
      <c r="JCG27" s="44"/>
      <c r="JCH27" s="44"/>
      <c r="JCI27" s="44"/>
      <c r="JCJ27" s="44"/>
      <c r="JCK27" s="44"/>
      <c r="JCL27" s="44"/>
      <c r="JCM27" s="44"/>
      <c r="JCN27" s="44"/>
      <c r="JCO27" s="44"/>
      <c r="JCP27" s="44"/>
      <c r="JCQ27" s="44"/>
      <c r="JCR27" s="44"/>
      <c r="JCS27" s="44"/>
      <c r="JCT27" s="43"/>
      <c r="JCU27" s="44"/>
      <c r="JCV27" s="44"/>
      <c r="JCW27" s="44"/>
      <c r="JCX27" s="44"/>
      <c r="JCY27" s="44"/>
      <c r="JCZ27" s="44"/>
      <c r="JDA27" s="44"/>
      <c r="JDB27" s="44"/>
      <c r="JDC27" s="44"/>
      <c r="JDD27" s="44"/>
      <c r="JDE27" s="44"/>
      <c r="JDF27" s="44"/>
      <c r="JDG27" s="44"/>
      <c r="JDH27" s="44"/>
      <c r="JDI27" s="43"/>
      <c r="JDJ27" s="44"/>
      <c r="JDK27" s="44"/>
      <c r="JDL27" s="44"/>
      <c r="JDM27" s="44"/>
      <c r="JDN27" s="44"/>
      <c r="JDO27" s="44"/>
      <c r="JDP27" s="44"/>
      <c r="JDQ27" s="44"/>
      <c r="JDR27" s="44"/>
      <c r="JDS27" s="44"/>
      <c r="JDT27" s="44"/>
      <c r="JDU27" s="44"/>
      <c r="JDV27" s="44"/>
      <c r="JDW27" s="44"/>
      <c r="JDX27" s="43"/>
      <c r="JDY27" s="44"/>
      <c r="JDZ27" s="44"/>
      <c r="JEA27" s="44"/>
      <c r="JEB27" s="44"/>
      <c r="JEC27" s="44"/>
      <c r="JED27" s="44"/>
      <c r="JEE27" s="44"/>
      <c r="JEF27" s="44"/>
      <c r="JEG27" s="44"/>
      <c r="JEH27" s="44"/>
      <c r="JEI27" s="44"/>
      <c r="JEJ27" s="44"/>
      <c r="JEK27" s="44"/>
      <c r="JEL27" s="44"/>
      <c r="JEM27" s="43"/>
      <c r="JEN27" s="44"/>
      <c r="JEO27" s="44"/>
      <c r="JEP27" s="44"/>
      <c r="JEQ27" s="44"/>
      <c r="JER27" s="44"/>
      <c r="JES27" s="44"/>
      <c r="JET27" s="44"/>
      <c r="JEU27" s="44"/>
      <c r="JEV27" s="44"/>
      <c r="JEW27" s="44"/>
      <c r="JEX27" s="44"/>
      <c r="JEY27" s="44"/>
      <c r="JEZ27" s="44"/>
      <c r="JFA27" s="44"/>
      <c r="JFB27" s="43"/>
      <c r="JFC27" s="44"/>
      <c r="JFD27" s="44"/>
      <c r="JFE27" s="44"/>
      <c r="JFF27" s="44"/>
      <c r="JFG27" s="44"/>
      <c r="JFH27" s="44"/>
      <c r="JFI27" s="44"/>
      <c r="JFJ27" s="44"/>
      <c r="JFK27" s="44"/>
      <c r="JFL27" s="44"/>
      <c r="JFM27" s="44"/>
      <c r="JFN27" s="44"/>
      <c r="JFO27" s="44"/>
      <c r="JFP27" s="44"/>
      <c r="JFQ27" s="43"/>
      <c r="JFR27" s="44"/>
      <c r="JFS27" s="44"/>
      <c r="JFT27" s="44"/>
      <c r="JFU27" s="44"/>
      <c r="JFV27" s="44"/>
      <c r="JFW27" s="44"/>
      <c r="JFX27" s="44"/>
      <c r="JFY27" s="44"/>
      <c r="JFZ27" s="44"/>
      <c r="JGA27" s="44"/>
      <c r="JGB27" s="44"/>
      <c r="JGC27" s="44"/>
      <c r="JGD27" s="44"/>
      <c r="JGE27" s="44"/>
      <c r="JGF27" s="43"/>
      <c r="JGG27" s="44"/>
      <c r="JGH27" s="44"/>
      <c r="JGI27" s="44"/>
      <c r="JGJ27" s="44"/>
      <c r="JGK27" s="44"/>
      <c r="JGL27" s="44"/>
      <c r="JGM27" s="44"/>
      <c r="JGN27" s="44"/>
      <c r="JGO27" s="44"/>
      <c r="JGP27" s="44"/>
      <c r="JGQ27" s="44"/>
      <c r="JGR27" s="44"/>
      <c r="JGS27" s="44"/>
      <c r="JGT27" s="44"/>
      <c r="JGU27" s="43"/>
      <c r="JGV27" s="44"/>
      <c r="JGW27" s="44"/>
      <c r="JGX27" s="44"/>
      <c r="JGY27" s="44"/>
      <c r="JGZ27" s="44"/>
      <c r="JHA27" s="44"/>
      <c r="JHB27" s="44"/>
      <c r="JHC27" s="44"/>
      <c r="JHD27" s="44"/>
      <c r="JHE27" s="44"/>
      <c r="JHF27" s="44"/>
      <c r="JHG27" s="44"/>
      <c r="JHH27" s="44"/>
      <c r="JHI27" s="44"/>
      <c r="JHJ27" s="43"/>
      <c r="JHK27" s="44"/>
      <c r="JHL27" s="44"/>
      <c r="JHM27" s="44"/>
      <c r="JHN27" s="44"/>
      <c r="JHO27" s="44"/>
      <c r="JHP27" s="44"/>
      <c r="JHQ27" s="44"/>
      <c r="JHR27" s="44"/>
      <c r="JHS27" s="44"/>
      <c r="JHT27" s="44"/>
      <c r="JHU27" s="44"/>
      <c r="JHV27" s="44"/>
      <c r="JHW27" s="44"/>
      <c r="JHX27" s="44"/>
      <c r="JHY27" s="43"/>
      <c r="JHZ27" s="44"/>
      <c r="JIA27" s="44"/>
      <c r="JIB27" s="44"/>
      <c r="JIC27" s="44"/>
      <c r="JID27" s="44"/>
      <c r="JIE27" s="44"/>
      <c r="JIF27" s="44"/>
      <c r="JIG27" s="44"/>
      <c r="JIH27" s="44"/>
      <c r="JII27" s="44"/>
      <c r="JIJ27" s="44"/>
      <c r="JIK27" s="44"/>
      <c r="JIL27" s="44"/>
      <c r="JIM27" s="44"/>
      <c r="JIN27" s="43"/>
      <c r="JIO27" s="44"/>
      <c r="JIP27" s="44"/>
      <c r="JIQ27" s="44"/>
      <c r="JIR27" s="44"/>
      <c r="JIS27" s="44"/>
      <c r="JIT27" s="44"/>
      <c r="JIU27" s="44"/>
      <c r="JIV27" s="44"/>
      <c r="JIW27" s="44"/>
      <c r="JIX27" s="44"/>
      <c r="JIY27" s="44"/>
      <c r="JIZ27" s="44"/>
      <c r="JJA27" s="44"/>
      <c r="JJB27" s="44"/>
      <c r="JJC27" s="43"/>
      <c r="JJD27" s="44"/>
      <c r="JJE27" s="44"/>
      <c r="JJF27" s="44"/>
      <c r="JJG27" s="44"/>
      <c r="JJH27" s="44"/>
      <c r="JJI27" s="44"/>
      <c r="JJJ27" s="44"/>
      <c r="JJK27" s="44"/>
      <c r="JJL27" s="44"/>
      <c r="JJM27" s="44"/>
      <c r="JJN27" s="44"/>
      <c r="JJO27" s="44"/>
      <c r="JJP27" s="44"/>
      <c r="JJQ27" s="44"/>
      <c r="JJR27" s="43"/>
      <c r="JJS27" s="44"/>
      <c r="JJT27" s="44"/>
      <c r="JJU27" s="44"/>
      <c r="JJV27" s="44"/>
      <c r="JJW27" s="44"/>
      <c r="JJX27" s="44"/>
      <c r="JJY27" s="44"/>
      <c r="JJZ27" s="44"/>
      <c r="JKA27" s="44"/>
      <c r="JKB27" s="44"/>
      <c r="JKC27" s="44"/>
      <c r="JKD27" s="44"/>
      <c r="JKE27" s="44"/>
      <c r="JKF27" s="44"/>
      <c r="JKG27" s="43"/>
      <c r="JKH27" s="44"/>
      <c r="JKI27" s="44"/>
      <c r="JKJ27" s="44"/>
      <c r="JKK27" s="44"/>
      <c r="JKL27" s="44"/>
      <c r="JKM27" s="44"/>
      <c r="JKN27" s="44"/>
      <c r="JKO27" s="44"/>
      <c r="JKP27" s="44"/>
      <c r="JKQ27" s="44"/>
      <c r="JKR27" s="44"/>
      <c r="JKS27" s="44"/>
      <c r="JKT27" s="44"/>
      <c r="JKU27" s="44"/>
      <c r="JKV27" s="43"/>
      <c r="JKW27" s="44"/>
      <c r="JKX27" s="44"/>
      <c r="JKY27" s="44"/>
      <c r="JKZ27" s="44"/>
      <c r="JLA27" s="44"/>
      <c r="JLB27" s="44"/>
      <c r="JLC27" s="44"/>
      <c r="JLD27" s="44"/>
      <c r="JLE27" s="44"/>
      <c r="JLF27" s="44"/>
      <c r="JLG27" s="44"/>
      <c r="JLH27" s="44"/>
      <c r="JLI27" s="44"/>
      <c r="JLJ27" s="44"/>
      <c r="JLK27" s="43"/>
      <c r="JLL27" s="44"/>
      <c r="JLM27" s="44"/>
      <c r="JLN27" s="44"/>
      <c r="JLO27" s="44"/>
      <c r="JLP27" s="44"/>
      <c r="JLQ27" s="44"/>
      <c r="JLR27" s="44"/>
      <c r="JLS27" s="44"/>
      <c r="JLT27" s="44"/>
      <c r="JLU27" s="44"/>
      <c r="JLV27" s="44"/>
      <c r="JLW27" s="44"/>
      <c r="JLX27" s="44"/>
      <c r="JLY27" s="44"/>
      <c r="JLZ27" s="43"/>
      <c r="JMA27" s="44"/>
      <c r="JMB27" s="44"/>
      <c r="JMC27" s="44"/>
      <c r="JMD27" s="44"/>
      <c r="JME27" s="44"/>
      <c r="JMF27" s="44"/>
      <c r="JMG27" s="44"/>
      <c r="JMH27" s="44"/>
      <c r="JMI27" s="44"/>
      <c r="JMJ27" s="44"/>
      <c r="JMK27" s="44"/>
      <c r="JML27" s="44"/>
      <c r="JMM27" s="44"/>
      <c r="JMN27" s="44"/>
      <c r="JMO27" s="43"/>
      <c r="JMP27" s="44"/>
      <c r="JMQ27" s="44"/>
      <c r="JMR27" s="44"/>
      <c r="JMS27" s="44"/>
      <c r="JMT27" s="44"/>
      <c r="JMU27" s="44"/>
      <c r="JMV27" s="44"/>
      <c r="JMW27" s="44"/>
      <c r="JMX27" s="44"/>
      <c r="JMY27" s="44"/>
      <c r="JMZ27" s="44"/>
      <c r="JNA27" s="44"/>
      <c r="JNB27" s="44"/>
      <c r="JNC27" s="44"/>
      <c r="JND27" s="43"/>
      <c r="JNE27" s="44"/>
      <c r="JNF27" s="44"/>
      <c r="JNG27" s="44"/>
      <c r="JNH27" s="44"/>
      <c r="JNI27" s="44"/>
      <c r="JNJ27" s="44"/>
      <c r="JNK27" s="44"/>
      <c r="JNL27" s="44"/>
      <c r="JNM27" s="44"/>
      <c r="JNN27" s="44"/>
      <c r="JNO27" s="44"/>
      <c r="JNP27" s="44"/>
      <c r="JNQ27" s="44"/>
      <c r="JNR27" s="44"/>
      <c r="JNS27" s="43"/>
      <c r="JNT27" s="44"/>
      <c r="JNU27" s="44"/>
      <c r="JNV27" s="44"/>
      <c r="JNW27" s="44"/>
      <c r="JNX27" s="44"/>
      <c r="JNY27" s="44"/>
      <c r="JNZ27" s="44"/>
      <c r="JOA27" s="44"/>
      <c r="JOB27" s="44"/>
      <c r="JOC27" s="44"/>
      <c r="JOD27" s="44"/>
      <c r="JOE27" s="44"/>
      <c r="JOF27" s="44"/>
      <c r="JOG27" s="44"/>
      <c r="JOH27" s="43"/>
      <c r="JOI27" s="44"/>
      <c r="JOJ27" s="44"/>
      <c r="JOK27" s="44"/>
      <c r="JOL27" s="44"/>
      <c r="JOM27" s="44"/>
      <c r="JON27" s="44"/>
      <c r="JOO27" s="44"/>
      <c r="JOP27" s="44"/>
      <c r="JOQ27" s="44"/>
      <c r="JOR27" s="44"/>
      <c r="JOS27" s="44"/>
      <c r="JOT27" s="44"/>
      <c r="JOU27" s="44"/>
      <c r="JOV27" s="44"/>
      <c r="JOW27" s="43"/>
      <c r="JOX27" s="44"/>
      <c r="JOY27" s="44"/>
      <c r="JOZ27" s="44"/>
      <c r="JPA27" s="44"/>
      <c r="JPB27" s="44"/>
      <c r="JPC27" s="44"/>
      <c r="JPD27" s="44"/>
      <c r="JPE27" s="44"/>
      <c r="JPF27" s="44"/>
      <c r="JPG27" s="44"/>
      <c r="JPH27" s="44"/>
      <c r="JPI27" s="44"/>
      <c r="JPJ27" s="44"/>
      <c r="JPK27" s="44"/>
      <c r="JPL27" s="43"/>
      <c r="JPM27" s="44"/>
      <c r="JPN27" s="44"/>
      <c r="JPO27" s="44"/>
      <c r="JPP27" s="44"/>
      <c r="JPQ27" s="44"/>
      <c r="JPR27" s="44"/>
      <c r="JPS27" s="44"/>
      <c r="JPT27" s="44"/>
      <c r="JPU27" s="44"/>
      <c r="JPV27" s="44"/>
      <c r="JPW27" s="44"/>
      <c r="JPX27" s="44"/>
      <c r="JPY27" s="44"/>
      <c r="JPZ27" s="44"/>
      <c r="JQA27" s="43"/>
      <c r="JQB27" s="44"/>
      <c r="JQC27" s="44"/>
      <c r="JQD27" s="44"/>
      <c r="JQE27" s="44"/>
      <c r="JQF27" s="44"/>
      <c r="JQG27" s="44"/>
      <c r="JQH27" s="44"/>
      <c r="JQI27" s="44"/>
      <c r="JQJ27" s="44"/>
      <c r="JQK27" s="44"/>
      <c r="JQL27" s="44"/>
      <c r="JQM27" s="44"/>
      <c r="JQN27" s="44"/>
      <c r="JQO27" s="44"/>
      <c r="JQP27" s="43"/>
      <c r="JQQ27" s="44"/>
      <c r="JQR27" s="44"/>
      <c r="JQS27" s="44"/>
      <c r="JQT27" s="44"/>
      <c r="JQU27" s="44"/>
      <c r="JQV27" s="44"/>
      <c r="JQW27" s="44"/>
      <c r="JQX27" s="44"/>
      <c r="JQY27" s="44"/>
      <c r="JQZ27" s="44"/>
      <c r="JRA27" s="44"/>
      <c r="JRB27" s="44"/>
      <c r="JRC27" s="44"/>
      <c r="JRD27" s="44"/>
      <c r="JRE27" s="43"/>
      <c r="JRF27" s="44"/>
      <c r="JRG27" s="44"/>
      <c r="JRH27" s="44"/>
      <c r="JRI27" s="44"/>
      <c r="JRJ27" s="44"/>
      <c r="JRK27" s="44"/>
      <c r="JRL27" s="44"/>
      <c r="JRM27" s="44"/>
      <c r="JRN27" s="44"/>
      <c r="JRO27" s="44"/>
      <c r="JRP27" s="44"/>
      <c r="JRQ27" s="44"/>
      <c r="JRR27" s="44"/>
      <c r="JRS27" s="44"/>
      <c r="JRT27" s="43"/>
      <c r="JRU27" s="44"/>
      <c r="JRV27" s="44"/>
      <c r="JRW27" s="44"/>
      <c r="JRX27" s="44"/>
      <c r="JRY27" s="44"/>
      <c r="JRZ27" s="44"/>
      <c r="JSA27" s="44"/>
      <c r="JSB27" s="44"/>
      <c r="JSC27" s="44"/>
      <c r="JSD27" s="44"/>
      <c r="JSE27" s="44"/>
      <c r="JSF27" s="44"/>
      <c r="JSG27" s="44"/>
      <c r="JSH27" s="44"/>
      <c r="JSI27" s="43"/>
      <c r="JSJ27" s="44"/>
      <c r="JSK27" s="44"/>
      <c r="JSL27" s="44"/>
      <c r="JSM27" s="44"/>
      <c r="JSN27" s="44"/>
      <c r="JSO27" s="44"/>
      <c r="JSP27" s="44"/>
      <c r="JSQ27" s="44"/>
      <c r="JSR27" s="44"/>
      <c r="JSS27" s="44"/>
      <c r="JST27" s="44"/>
      <c r="JSU27" s="44"/>
      <c r="JSV27" s="44"/>
      <c r="JSW27" s="44"/>
      <c r="JSX27" s="43"/>
      <c r="JSY27" s="44"/>
      <c r="JSZ27" s="44"/>
      <c r="JTA27" s="44"/>
      <c r="JTB27" s="44"/>
      <c r="JTC27" s="44"/>
      <c r="JTD27" s="44"/>
      <c r="JTE27" s="44"/>
      <c r="JTF27" s="44"/>
      <c r="JTG27" s="44"/>
      <c r="JTH27" s="44"/>
      <c r="JTI27" s="44"/>
      <c r="JTJ27" s="44"/>
      <c r="JTK27" s="44"/>
      <c r="JTL27" s="44"/>
      <c r="JTM27" s="43"/>
      <c r="JTN27" s="44"/>
      <c r="JTO27" s="44"/>
      <c r="JTP27" s="44"/>
      <c r="JTQ27" s="44"/>
      <c r="JTR27" s="44"/>
      <c r="JTS27" s="44"/>
      <c r="JTT27" s="44"/>
      <c r="JTU27" s="44"/>
      <c r="JTV27" s="44"/>
      <c r="JTW27" s="44"/>
      <c r="JTX27" s="44"/>
      <c r="JTY27" s="44"/>
      <c r="JTZ27" s="44"/>
      <c r="JUA27" s="44"/>
      <c r="JUB27" s="43"/>
      <c r="JUC27" s="44"/>
      <c r="JUD27" s="44"/>
      <c r="JUE27" s="44"/>
      <c r="JUF27" s="44"/>
      <c r="JUG27" s="44"/>
      <c r="JUH27" s="44"/>
      <c r="JUI27" s="44"/>
      <c r="JUJ27" s="44"/>
      <c r="JUK27" s="44"/>
      <c r="JUL27" s="44"/>
      <c r="JUM27" s="44"/>
      <c r="JUN27" s="44"/>
      <c r="JUO27" s="44"/>
      <c r="JUP27" s="44"/>
      <c r="JUQ27" s="43"/>
      <c r="JUR27" s="44"/>
      <c r="JUS27" s="44"/>
      <c r="JUT27" s="44"/>
      <c r="JUU27" s="44"/>
      <c r="JUV27" s="44"/>
      <c r="JUW27" s="44"/>
      <c r="JUX27" s="44"/>
      <c r="JUY27" s="44"/>
      <c r="JUZ27" s="44"/>
      <c r="JVA27" s="44"/>
      <c r="JVB27" s="44"/>
      <c r="JVC27" s="44"/>
      <c r="JVD27" s="44"/>
      <c r="JVE27" s="44"/>
      <c r="JVF27" s="43"/>
      <c r="JVG27" s="44"/>
      <c r="JVH27" s="44"/>
      <c r="JVI27" s="44"/>
      <c r="JVJ27" s="44"/>
      <c r="JVK27" s="44"/>
      <c r="JVL27" s="44"/>
      <c r="JVM27" s="44"/>
      <c r="JVN27" s="44"/>
      <c r="JVO27" s="44"/>
      <c r="JVP27" s="44"/>
      <c r="JVQ27" s="44"/>
      <c r="JVR27" s="44"/>
      <c r="JVS27" s="44"/>
      <c r="JVT27" s="44"/>
      <c r="JVU27" s="43"/>
      <c r="JVV27" s="44"/>
      <c r="JVW27" s="44"/>
      <c r="JVX27" s="44"/>
      <c r="JVY27" s="44"/>
      <c r="JVZ27" s="44"/>
      <c r="JWA27" s="44"/>
      <c r="JWB27" s="44"/>
      <c r="JWC27" s="44"/>
      <c r="JWD27" s="44"/>
      <c r="JWE27" s="44"/>
      <c r="JWF27" s="44"/>
      <c r="JWG27" s="44"/>
      <c r="JWH27" s="44"/>
      <c r="JWI27" s="44"/>
      <c r="JWJ27" s="43"/>
      <c r="JWK27" s="44"/>
      <c r="JWL27" s="44"/>
      <c r="JWM27" s="44"/>
      <c r="JWN27" s="44"/>
      <c r="JWO27" s="44"/>
      <c r="JWP27" s="44"/>
      <c r="JWQ27" s="44"/>
      <c r="JWR27" s="44"/>
      <c r="JWS27" s="44"/>
      <c r="JWT27" s="44"/>
      <c r="JWU27" s="44"/>
      <c r="JWV27" s="44"/>
      <c r="JWW27" s="44"/>
      <c r="JWX27" s="44"/>
      <c r="JWY27" s="43"/>
      <c r="JWZ27" s="44"/>
      <c r="JXA27" s="44"/>
      <c r="JXB27" s="44"/>
      <c r="JXC27" s="44"/>
      <c r="JXD27" s="44"/>
      <c r="JXE27" s="44"/>
      <c r="JXF27" s="44"/>
      <c r="JXG27" s="44"/>
      <c r="JXH27" s="44"/>
      <c r="JXI27" s="44"/>
      <c r="JXJ27" s="44"/>
      <c r="JXK27" s="44"/>
      <c r="JXL27" s="44"/>
      <c r="JXM27" s="44"/>
      <c r="JXN27" s="43"/>
      <c r="JXO27" s="44"/>
      <c r="JXP27" s="44"/>
      <c r="JXQ27" s="44"/>
      <c r="JXR27" s="44"/>
      <c r="JXS27" s="44"/>
      <c r="JXT27" s="44"/>
      <c r="JXU27" s="44"/>
      <c r="JXV27" s="44"/>
      <c r="JXW27" s="44"/>
      <c r="JXX27" s="44"/>
      <c r="JXY27" s="44"/>
      <c r="JXZ27" s="44"/>
      <c r="JYA27" s="44"/>
      <c r="JYB27" s="44"/>
      <c r="JYC27" s="43"/>
      <c r="JYD27" s="44"/>
      <c r="JYE27" s="44"/>
      <c r="JYF27" s="44"/>
      <c r="JYG27" s="44"/>
      <c r="JYH27" s="44"/>
      <c r="JYI27" s="44"/>
      <c r="JYJ27" s="44"/>
      <c r="JYK27" s="44"/>
      <c r="JYL27" s="44"/>
      <c r="JYM27" s="44"/>
      <c r="JYN27" s="44"/>
      <c r="JYO27" s="44"/>
      <c r="JYP27" s="44"/>
      <c r="JYQ27" s="44"/>
      <c r="JYR27" s="43"/>
      <c r="JYS27" s="44"/>
      <c r="JYT27" s="44"/>
      <c r="JYU27" s="44"/>
      <c r="JYV27" s="44"/>
      <c r="JYW27" s="44"/>
      <c r="JYX27" s="44"/>
      <c r="JYY27" s="44"/>
      <c r="JYZ27" s="44"/>
      <c r="JZA27" s="44"/>
      <c r="JZB27" s="44"/>
      <c r="JZC27" s="44"/>
      <c r="JZD27" s="44"/>
      <c r="JZE27" s="44"/>
      <c r="JZF27" s="44"/>
      <c r="JZG27" s="43"/>
      <c r="JZH27" s="44"/>
      <c r="JZI27" s="44"/>
      <c r="JZJ27" s="44"/>
      <c r="JZK27" s="44"/>
      <c r="JZL27" s="44"/>
      <c r="JZM27" s="44"/>
      <c r="JZN27" s="44"/>
      <c r="JZO27" s="44"/>
      <c r="JZP27" s="44"/>
      <c r="JZQ27" s="44"/>
      <c r="JZR27" s="44"/>
      <c r="JZS27" s="44"/>
      <c r="JZT27" s="44"/>
      <c r="JZU27" s="44"/>
      <c r="JZV27" s="43"/>
      <c r="JZW27" s="44"/>
      <c r="JZX27" s="44"/>
      <c r="JZY27" s="44"/>
      <c r="JZZ27" s="44"/>
      <c r="KAA27" s="44"/>
      <c r="KAB27" s="44"/>
      <c r="KAC27" s="44"/>
      <c r="KAD27" s="44"/>
      <c r="KAE27" s="44"/>
      <c r="KAF27" s="44"/>
      <c r="KAG27" s="44"/>
      <c r="KAH27" s="44"/>
      <c r="KAI27" s="44"/>
      <c r="KAJ27" s="44"/>
      <c r="KAK27" s="43"/>
      <c r="KAL27" s="44"/>
      <c r="KAM27" s="44"/>
      <c r="KAN27" s="44"/>
      <c r="KAO27" s="44"/>
      <c r="KAP27" s="44"/>
      <c r="KAQ27" s="44"/>
      <c r="KAR27" s="44"/>
      <c r="KAS27" s="44"/>
      <c r="KAT27" s="44"/>
      <c r="KAU27" s="44"/>
      <c r="KAV27" s="44"/>
      <c r="KAW27" s="44"/>
      <c r="KAX27" s="44"/>
      <c r="KAY27" s="44"/>
      <c r="KAZ27" s="43"/>
      <c r="KBA27" s="44"/>
      <c r="KBB27" s="44"/>
      <c r="KBC27" s="44"/>
      <c r="KBD27" s="44"/>
      <c r="KBE27" s="44"/>
      <c r="KBF27" s="44"/>
      <c r="KBG27" s="44"/>
      <c r="KBH27" s="44"/>
      <c r="KBI27" s="44"/>
      <c r="KBJ27" s="44"/>
      <c r="KBK27" s="44"/>
      <c r="KBL27" s="44"/>
      <c r="KBM27" s="44"/>
      <c r="KBN27" s="44"/>
      <c r="KBO27" s="43"/>
      <c r="KBP27" s="44"/>
      <c r="KBQ27" s="44"/>
      <c r="KBR27" s="44"/>
      <c r="KBS27" s="44"/>
      <c r="KBT27" s="44"/>
      <c r="KBU27" s="44"/>
      <c r="KBV27" s="44"/>
      <c r="KBW27" s="44"/>
      <c r="KBX27" s="44"/>
      <c r="KBY27" s="44"/>
      <c r="KBZ27" s="44"/>
      <c r="KCA27" s="44"/>
      <c r="KCB27" s="44"/>
      <c r="KCC27" s="44"/>
      <c r="KCD27" s="43"/>
      <c r="KCE27" s="44"/>
      <c r="KCF27" s="44"/>
      <c r="KCG27" s="44"/>
      <c r="KCH27" s="44"/>
      <c r="KCI27" s="44"/>
      <c r="KCJ27" s="44"/>
      <c r="KCK27" s="44"/>
      <c r="KCL27" s="44"/>
      <c r="KCM27" s="44"/>
      <c r="KCN27" s="44"/>
      <c r="KCO27" s="44"/>
      <c r="KCP27" s="44"/>
      <c r="KCQ27" s="44"/>
      <c r="KCR27" s="44"/>
      <c r="KCS27" s="43"/>
      <c r="KCT27" s="44"/>
      <c r="KCU27" s="44"/>
      <c r="KCV27" s="44"/>
      <c r="KCW27" s="44"/>
      <c r="KCX27" s="44"/>
      <c r="KCY27" s="44"/>
      <c r="KCZ27" s="44"/>
      <c r="KDA27" s="44"/>
      <c r="KDB27" s="44"/>
      <c r="KDC27" s="44"/>
      <c r="KDD27" s="44"/>
      <c r="KDE27" s="44"/>
      <c r="KDF27" s="44"/>
      <c r="KDG27" s="44"/>
      <c r="KDH27" s="43"/>
      <c r="KDI27" s="44"/>
      <c r="KDJ27" s="44"/>
      <c r="KDK27" s="44"/>
      <c r="KDL27" s="44"/>
      <c r="KDM27" s="44"/>
      <c r="KDN27" s="44"/>
      <c r="KDO27" s="44"/>
      <c r="KDP27" s="44"/>
      <c r="KDQ27" s="44"/>
      <c r="KDR27" s="44"/>
      <c r="KDS27" s="44"/>
      <c r="KDT27" s="44"/>
      <c r="KDU27" s="44"/>
      <c r="KDV27" s="44"/>
      <c r="KDW27" s="43"/>
      <c r="KDX27" s="44"/>
      <c r="KDY27" s="44"/>
      <c r="KDZ27" s="44"/>
      <c r="KEA27" s="44"/>
      <c r="KEB27" s="44"/>
      <c r="KEC27" s="44"/>
      <c r="KED27" s="44"/>
      <c r="KEE27" s="44"/>
      <c r="KEF27" s="44"/>
      <c r="KEG27" s="44"/>
      <c r="KEH27" s="44"/>
      <c r="KEI27" s="44"/>
      <c r="KEJ27" s="44"/>
      <c r="KEK27" s="44"/>
      <c r="KEL27" s="43"/>
      <c r="KEM27" s="44"/>
      <c r="KEN27" s="44"/>
      <c r="KEO27" s="44"/>
      <c r="KEP27" s="44"/>
      <c r="KEQ27" s="44"/>
      <c r="KER27" s="44"/>
      <c r="KES27" s="44"/>
      <c r="KET27" s="44"/>
      <c r="KEU27" s="44"/>
      <c r="KEV27" s="44"/>
      <c r="KEW27" s="44"/>
      <c r="KEX27" s="44"/>
      <c r="KEY27" s="44"/>
      <c r="KEZ27" s="44"/>
      <c r="KFA27" s="43"/>
      <c r="KFB27" s="44"/>
      <c r="KFC27" s="44"/>
      <c r="KFD27" s="44"/>
      <c r="KFE27" s="44"/>
      <c r="KFF27" s="44"/>
      <c r="KFG27" s="44"/>
      <c r="KFH27" s="44"/>
      <c r="KFI27" s="44"/>
      <c r="KFJ27" s="44"/>
      <c r="KFK27" s="44"/>
      <c r="KFL27" s="44"/>
      <c r="KFM27" s="44"/>
      <c r="KFN27" s="44"/>
      <c r="KFO27" s="44"/>
      <c r="KFP27" s="43"/>
      <c r="KFQ27" s="44"/>
      <c r="KFR27" s="44"/>
      <c r="KFS27" s="44"/>
      <c r="KFT27" s="44"/>
      <c r="KFU27" s="44"/>
      <c r="KFV27" s="44"/>
      <c r="KFW27" s="44"/>
      <c r="KFX27" s="44"/>
      <c r="KFY27" s="44"/>
      <c r="KFZ27" s="44"/>
      <c r="KGA27" s="44"/>
      <c r="KGB27" s="44"/>
      <c r="KGC27" s="44"/>
      <c r="KGD27" s="44"/>
      <c r="KGE27" s="43"/>
      <c r="KGF27" s="44"/>
      <c r="KGG27" s="44"/>
      <c r="KGH27" s="44"/>
      <c r="KGI27" s="44"/>
      <c r="KGJ27" s="44"/>
      <c r="KGK27" s="44"/>
      <c r="KGL27" s="44"/>
      <c r="KGM27" s="44"/>
      <c r="KGN27" s="44"/>
      <c r="KGO27" s="44"/>
      <c r="KGP27" s="44"/>
      <c r="KGQ27" s="44"/>
      <c r="KGR27" s="44"/>
      <c r="KGS27" s="44"/>
      <c r="KGT27" s="43"/>
      <c r="KGU27" s="44"/>
      <c r="KGV27" s="44"/>
      <c r="KGW27" s="44"/>
      <c r="KGX27" s="44"/>
      <c r="KGY27" s="44"/>
      <c r="KGZ27" s="44"/>
      <c r="KHA27" s="44"/>
      <c r="KHB27" s="44"/>
      <c r="KHC27" s="44"/>
      <c r="KHD27" s="44"/>
      <c r="KHE27" s="44"/>
      <c r="KHF27" s="44"/>
      <c r="KHG27" s="44"/>
      <c r="KHH27" s="44"/>
      <c r="KHI27" s="43"/>
      <c r="KHJ27" s="44"/>
      <c r="KHK27" s="44"/>
      <c r="KHL27" s="44"/>
      <c r="KHM27" s="44"/>
      <c r="KHN27" s="44"/>
      <c r="KHO27" s="44"/>
      <c r="KHP27" s="44"/>
      <c r="KHQ27" s="44"/>
      <c r="KHR27" s="44"/>
      <c r="KHS27" s="44"/>
      <c r="KHT27" s="44"/>
      <c r="KHU27" s="44"/>
      <c r="KHV27" s="44"/>
      <c r="KHW27" s="44"/>
      <c r="KHX27" s="43"/>
      <c r="KHY27" s="44"/>
      <c r="KHZ27" s="44"/>
      <c r="KIA27" s="44"/>
      <c r="KIB27" s="44"/>
      <c r="KIC27" s="44"/>
      <c r="KID27" s="44"/>
      <c r="KIE27" s="44"/>
      <c r="KIF27" s="44"/>
      <c r="KIG27" s="44"/>
      <c r="KIH27" s="44"/>
      <c r="KII27" s="44"/>
      <c r="KIJ27" s="44"/>
      <c r="KIK27" s="44"/>
      <c r="KIL27" s="44"/>
      <c r="KIM27" s="43"/>
      <c r="KIN27" s="44"/>
      <c r="KIO27" s="44"/>
      <c r="KIP27" s="44"/>
      <c r="KIQ27" s="44"/>
      <c r="KIR27" s="44"/>
      <c r="KIS27" s="44"/>
      <c r="KIT27" s="44"/>
      <c r="KIU27" s="44"/>
      <c r="KIV27" s="44"/>
      <c r="KIW27" s="44"/>
      <c r="KIX27" s="44"/>
      <c r="KIY27" s="44"/>
      <c r="KIZ27" s="44"/>
      <c r="KJA27" s="44"/>
      <c r="KJB27" s="43"/>
      <c r="KJC27" s="44"/>
      <c r="KJD27" s="44"/>
      <c r="KJE27" s="44"/>
      <c r="KJF27" s="44"/>
      <c r="KJG27" s="44"/>
      <c r="KJH27" s="44"/>
      <c r="KJI27" s="44"/>
      <c r="KJJ27" s="44"/>
      <c r="KJK27" s="44"/>
      <c r="KJL27" s="44"/>
      <c r="KJM27" s="44"/>
      <c r="KJN27" s="44"/>
      <c r="KJO27" s="44"/>
      <c r="KJP27" s="44"/>
      <c r="KJQ27" s="43"/>
      <c r="KJR27" s="44"/>
      <c r="KJS27" s="44"/>
      <c r="KJT27" s="44"/>
      <c r="KJU27" s="44"/>
      <c r="KJV27" s="44"/>
      <c r="KJW27" s="44"/>
      <c r="KJX27" s="44"/>
      <c r="KJY27" s="44"/>
      <c r="KJZ27" s="44"/>
      <c r="KKA27" s="44"/>
      <c r="KKB27" s="44"/>
      <c r="KKC27" s="44"/>
      <c r="KKD27" s="44"/>
      <c r="KKE27" s="44"/>
      <c r="KKF27" s="43"/>
      <c r="KKG27" s="44"/>
      <c r="KKH27" s="44"/>
      <c r="KKI27" s="44"/>
      <c r="KKJ27" s="44"/>
      <c r="KKK27" s="44"/>
      <c r="KKL27" s="44"/>
      <c r="KKM27" s="44"/>
      <c r="KKN27" s="44"/>
      <c r="KKO27" s="44"/>
      <c r="KKP27" s="44"/>
      <c r="KKQ27" s="44"/>
      <c r="KKR27" s="44"/>
      <c r="KKS27" s="44"/>
      <c r="KKT27" s="44"/>
      <c r="KKU27" s="43"/>
      <c r="KKV27" s="44"/>
      <c r="KKW27" s="44"/>
      <c r="KKX27" s="44"/>
      <c r="KKY27" s="44"/>
      <c r="KKZ27" s="44"/>
      <c r="KLA27" s="44"/>
      <c r="KLB27" s="44"/>
      <c r="KLC27" s="44"/>
      <c r="KLD27" s="44"/>
      <c r="KLE27" s="44"/>
      <c r="KLF27" s="44"/>
      <c r="KLG27" s="44"/>
      <c r="KLH27" s="44"/>
      <c r="KLI27" s="44"/>
      <c r="KLJ27" s="43"/>
      <c r="KLK27" s="44"/>
      <c r="KLL27" s="44"/>
      <c r="KLM27" s="44"/>
      <c r="KLN27" s="44"/>
      <c r="KLO27" s="44"/>
      <c r="KLP27" s="44"/>
      <c r="KLQ27" s="44"/>
      <c r="KLR27" s="44"/>
      <c r="KLS27" s="44"/>
      <c r="KLT27" s="44"/>
      <c r="KLU27" s="44"/>
      <c r="KLV27" s="44"/>
      <c r="KLW27" s="44"/>
      <c r="KLX27" s="44"/>
      <c r="KLY27" s="43"/>
      <c r="KLZ27" s="44"/>
      <c r="KMA27" s="44"/>
      <c r="KMB27" s="44"/>
      <c r="KMC27" s="44"/>
      <c r="KMD27" s="44"/>
      <c r="KME27" s="44"/>
      <c r="KMF27" s="44"/>
      <c r="KMG27" s="44"/>
      <c r="KMH27" s="44"/>
      <c r="KMI27" s="44"/>
      <c r="KMJ27" s="44"/>
      <c r="KMK27" s="44"/>
      <c r="KML27" s="44"/>
      <c r="KMM27" s="44"/>
      <c r="KMN27" s="43"/>
      <c r="KMO27" s="44"/>
      <c r="KMP27" s="44"/>
      <c r="KMQ27" s="44"/>
      <c r="KMR27" s="44"/>
      <c r="KMS27" s="44"/>
      <c r="KMT27" s="44"/>
      <c r="KMU27" s="44"/>
      <c r="KMV27" s="44"/>
      <c r="KMW27" s="44"/>
      <c r="KMX27" s="44"/>
      <c r="KMY27" s="44"/>
      <c r="KMZ27" s="44"/>
      <c r="KNA27" s="44"/>
      <c r="KNB27" s="44"/>
      <c r="KNC27" s="43"/>
      <c r="KND27" s="44"/>
      <c r="KNE27" s="44"/>
      <c r="KNF27" s="44"/>
      <c r="KNG27" s="44"/>
      <c r="KNH27" s="44"/>
      <c r="KNI27" s="44"/>
      <c r="KNJ27" s="44"/>
      <c r="KNK27" s="44"/>
      <c r="KNL27" s="44"/>
      <c r="KNM27" s="44"/>
      <c r="KNN27" s="44"/>
      <c r="KNO27" s="44"/>
      <c r="KNP27" s="44"/>
      <c r="KNQ27" s="44"/>
      <c r="KNR27" s="43"/>
      <c r="KNS27" s="44"/>
      <c r="KNT27" s="44"/>
      <c r="KNU27" s="44"/>
      <c r="KNV27" s="44"/>
      <c r="KNW27" s="44"/>
      <c r="KNX27" s="44"/>
      <c r="KNY27" s="44"/>
      <c r="KNZ27" s="44"/>
      <c r="KOA27" s="44"/>
      <c r="KOB27" s="44"/>
      <c r="KOC27" s="44"/>
      <c r="KOD27" s="44"/>
      <c r="KOE27" s="44"/>
      <c r="KOF27" s="44"/>
      <c r="KOG27" s="43"/>
      <c r="KOH27" s="44"/>
      <c r="KOI27" s="44"/>
      <c r="KOJ27" s="44"/>
      <c r="KOK27" s="44"/>
      <c r="KOL27" s="44"/>
      <c r="KOM27" s="44"/>
      <c r="KON27" s="44"/>
      <c r="KOO27" s="44"/>
      <c r="KOP27" s="44"/>
      <c r="KOQ27" s="44"/>
      <c r="KOR27" s="44"/>
      <c r="KOS27" s="44"/>
      <c r="KOT27" s="44"/>
      <c r="KOU27" s="44"/>
      <c r="KOV27" s="43"/>
      <c r="KOW27" s="44"/>
      <c r="KOX27" s="44"/>
      <c r="KOY27" s="44"/>
      <c r="KOZ27" s="44"/>
      <c r="KPA27" s="44"/>
      <c r="KPB27" s="44"/>
      <c r="KPC27" s="44"/>
      <c r="KPD27" s="44"/>
      <c r="KPE27" s="44"/>
      <c r="KPF27" s="44"/>
      <c r="KPG27" s="44"/>
      <c r="KPH27" s="44"/>
      <c r="KPI27" s="44"/>
      <c r="KPJ27" s="44"/>
      <c r="KPK27" s="43"/>
      <c r="KPL27" s="44"/>
      <c r="KPM27" s="44"/>
      <c r="KPN27" s="44"/>
      <c r="KPO27" s="44"/>
      <c r="KPP27" s="44"/>
      <c r="KPQ27" s="44"/>
      <c r="KPR27" s="44"/>
      <c r="KPS27" s="44"/>
      <c r="KPT27" s="44"/>
      <c r="KPU27" s="44"/>
      <c r="KPV27" s="44"/>
      <c r="KPW27" s="44"/>
      <c r="KPX27" s="44"/>
      <c r="KPY27" s="44"/>
      <c r="KPZ27" s="43"/>
      <c r="KQA27" s="44"/>
      <c r="KQB27" s="44"/>
      <c r="KQC27" s="44"/>
      <c r="KQD27" s="44"/>
      <c r="KQE27" s="44"/>
      <c r="KQF27" s="44"/>
      <c r="KQG27" s="44"/>
      <c r="KQH27" s="44"/>
      <c r="KQI27" s="44"/>
      <c r="KQJ27" s="44"/>
      <c r="KQK27" s="44"/>
      <c r="KQL27" s="44"/>
      <c r="KQM27" s="44"/>
      <c r="KQN27" s="44"/>
      <c r="KQO27" s="43"/>
      <c r="KQP27" s="44"/>
      <c r="KQQ27" s="44"/>
      <c r="KQR27" s="44"/>
      <c r="KQS27" s="44"/>
      <c r="KQT27" s="44"/>
      <c r="KQU27" s="44"/>
      <c r="KQV27" s="44"/>
      <c r="KQW27" s="44"/>
      <c r="KQX27" s="44"/>
      <c r="KQY27" s="44"/>
      <c r="KQZ27" s="44"/>
      <c r="KRA27" s="44"/>
      <c r="KRB27" s="44"/>
      <c r="KRC27" s="44"/>
      <c r="KRD27" s="43"/>
      <c r="KRE27" s="44"/>
      <c r="KRF27" s="44"/>
      <c r="KRG27" s="44"/>
      <c r="KRH27" s="44"/>
      <c r="KRI27" s="44"/>
      <c r="KRJ27" s="44"/>
      <c r="KRK27" s="44"/>
      <c r="KRL27" s="44"/>
      <c r="KRM27" s="44"/>
      <c r="KRN27" s="44"/>
      <c r="KRO27" s="44"/>
      <c r="KRP27" s="44"/>
      <c r="KRQ27" s="44"/>
      <c r="KRR27" s="44"/>
      <c r="KRS27" s="43"/>
      <c r="KRT27" s="44"/>
      <c r="KRU27" s="44"/>
      <c r="KRV27" s="44"/>
      <c r="KRW27" s="44"/>
      <c r="KRX27" s="44"/>
      <c r="KRY27" s="44"/>
      <c r="KRZ27" s="44"/>
      <c r="KSA27" s="44"/>
      <c r="KSB27" s="44"/>
      <c r="KSC27" s="44"/>
      <c r="KSD27" s="44"/>
      <c r="KSE27" s="44"/>
      <c r="KSF27" s="44"/>
      <c r="KSG27" s="44"/>
      <c r="KSH27" s="43"/>
      <c r="KSI27" s="44"/>
      <c r="KSJ27" s="44"/>
      <c r="KSK27" s="44"/>
      <c r="KSL27" s="44"/>
      <c r="KSM27" s="44"/>
      <c r="KSN27" s="44"/>
      <c r="KSO27" s="44"/>
      <c r="KSP27" s="44"/>
      <c r="KSQ27" s="44"/>
      <c r="KSR27" s="44"/>
      <c r="KSS27" s="44"/>
      <c r="KST27" s="44"/>
      <c r="KSU27" s="44"/>
      <c r="KSV27" s="44"/>
      <c r="KSW27" s="43"/>
      <c r="KSX27" s="44"/>
      <c r="KSY27" s="44"/>
      <c r="KSZ27" s="44"/>
      <c r="KTA27" s="44"/>
      <c r="KTB27" s="44"/>
      <c r="KTC27" s="44"/>
      <c r="KTD27" s="44"/>
      <c r="KTE27" s="44"/>
      <c r="KTF27" s="44"/>
      <c r="KTG27" s="44"/>
      <c r="KTH27" s="44"/>
      <c r="KTI27" s="44"/>
      <c r="KTJ27" s="44"/>
      <c r="KTK27" s="44"/>
      <c r="KTL27" s="43"/>
      <c r="KTM27" s="44"/>
      <c r="KTN27" s="44"/>
      <c r="KTO27" s="44"/>
      <c r="KTP27" s="44"/>
      <c r="KTQ27" s="44"/>
      <c r="KTR27" s="44"/>
      <c r="KTS27" s="44"/>
      <c r="KTT27" s="44"/>
      <c r="KTU27" s="44"/>
      <c r="KTV27" s="44"/>
      <c r="KTW27" s="44"/>
      <c r="KTX27" s="44"/>
      <c r="KTY27" s="44"/>
      <c r="KTZ27" s="44"/>
      <c r="KUA27" s="43"/>
      <c r="KUB27" s="44"/>
      <c r="KUC27" s="44"/>
      <c r="KUD27" s="44"/>
      <c r="KUE27" s="44"/>
      <c r="KUF27" s="44"/>
      <c r="KUG27" s="44"/>
      <c r="KUH27" s="44"/>
      <c r="KUI27" s="44"/>
      <c r="KUJ27" s="44"/>
      <c r="KUK27" s="44"/>
      <c r="KUL27" s="44"/>
      <c r="KUM27" s="44"/>
      <c r="KUN27" s="44"/>
      <c r="KUO27" s="44"/>
      <c r="KUP27" s="43"/>
      <c r="KUQ27" s="44"/>
      <c r="KUR27" s="44"/>
      <c r="KUS27" s="44"/>
      <c r="KUT27" s="44"/>
      <c r="KUU27" s="44"/>
      <c r="KUV27" s="44"/>
      <c r="KUW27" s="44"/>
      <c r="KUX27" s="44"/>
      <c r="KUY27" s="44"/>
      <c r="KUZ27" s="44"/>
      <c r="KVA27" s="44"/>
      <c r="KVB27" s="44"/>
      <c r="KVC27" s="44"/>
      <c r="KVD27" s="44"/>
      <c r="KVE27" s="43"/>
      <c r="KVF27" s="44"/>
      <c r="KVG27" s="44"/>
      <c r="KVH27" s="44"/>
      <c r="KVI27" s="44"/>
      <c r="KVJ27" s="44"/>
      <c r="KVK27" s="44"/>
      <c r="KVL27" s="44"/>
      <c r="KVM27" s="44"/>
      <c r="KVN27" s="44"/>
      <c r="KVO27" s="44"/>
      <c r="KVP27" s="44"/>
      <c r="KVQ27" s="44"/>
      <c r="KVR27" s="44"/>
      <c r="KVS27" s="44"/>
      <c r="KVT27" s="43"/>
      <c r="KVU27" s="44"/>
      <c r="KVV27" s="44"/>
      <c r="KVW27" s="44"/>
      <c r="KVX27" s="44"/>
      <c r="KVY27" s="44"/>
      <c r="KVZ27" s="44"/>
      <c r="KWA27" s="44"/>
      <c r="KWB27" s="44"/>
      <c r="KWC27" s="44"/>
      <c r="KWD27" s="44"/>
      <c r="KWE27" s="44"/>
      <c r="KWF27" s="44"/>
      <c r="KWG27" s="44"/>
      <c r="KWH27" s="44"/>
      <c r="KWI27" s="43"/>
      <c r="KWJ27" s="44"/>
      <c r="KWK27" s="44"/>
      <c r="KWL27" s="44"/>
      <c r="KWM27" s="44"/>
      <c r="KWN27" s="44"/>
      <c r="KWO27" s="44"/>
      <c r="KWP27" s="44"/>
      <c r="KWQ27" s="44"/>
      <c r="KWR27" s="44"/>
      <c r="KWS27" s="44"/>
      <c r="KWT27" s="44"/>
      <c r="KWU27" s="44"/>
      <c r="KWV27" s="44"/>
      <c r="KWW27" s="44"/>
      <c r="KWX27" s="43"/>
      <c r="KWY27" s="44"/>
      <c r="KWZ27" s="44"/>
      <c r="KXA27" s="44"/>
      <c r="KXB27" s="44"/>
      <c r="KXC27" s="44"/>
      <c r="KXD27" s="44"/>
      <c r="KXE27" s="44"/>
      <c r="KXF27" s="44"/>
      <c r="KXG27" s="44"/>
      <c r="KXH27" s="44"/>
      <c r="KXI27" s="44"/>
      <c r="KXJ27" s="44"/>
      <c r="KXK27" s="44"/>
      <c r="KXL27" s="44"/>
      <c r="KXM27" s="43"/>
      <c r="KXN27" s="44"/>
      <c r="KXO27" s="44"/>
      <c r="KXP27" s="44"/>
      <c r="KXQ27" s="44"/>
      <c r="KXR27" s="44"/>
      <c r="KXS27" s="44"/>
      <c r="KXT27" s="44"/>
      <c r="KXU27" s="44"/>
      <c r="KXV27" s="44"/>
      <c r="KXW27" s="44"/>
      <c r="KXX27" s="44"/>
      <c r="KXY27" s="44"/>
      <c r="KXZ27" s="44"/>
      <c r="KYA27" s="44"/>
      <c r="KYB27" s="43"/>
      <c r="KYC27" s="44"/>
      <c r="KYD27" s="44"/>
      <c r="KYE27" s="44"/>
      <c r="KYF27" s="44"/>
      <c r="KYG27" s="44"/>
      <c r="KYH27" s="44"/>
      <c r="KYI27" s="44"/>
      <c r="KYJ27" s="44"/>
      <c r="KYK27" s="44"/>
      <c r="KYL27" s="44"/>
      <c r="KYM27" s="44"/>
      <c r="KYN27" s="44"/>
      <c r="KYO27" s="44"/>
      <c r="KYP27" s="44"/>
      <c r="KYQ27" s="43"/>
      <c r="KYR27" s="44"/>
      <c r="KYS27" s="44"/>
      <c r="KYT27" s="44"/>
      <c r="KYU27" s="44"/>
      <c r="KYV27" s="44"/>
      <c r="KYW27" s="44"/>
      <c r="KYX27" s="44"/>
      <c r="KYY27" s="44"/>
      <c r="KYZ27" s="44"/>
      <c r="KZA27" s="44"/>
      <c r="KZB27" s="44"/>
      <c r="KZC27" s="44"/>
      <c r="KZD27" s="44"/>
      <c r="KZE27" s="44"/>
      <c r="KZF27" s="43"/>
      <c r="KZG27" s="44"/>
      <c r="KZH27" s="44"/>
      <c r="KZI27" s="44"/>
      <c r="KZJ27" s="44"/>
      <c r="KZK27" s="44"/>
      <c r="KZL27" s="44"/>
      <c r="KZM27" s="44"/>
      <c r="KZN27" s="44"/>
      <c r="KZO27" s="44"/>
      <c r="KZP27" s="44"/>
      <c r="KZQ27" s="44"/>
      <c r="KZR27" s="44"/>
      <c r="KZS27" s="44"/>
      <c r="KZT27" s="44"/>
      <c r="KZU27" s="43"/>
      <c r="KZV27" s="44"/>
      <c r="KZW27" s="44"/>
      <c r="KZX27" s="44"/>
      <c r="KZY27" s="44"/>
      <c r="KZZ27" s="44"/>
      <c r="LAA27" s="44"/>
      <c r="LAB27" s="44"/>
      <c r="LAC27" s="44"/>
      <c r="LAD27" s="44"/>
      <c r="LAE27" s="44"/>
      <c r="LAF27" s="44"/>
      <c r="LAG27" s="44"/>
      <c r="LAH27" s="44"/>
      <c r="LAI27" s="44"/>
      <c r="LAJ27" s="43"/>
      <c r="LAK27" s="44"/>
      <c r="LAL27" s="44"/>
      <c r="LAM27" s="44"/>
      <c r="LAN27" s="44"/>
      <c r="LAO27" s="44"/>
      <c r="LAP27" s="44"/>
      <c r="LAQ27" s="44"/>
      <c r="LAR27" s="44"/>
      <c r="LAS27" s="44"/>
      <c r="LAT27" s="44"/>
      <c r="LAU27" s="44"/>
      <c r="LAV27" s="44"/>
      <c r="LAW27" s="44"/>
      <c r="LAX27" s="44"/>
      <c r="LAY27" s="43"/>
      <c r="LAZ27" s="44"/>
      <c r="LBA27" s="44"/>
      <c r="LBB27" s="44"/>
      <c r="LBC27" s="44"/>
      <c r="LBD27" s="44"/>
      <c r="LBE27" s="44"/>
      <c r="LBF27" s="44"/>
      <c r="LBG27" s="44"/>
      <c r="LBH27" s="44"/>
      <c r="LBI27" s="44"/>
      <c r="LBJ27" s="44"/>
      <c r="LBK27" s="44"/>
      <c r="LBL27" s="44"/>
      <c r="LBM27" s="44"/>
      <c r="LBN27" s="43"/>
      <c r="LBO27" s="44"/>
      <c r="LBP27" s="44"/>
      <c r="LBQ27" s="44"/>
      <c r="LBR27" s="44"/>
      <c r="LBS27" s="44"/>
      <c r="LBT27" s="44"/>
      <c r="LBU27" s="44"/>
      <c r="LBV27" s="44"/>
      <c r="LBW27" s="44"/>
      <c r="LBX27" s="44"/>
      <c r="LBY27" s="44"/>
      <c r="LBZ27" s="44"/>
      <c r="LCA27" s="44"/>
      <c r="LCB27" s="44"/>
      <c r="LCC27" s="43"/>
      <c r="LCD27" s="44"/>
      <c r="LCE27" s="44"/>
      <c r="LCF27" s="44"/>
      <c r="LCG27" s="44"/>
      <c r="LCH27" s="44"/>
      <c r="LCI27" s="44"/>
      <c r="LCJ27" s="44"/>
      <c r="LCK27" s="44"/>
      <c r="LCL27" s="44"/>
      <c r="LCM27" s="44"/>
      <c r="LCN27" s="44"/>
      <c r="LCO27" s="44"/>
      <c r="LCP27" s="44"/>
      <c r="LCQ27" s="44"/>
      <c r="LCR27" s="43"/>
      <c r="LCS27" s="44"/>
      <c r="LCT27" s="44"/>
      <c r="LCU27" s="44"/>
      <c r="LCV27" s="44"/>
      <c r="LCW27" s="44"/>
      <c r="LCX27" s="44"/>
      <c r="LCY27" s="44"/>
      <c r="LCZ27" s="44"/>
      <c r="LDA27" s="44"/>
      <c r="LDB27" s="44"/>
      <c r="LDC27" s="44"/>
      <c r="LDD27" s="44"/>
      <c r="LDE27" s="44"/>
      <c r="LDF27" s="44"/>
      <c r="LDG27" s="43"/>
      <c r="LDH27" s="44"/>
      <c r="LDI27" s="44"/>
      <c r="LDJ27" s="44"/>
      <c r="LDK27" s="44"/>
      <c r="LDL27" s="44"/>
      <c r="LDM27" s="44"/>
      <c r="LDN27" s="44"/>
      <c r="LDO27" s="44"/>
      <c r="LDP27" s="44"/>
      <c r="LDQ27" s="44"/>
      <c r="LDR27" s="44"/>
      <c r="LDS27" s="44"/>
      <c r="LDT27" s="44"/>
      <c r="LDU27" s="44"/>
      <c r="LDV27" s="43"/>
      <c r="LDW27" s="44"/>
      <c r="LDX27" s="44"/>
      <c r="LDY27" s="44"/>
      <c r="LDZ27" s="44"/>
      <c r="LEA27" s="44"/>
      <c r="LEB27" s="44"/>
      <c r="LEC27" s="44"/>
      <c r="LED27" s="44"/>
      <c r="LEE27" s="44"/>
      <c r="LEF27" s="44"/>
      <c r="LEG27" s="44"/>
      <c r="LEH27" s="44"/>
      <c r="LEI27" s="44"/>
      <c r="LEJ27" s="44"/>
      <c r="LEK27" s="43"/>
      <c r="LEL27" s="44"/>
      <c r="LEM27" s="44"/>
      <c r="LEN27" s="44"/>
      <c r="LEO27" s="44"/>
      <c r="LEP27" s="44"/>
      <c r="LEQ27" s="44"/>
      <c r="LER27" s="44"/>
      <c r="LES27" s="44"/>
      <c r="LET27" s="44"/>
      <c r="LEU27" s="44"/>
      <c r="LEV27" s="44"/>
      <c r="LEW27" s="44"/>
      <c r="LEX27" s="44"/>
      <c r="LEY27" s="44"/>
      <c r="LEZ27" s="43"/>
      <c r="LFA27" s="44"/>
      <c r="LFB27" s="44"/>
      <c r="LFC27" s="44"/>
      <c r="LFD27" s="44"/>
      <c r="LFE27" s="44"/>
      <c r="LFF27" s="44"/>
      <c r="LFG27" s="44"/>
      <c r="LFH27" s="44"/>
      <c r="LFI27" s="44"/>
      <c r="LFJ27" s="44"/>
      <c r="LFK27" s="44"/>
      <c r="LFL27" s="44"/>
      <c r="LFM27" s="44"/>
      <c r="LFN27" s="44"/>
      <c r="LFO27" s="43"/>
      <c r="LFP27" s="44"/>
      <c r="LFQ27" s="44"/>
      <c r="LFR27" s="44"/>
      <c r="LFS27" s="44"/>
      <c r="LFT27" s="44"/>
      <c r="LFU27" s="44"/>
      <c r="LFV27" s="44"/>
      <c r="LFW27" s="44"/>
      <c r="LFX27" s="44"/>
      <c r="LFY27" s="44"/>
      <c r="LFZ27" s="44"/>
      <c r="LGA27" s="44"/>
      <c r="LGB27" s="44"/>
      <c r="LGC27" s="44"/>
      <c r="LGD27" s="43"/>
      <c r="LGE27" s="44"/>
      <c r="LGF27" s="44"/>
      <c r="LGG27" s="44"/>
      <c r="LGH27" s="44"/>
      <c r="LGI27" s="44"/>
      <c r="LGJ27" s="44"/>
      <c r="LGK27" s="44"/>
      <c r="LGL27" s="44"/>
      <c r="LGM27" s="44"/>
      <c r="LGN27" s="44"/>
      <c r="LGO27" s="44"/>
      <c r="LGP27" s="44"/>
      <c r="LGQ27" s="44"/>
      <c r="LGR27" s="44"/>
      <c r="LGS27" s="43"/>
      <c r="LGT27" s="44"/>
      <c r="LGU27" s="44"/>
      <c r="LGV27" s="44"/>
      <c r="LGW27" s="44"/>
      <c r="LGX27" s="44"/>
      <c r="LGY27" s="44"/>
      <c r="LGZ27" s="44"/>
      <c r="LHA27" s="44"/>
      <c r="LHB27" s="44"/>
      <c r="LHC27" s="44"/>
      <c r="LHD27" s="44"/>
      <c r="LHE27" s="44"/>
      <c r="LHF27" s="44"/>
      <c r="LHG27" s="44"/>
      <c r="LHH27" s="43"/>
      <c r="LHI27" s="44"/>
      <c r="LHJ27" s="44"/>
      <c r="LHK27" s="44"/>
      <c r="LHL27" s="44"/>
      <c r="LHM27" s="44"/>
      <c r="LHN27" s="44"/>
      <c r="LHO27" s="44"/>
      <c r="LHP27" s="44"/>
      <c r="LHQ27" s="44"/>
      <c r="LHR27" s="44"/>
      <c r="LHS27" s="44"/>
      <c r="LHT27" s="44"/>
      <c r="LHU27" s="44"/>
      <c r="LHV27" s="44"/>
      <c r="LHW27" s="43"/>
      <c r="LHX27" s="44"/>
      <c r="LHY27" s="44"/>
      <c r="LHZ27" s="44"/>
      <c r="LIA27" s="44"/>
      <c r="LIB27" s="44"/>
      <c r="LIC27" s="44"/>
      <c r="LID27" s="44"/>
      <c r="LIE27" s="44"/>
      <c r="LIF27" s="44"/>
      <c r="LIG27" s="44"/>
      <c r="LIH27" s="44"/>
      <c r="LII27" s="44"/>
      <c r="LIJ27" s="44"/>
      <c r="LIK27" s="44"/>
      <c r="LIL27" s="43"/>
      <c r="LIM27" s="44"/>
      <c r="LIN27" s="44"/>
      <c r="LIO27" s="44"/>
      <c r="LIP27" s="44"/>
      <c r="LIQ27" s="44"/>
      <c r="LIR27" s="44"/>
      <c r="LIS27" s="44"/>
      <c r="LIT27" s="44"/>
      <c r="LIU27" s="44"/>
      <c r="LIV27" s="44"/>
      <c r="LIW27" s="44"/>
      <c r="LIX27" s="44"/>
      <c r="LIY27" s="44"/>
      <c r="LIZ27" s="44"/>
      <c r="LJA27" s="43"/>
      <c r="LJB27" s="44"/>
      <c r="LJC27" s="44"/>
      <c r="LJD27" s="44"/>
      <c r="LJE27" s="44"/>
      <c r="LJF27" s="44"/>
      <c r="LJG27" s="44"/>
      <c r="LJH27" s="44"/>
      <c r="LJI27" s="44"/>
      <c r="LJJ27" s="44"/>
      <c r="LJK27" s="44"/>
      <c r="LJL27" s="44"/>
      <c r="LJM27" s="44"/>
      <c r="LJN27" s="44"/>
      <c r="LJO27" s="44"/>
      <c r="LJP27" s="43"/>
      <c r="LJQ27" s="44"/>
      <c r="LJR27" s="44"/>
      <c r="LJS27" s="44"/>
      <c r="LJT27" s="44"/>
      <c r="LJU27" s="44"/>
      <c r="LJV27" s="44"/>
      <c r="LJW27" s="44"/>
      <c r="LJX27" s="44"/>
      <c r="LJY27" s="44"/>
      <c r="LJZ27" s="44"/>
      <c r="LKA27" s="44"/>
      <c r="LKB27" s="44"/>
      <c r="LKC27" s="44"/>
      <c r="LKD27" s="44"/>
      <c r="LKE27" s="43"/>
      <c r="LKF27" s="44"/>
      <c r="LKG27" s="44"/>
      <c r="LKH27" s="44"/>
      <c r="LKI27" s="44"/>
      <c r="LKJ27" s="44"/>
      <c r="LKK27" s="44"/>
      <c r="LKL27" s="44"/>
      <c r="LKM27" s="44"/>
      <c r="LKN27" s="44"/>
      <c r="LKO27" s="44"/>
      <c r="LKP27" s="44"/>
      <c r="LKQ27" s="44"/>
      <c r="LKR27" s="44"/>
      <c r="LKS27" s="44"/>
      <c r="LKT27" s="43"/>
      <c r="LKU27" s="44"/>
      <c r="LKV27" s="44"/>
      <c r="LKW27" s="44"/>
      <c r="LKX27" s="44"/>
      <c r="LKY27" s="44"/>
      <c r="LKZ27" s="44"/>
      <c r="LLA27" s="44"/>
      <c r="LLB27" s="44"/>
      <c r="LLC27" s="44"/>
      <c r="LLD27" s="44"/>
      <c r="LLE27" s="44"/>
      <c r="LLF27" s="44"/>
      <c r="LLG27" s="44"/>
      <c r="LLH27" s="44"/>
      <c r="LLI27" s="43"/>
      <c r="LLJ27" s="44"/>
      <c r="LLK27" s="44"/>
      <c r="LLL27" s="44"/>
      <c r="LLM27" s="44"/>
      <c r="LLN27" s="44"/>
      <c r="LLO27" s="44"/>
      <c r="LLP27" s="44"/>
      <c r="LLQ27" s="44"/>
      <c r="LLR27" s="44"/>
      <c r="LLS27" s="44"/>
      <c r="LLT27" s="44"/>
      <c r="LLU27" s="44"/>
      <c r="LLV27" s="44"/>
      <c r="LLW27" s="44"/>
      <c r="LLX27" s="43"/>
      <c r="LLY27" s="44"/>
      <c r="LLZ27" s="44"/>
      <c r="LMA27" s="44"/>
      <c r="LMB27" s="44"/>
      <c r="LMC27" s="44"/>
      <c r="LMD27" s="44"/>
      <c r="LME27" s="44"/>
      <c r="LMF27" s="44"/>
      <c r="LMG27" s="44"/>
      <c r="LMH27" s="44"/>
      <c r="LMI27" s="44"/>
      <c r="LMJ27" s="44"/>
      <c r="LMK27" s="44"/>
      <c r="LML27" s="44"/>
      <c r="LMM27" s="43"/>
      <c r="LMN27" s="44"/>
      <c r="LMO27" s="44"/>
      <c r="LMP27" s="44"/>
      <c r="LMQ27" s="44"/>
      <c r="LMR27" s="44"/>
      <c r="LMS27" s="44"/>
      <c r="LMT27" s="44"/>
      <c r="LMU27" s="44"/>
      <c r="LMV27" s="44"/>
      <c r="LMW27" s="44"/>
      <c r="LMX27" s="44"/>
      <c r="LMY27" s="44"/>
      <c r="LMZ27" s="44"/>
      <c r="LNA27" s="44"/>
      <c r="LNB27" s="43"/>
      <c r="LNC27" s="44"/>
      <c r="LND27" s="44"/>
      <c r="LNE27" s="44"/>
      <c r="LNF27" s="44"/>
      <c r="LNG27" s="44"/>
      <c r="LNH27" s="44"/>
      <c r="LNI27" s="44"/>
      <c r="LNJ27" s="44"/>
      <c r="LNK27" s="44"/>
      <c r="LNL27" s="44"/>
      <c r="LNM27" s="44"/>
      <c r="LNN27" s="44"/>
      <c r="LNO27" s="44"/>
      <c r="LNP27" s="44"/>
      <c r="LNQ27" s="43"/>
      <c r="LNR27" s="44"/>
      <c r="LNS27" s="44"/>
      <c r="LNT27" s="44"/>
      <c r="LNU27" s="44"/>
      <c r="LNV27" s="44"/>
      <c r="LNW27" s="44"/>
      <c r="LNX27" s="44"/>
      <c r="LNY27" s="44"/>
      <c r="LNZ27" s="44"/>
      <c r="LOA27" s="44"/>
      <c r="LOB27" s="44"/>
      <c r="LOC27" s="44"/>
      <c r="LOD27" s="44"/>
      <c r="LOE27" s="44"/>
      <c r="LOF27" s="43"/>
      <c r="LOG27" s="44"/>
      <c r="LOH27" s="44"/>
      <c r="LOI27" s="44"/>
      <c r="LOJ27" s="44"/>
      <c r="LOK27" s="44"/>
      <c r="LOL27" s="44"/>
      <c r="LOM27" s="44"/>
      <c r="LON27" s="44"/>
      <c r="LOO27" s="44"/>
      <c r="LOP27" s="44"/>
      <c r="LOQ27" s="44"/>
      <c r="LOR27" s="44"/>
      <c r="LOS27" s="44"/>
      <c r="LOT27" s="44"/>
      <c r="LOU27" s="43"/>
      <c r="LOV27" s="44"/>
      <c r="LOW27" s="44"/>
      <c r="LOX27" s="44"/>
      <c r="LOY27" s="44"/>
      <c r="LOZ27" s="44"/>
      <c r="LPA27" s="44"/>
      <c r="LPB27" s="44"/>
      <c r="LPC27" s="44"/>
      <c r="LPD27" s="44"/>
      <c r="LPE27" s="44"/>
      <c r="LPF27" s="44"/>
      <c r="LPG27" s="44"/>
      <c r="LPH27" s="44"/>
      <c r="LPI27" s="44"/>
      <c r="LPJ27" s="43"/>
      <c r="LPK27" s="44"/>
      <c r="LPL27" s="44"/>
      <c r="LPM27" s="44"/>
      <c r="LPN27" s="44"/>
      <c r="LPO27" s="44"/>
      <c r="LPP27" s="44"/>
      <c r="LPQ27" s="44"/>
      <c r="LPR27" s="44"/>
      <c r="LPS27" s="44"/>
      <c r="LPT27" s="44"/>
      <c r="LPU27" s="44"/>
      <c r="LPV27" s="44"/>
      <c r="LPW27" s="44"/>
      <c r="LPX27" s="44"/>
      <c r="LPY27" s="43"/>
      <c r="LPZ27" s="44"/>
      <c r="LQA27" s="44"/>
      <c r="LQB27" s="44"/>
      <c r="LQC27" s="44"/>
      <c r="LQD27" s="44"/>
      <c r="LQE27" s="44"/>
      <c r="LQF27" s="44"/>
      <c r="LQG27" s="44"/>
      <c r="LQH27" s="44"/>
      <c r="LQI27" s="44"/>
      <c r="LQJ27" s="44"/>
      <c r="LQK27" s="44"/>
      <c r="LQL27" s="44"/>
      <c r="LQM27" s="44"/>
      <c r="LQN27" s="43"/>
      <c r="LQO27" s="44"/>
      <c r="LQP27" s="44"/>
      <c r="LQQ27" s="44"/>
      <c r="LQR27" s="44"/>
      <c r="LQS27" s="44"/>
      <c r="LQT27" s="44"/>
      <c r="LQU27" s="44"/>
      <c r="LQV27" s="44"/>
      <c r="LQW27" s="44"/>
      <c r="LQX27" s="44"/>
      <c r="LQY27" s="44"/>
      <c r="LQZ27" s="44"/>
      <c r="LRA27" s="44"/>
      <c r="LRB27" s="44"/>
      <c r="LRC27" s="43"/>
      <c r="LRD27" s="44"/>
      <c r="LRE27" s="44"/>
      <c r="LRF27" s="44"/>
      <c r="LRG27" s="44"/>
      <c r="LRH27" s="44"/>
      <c r="LRI27" s="44"/>
      <c r="LRJ27" s="44"/>
      <c r="LRK27" s="44"/>
      <c r="LRL27" s="44"/>
      <c r="LRM27" s="44"/>
      <c r="LRN27" s="44"/>
      <c r="LRO27" s="44"/>
      <c r="LRP27" s="44"/>
      <c r="LRQ27" s="44"/>
      <c r="LRR27" s="43"/>
      <c r="LRS27" s="44"/>
      <c r="LRT27" s="44"/>
      <c r="LRU27" s="44"/>
      <c r="LRV27" s="44"/>
      <c r="LRW27" s="44"/>
      <c r="LRX27" s="44"/>
      <c r="LRY27" s="44"/>
      <c r="LRZ27" s="44"/>
      <c r="LSA27" s="44"/>
      <c r="LSB27" s="44"/>
      <c r="LSC27" s="44"/>
      <c r="LSD27" s="44"/>
      <c r="LSE27" s="44"/>
      <c r="LSF27" s="44"/>
      <c r="LSG27" s="43"/>
      <c r="LSH27" s="44"/>
      <c r="LSI27" s="44"/>
      <c r="LSJ27" s="44"/>
      <c r="LSK27" s="44"/>
      <c r="LSL27" s="44"/>
      <c r="LSM27" s="44"/>
      <c r="LSN27" s="44"/>
      <c r="LSO27" s="44"/>
      <c r="LSP27" s="44"/>
      <c r="LSQ27" s="44"/>
      <c r="LSR27" s="44"/>
      <c r="LSS27" s="44"/>
      <c r="LST27" s="44"/>
      <c r="LSU27" s="44"/>
      <c r="LSV27" s="43"/>
      <c r="LSW27" s="44"/>
      <c r="LSX27" s="44"/>
      <c r="LSY27" s="44"/>
      <c r="LSZ27" s="44"/>
      <c r="LTA27" s="44"/>
      <c r="LTB27" s="44"/>
      <c r="LTC27" s="44"/>
      <c r="LTD27" s="44"/>
      <c r="LTE27" s="44"/>
      <c r="LTF27" s="44"/>
      <c r="LTG27" s="44"/>
      <c r="LTH27" s="44"/>
      <c r="LTI27" s="44"/>
      <c r="LTJ27" s="44"/>
      <c r="LTK27" s="43"/>
      <c r="LTL27" s="44"/>
      <c r="LTM27" s="44"/>
      <c r="LTN27" s="44"/>
      <c r="LTO27" s="44"/>
      <c r="LTP27" s="44"/>
      <c r="LTQ27" s="44"/>
      <c r="LTR27" s="44"/>
      <c r="LTS27" s="44"/>
      <c r="LTT27" s="44"/>
      <c r="LTU27" s="44"/>
      <c r="LTV27" s="44"/>
      <c r="LTW27" s="44"/>
      <c r="LTX27" s="44"/>
      <c r="LTY27" s="44"/>
      <c r="LTZ27" s="43"/>
      <c r="LUA27" s="44"/>
      <c r="LUB27" s="44"/>
      <c r="LUC27" s="44"/>
      <c r="LUD27" s="44"/>
      <c r="LUE27" s="44"/>
      <c r="LUF27" s="44"/>
      <c r="LUG27" s="44"/>
      <c r="LUH27" s="44"/>
      <c r="LUI27" s="44"/>
      <c r="LUJ27" s="44"/>
      <c r="LUK27" s="44"/>
      <c r="LUL27" s="44"/>
      <c r="LUM27" s="44"/>
      <c r="LUN27" s="44"/>
      <c r="LUO27" s="43"/>
      <c r="LUP27" s="44"/>
      <c r="LUQ27" s="44"/>
      <c r="LUR27" s="44"/>
      <c r="LUS27" s="44"/>
      <c r="LUT27" s="44"/>
      <c r="LUU27" s="44"/>
      <c r="LUV27" s="44"/>
      <c r="LUW27" s="44"/>
      <c r="LUX27" s="44"/>
      <c r="LUY27" s="44"/>
      <c r="LUZ27" s="44"/>
      <c r="LVA27" s="44"/>
      <c r="LVB27" s="44"/>
      <c r="LVC27" s="44"/>
      <c r="LVD27" s="43"/>
      <c r="LVE27" s="44"/>
      <c r="LVF27" s="44"/>
      <c r="LVG27" s="44"/>
      <c r="LVH27" s="44"/>
      <c r="LVI27" s="44"/>
      <c r="LVJ27" s="44"/>
      <c r="LVK27" s="44"/>
      <c r="LVL27" s="44"/>
      <c r="LVM27" s="44"/>
      <c r="LVN27" s="44"/>
      <c r="LVO27" s="44"/>
      <c r="LVP27" s="44"/>
      <c r="LVQ27" s="44"/>
      <c r="LVR27" s="44"/>
      <c r="LVS27" s="43"/>
      <c r="LVT27" s="44"/>
      <c r="LVU27" s="44"/>
      <c r="LVV27" s="44"/>
      <c r="LVW27" s="44"/>
      <c r="LVX27" s="44"/>
      <c r="LVY27" s="44"/>
      <c r="LVZ27" s="44"/>
      <c r="LWA27" s="44"/>
      <c r="LWB27" s="44"/>
      <c r="LWC27" s="44"/>
      <c r="LWD27" s="44"/>
      <c r="LWE27" s="44"/>
      <c r="LWF27" s="44"/>
      <c r="LWG27" s="44"/>
      <c r="LWH27" s="43"/>
      <c r="LWI27" s="44"/>
      <c r="LWJ27" s="44"/>
      <c r="LWK27" s="44"/>
      <c r="LWL27" s="44"/>
      <c r="LWM27" s="44"/>
      <c r="LWN27" s="44"/>
      <c r="LWO27" s="44"/>
      <c r="LWP27" s="44"/>
      <c r="LWQ27" s="44"/>
      <c r="LWR27" s="44"/>
      <c r="LWS27" s="44"/>
      <c r="LWT27" s="44"/>
      <c r="LWU27" s="44"/>
      <c r="LWV27" s="44"/>
      <c r="LWW27" s="43"/>
      <c r="LWX27" s="44"/>
      <c r="LWY27" s="44"/>
      <c r="LWZ27" s="44"/>
      <c r="LXA27" s="44"/>
      <c r="LXB27" s="44"/>
      <c r="LXC27" s="44"/>
      <c r="LXD27" s="44"/>
      <c r="LXE27" s="44"/>
      <c r="LXF27" s="44"/>
      <c r="LXG27" s="44"/>
      <c r="LXH27" s="44"/>
      <c r="LXI27" s="44"/>
      <c r="LXJ27" s="44"/>
      <c r="LXK27" s="44"/>
      <c r="LXL27" s="43"/>
      <c r="LXM27" s="44"/>
      <c r="LXN27" s="44"/>
      <c r="LXO27" s="44"/>
      <c r="LXP27" s="44"/>
      <c r="LXQ27" s="44"/>
      <c r="LXR27" s="44"/>
      <c r="LXS27" s="44"/>
      <c r="LXT27" s="44"/>
      <c r="LXU27" s="44"/>
      <c r="LXV27" s="44"/>
      <c r="LXW27" s="44"/>
      <c r="LXX27" s="44"/>
      <c r="LXY27" s="44"/>
      <c r="LXZ27" s="44"/>
      <c r="LYA27" s="43"/>
      <c r="LYB27" s="44"/>
      <c r="LYC27" s="44"/>
      <c r="LYD27" s="44"/>
      <c r="LYE27" s="44"/>
      <c r="LYF27" s="44"/>
      <c r="LYG27" s="44"/>
      <c r="LYH27" s="44"/>
      <c r="LYI27" s="44"/>
      <c r="LYJ27" s="44"/>
      <c r="LYK27" s="44"/>
      <c r="LYL27" s="44"/>
      <c r="LYM27" s="44"/>
      <c r="LYN27" s="44"/>
      <c r="LYO27" s="44"/>
      <c r="LYP27" s="43"/>
      <c r="LYQ27" s="44"/>
      <c r="LYR27" s="44"/>
      <c r="LYS27" s="44"/>
      <c r="LYT27" s="44"/>
      <c r="LYU27" s="44"/>
      <c r="LYV27" s="44"/>
      <c r="LYW27" s="44"/>
      <c r="LYX27" s="44"/>
      <c r="LYY27" s="44"/>
      <c r="LYZ27" s="44"/>
      <c r="LZA27" s="44"/>
      <c r="LZB27" s="44"/>
      <c r="LZC27" s="44"/>
      <c r="LZD27" s="44"/>
      <c r="LZE27" s="43"/>
      <c r="LZF27" s="44"/>
      <c r="LZG27" s="44"/>
      <c r="LZH27" s="44"/>
      <c r="LZI27" s="44"/>
      <c r="LZJ27" s="44"/>
      <c r="LZK27" s="44"/>
      <c r="LZL27" s="44"/>
      <c r="LZM27" s="44"/>
      <c r="LZN27" s="44"/>
      <c r="LZO27" s="44"/>
      <c r="LZP27" s="44"/>
      <c r="LZQ27" s="44"/>
      <c r="LZR27" s="44"/>
      <c r="LZS27" s="44"/>
      <c r="LZT27" s="43"/>
      <c r="LZU27" s="44"/>
      <c r="LZV27" s="44"/>
      <c r="LZW27" s="44"/>
      <c r="LZX27" s="44"/>
      <c r="LZY27" s="44"/>
      <c r="LZZ27" s="44"/>
      <c r="MAA27" s="44"/>
      <c r="MAB27" s="44"/>
      <c r="MAC27" s="44"/>
      <c r="MAD27" s="44"/>
      <c r="MAE27" s="44"/>
      <c r="MAF27" s="44"/>
      <c r="MAG27" s="44"/>
      <c r="MAH27" s="44"/>
      <c r="MAI27" s="43"/>
      <c r="MAJ27" s="44"/>
      <c r="MAK27" s="44"/>
      <c r="MAL27" s="44"/>
      <c r="MAM27" s="44"/>
      <c r="MAN27" s="44"/>
      <c r="MAO27" s="44"/>
      <c r="MAP27" s="44"/>
      <c r="MAQ27" s="44"/>
      <c r="MAR27" s="44"/>
      <c r="MAS27" s="44"/>
      <c r="MAT27" s="44"/>
      <c r="MAU27" s="44"/>
      <c r="MAV27" s="44"/>
      <c r="MAW27" s="44"/>
      <c r="MAX27" s="43"/>
      <c r="MAY27" s="44"/>
      <c r="MAZ27" s="44"/>
      <c r="MBA27" s="44"/>
      <c r="MBB27" s="44"/>
      <c r="MBC27" s="44"/>
      <c r="MBD27" s="44"/>
      <c r="MBE27" s="44"/>
      <c r="MBF27" s="44"/>
      <c r="MBG27" s="44"/>
      <c r="MBH27" s="44"/>
      <c r="MBI27" s="44"/>
      <c r="MBJ27" s="44"/>
      <c r="MBK27" s="44"/>
      <c r="MBL27" s="44"/>
      <c r="MBM27" s="43"/>
      <c r="MBN27" s="44"/>
      <c r="MBO27" s="44"/>
      <c r="MBP27" s="44"/>
      <c r="MBQ27" s="44"/>
      <c r="MBR27" s="44"/>
      <c r="MBS27" s="44"/>
      <c r="MBT27" s="44"/>
      <c r="MBU27" s="44"/>
      <c r="MBV27" s="44"/>
      <c r="MBW27" s="44"/>
      <c r="MBX27" s="44"/>
      <c r="MBY27" s="44"/>
      <c r="MBZ27" s="44"/>
      <c r="MCA27" s="44"/>
      <c r="MCB27" s="43"/>
      <c r="MCC27" s="44"/>
      <c r="MCD27" s="44"/>
      <c r="MCE27" s="44"/>
      <c r="MCF27" s="44"/>
      <c r="MCG27" s="44"/>
      <c r="MCH27" s="44"/>
      <c r="MCI27" s="44"/>
      <c r="MCJ27" s="44"/>
      <c r="MCK27" s="44"/>
      <c r="MCL27" s="44"/>
      <c r="MCM27" s="44"/>
      <c r="MCN27" s="44"/>
      <c r="MCO27" s="44"/>
      <c r="MCP27" s="44"/>
      <c r="MCQ27" s="43"/>
      <c r="MCR27" s="44"/>
      <c r="MCS27" s="44"/>
      <c r="MCT27" s="44"/>
      <c r="MCU27" s="44"/>
      <c r="MCV27" s="44"/>
      <c r="MCW27" s="44"/>
      <c r="MCX27" s="44"/>
      <c r="MCY27" s="44"/>
      <c r="MCZ27" s="44"/>
      <c r="MDA27" s="44"/>
      <c r="MDB27" s="44"/>
      <c r="MDC27" s="44"/>
      <c r="MDD27" s="44"/>
      <c r="MDE27" s="44"/>
      <c r="MDF27" s="43"/>
      <c r="MDG27" s="44"/>
      <c r="MDH27" s="44"/>
      <c r="MDI27" s="44"/>
      <c r="MDJ27" s="44"/>
      <c r="MDK27" s="44"/>
      <c r="MDL27" s="44"/>
      <c r="MDM27" s="44"/>
      <c r="MDN27" s="44"/>
      <c r="MDO27" s="44"/>
      <c r="MDP27" s="44"/>
      <c r="MDQ27" s="44"/>
      <c r="MDR27" s="44"/>
      <c r="MDS27" s="44"/>
      <c r="MDT27" s="44"/>
      <c r="MDU27" s="43"/>
      <c r="MDV27" s="44"/>
      <c r="MDW27" s="44"/>
      <c r="MDX27" s="44"/>
      <c r="MDY27" s="44"/>
      <c r="MDZ27" s="44"/>
      <c r="MEA27" s="44"/>
      <c r="MEB27" s="44"/>
      <c r="MEC27" s="44"/>
      <c r="MED27" s="44"/>
      <c r="MEE27" s="44"/>
      <c r="MEF27" s="44"/>
      <c r="MEG27" s="44"/>
      <c r="MEH27" s="44"/>
      <c r="MEI27" s="44"/>
      <c r="MEJ27" s="43"/>
      <c r="MEK27" s="44"/>
      <c r="MEL27" s="44"/>
      <c r="MEM27" s="44"/>
      <c r="MEN27" s="44"/>
      <c r="MEO27" s="44"/>
      <c r="MEP27" s="44"/>
      <c r="MEQ27" s="44"/>
      <c r="MER27" s="44"/>
      <c r="MES27" s="44"/>
      <c r="MET27" s="44"/>
      <c r="MEU27" s="44"/>
      <c r="MEV27" s="44"/>
      <c r="MEW27" s="44"/>
      <c r="MEX27" s="44"/>
      <c r="MEY27" s="43"/>
      <c r="MEZ27" s="44"/>
      <c r="MFA27" s="44"/>
      <c r="MFB27" s="44"/>
      <c r="MFC27" s="44"/>
      <c r="MFD27" s="44"/>
      <c r="MFE27" s="44"/>
      <c r="MFF27" s="44"/>
      <c r="MFG27" s="44"/>
      <c r="MFH27" s="44"/>
      <c r="MFI27" s="44"/>
      <c r="MFJ27" s="44"/>
      <c r="MFK27" s="44"/>
      <c r="MFL27" s="44"/>
      <c r="MFM27" s="44"/>
      <c r="MFN27" s="43"/>
      <c r="MFO27" s="44"/>
      <c r="MFP27" s="44"/>
      <c r="MFQ27" s="44"/>
      <c r="MFR27" s="44"/>
      <c r="MFS27" s="44"/>
      <c r="MFT27" s="44"/>
      <c r="MFU27" s="44"/>
      <c r="MFV27" s="44"/>
      <c r="MFW27" s="44"/>
      <c r="MFX27" s="44"/>
      <c r="MFY27" s="44"/>
      <c r="MFZ27" s="44"/>
      <c r="MGA27" s="44"/>
      <c r="MGB27" s="44"/>
      <c r="MGC27" s="43"/>
      <c r="MGD27" s="44"/>
      <c r="MGE27" s="44"/>
      <c r="MGF27" s="44"/>
      <c r="MGG27" s="44"/>
      <c r="MGH27" s="44"/>
      <c r="MGI27" s="44"/>
      <c r="MGJ27" s="44"/>
      <c r="MGK27" s="44"/>
      <c r="MGL27" s="44"/>
      <c r="MGM27" s="44"/>
      <c r="MGN27" s="44"/>
      <c r="MGO27" s="44"/>
      <c r="MGP27" s="44"/>
      <c r="MGQ27" s="44"/>
      <c r="MGR27" s="43"/>
      <c r="MGS27" s="44"/>
      <c r="MGT27" s="44"/>
      <c r="MGU27" s="44"/>
      <c r="MGV27" s="44"/>
      <c r="MGW27" s="44"/>
      <c r="MGX27" s="44"/>
      <c r="MGY27" s="44"/>
      <c r="MGZ27" s="44"/>
      <c r="MHA27" s="44"/>
      <c r="MHB27" s="44"/>
      <c r="MHC27" s="44"/>
      <c r="MHD27" s="44"/>
      <c r="MHE27" s="44"/>
      <c r="MHF27" s="44"/>
      <c r="MHG27" s="43"/>
      <c r="MHH27" s="44"/>
      <c r="MHI27" s="44"/>
      <c r="MHJ27" s="44"/>
      <c r="MHK27" s="44"/>
      <c r="MHL27" s="44"/>
      <c r="MHM27" s="44"/>
      <c r="MHN27" s="44"/>
      <c r="MHO27" s="44"/>
      <c r="MHP27" s="44"/>
      <c r="MHQ27" s="44"/>
      <c r="MHR27" s="44"/>
      <c r="MHS27" s="44"/>
      <c r="MHT27" s="44"/>
      <c r="MHU27" s="44"/>
      <c r="MHV27" s="43"/>
      <c r="MHW27" s="44"/>
      <c r="MHX27" s="44"/>
      <c r="MHY27" s="44"/>
      <c r="MHZ27" s="44"/>
      <c r="MIA27" s="44"/>
      <c r="MIB27" s="44"/>
      <c r="MIC27" s="44"/>
      <c r="MID27" s="44"/>
      <c r="MIE27" s="44"/>
      <c r="MIF27" s="44"/>
      <c r="MIG27" s="44"/>
      <c r="MIH27" s="44"/>
      <c r="MII27" s="44"/>
      <c r="MIJ27" s="44"/>
      <c r="MIK27" s="43"/>
      <c r="MIL27" s="44"/>
      <c r="MIM27" s="44"/>
      <c r="MIN27" s="44"/>
      <c r="MIO27" s="44"/>
      <c r="MIP27" s="44"/>
      <c r="MIQ27" s="44"/>
      <c r="MIR27" s="44"/>
      <c r="MIS27" s="44"/>
      <c r="MIT27" s="44"/>
      <c r="MIU27" s="44"/>
      <c r="MIV27" s="44"/>
      <c r="MIW27" s="44"/>
      <c r="MIX27" s="44"/>
      <c r="MIY27" s="44"/>
      <c r="MIZ27" s="43"/>
      <c r="MJA27" s="44"/>
      <c r="MJB27" s="44"/>
      <c r="MJC27" s="44"/>
      <c r="MJD27" s="44"/>
      <c r="MJE27" s="44"/>
      <c r="MJF27" s="44"/>
      <c r="MJG27" s="44"/>
      <c r="MJH27" s="44"/>
      <c r="MJI27" s="44"/>
      <c r="MJJ27" s="44"/>
      <c r="MJK27" s="44"/>
      <c r="MJL27" s="44"/>
      <c r="MJM27" s="44"/>
      <c r="MJN27" s="44"/>
      <c r="MJO27" s="43"/>
      <c r="MJP27" s="44"/>
      <c r="MJQ27" s="44"/>
      <c r="MJR27" s="44"/>
      <c r="MJS27" s="44"/>
      <c r="MJT27" s="44"/>
      <c r="MJU27" s="44"/>
      <c r="MJV27" s="44"/>
      <c r="MJW27" s="44"/>
      <c r="MJX27" s="44"/>
      <c r="MJY27" s="44"/>
      <c r="MJZ27" s="44"/>
      <c r="MKA27" s="44"/>
      <c r="MKB27" s="44"/>
      <c r="MKC27" s="44"/>
      <c r="MKD27" s="43"/>
      <c r="MKE27" s="44"/>
      <c r="MKF27" s="44"/>
      <c r="MKG27" s="44"/>
      <c r="MKH27" s="44"/>
      <c r="MKI27" s="44"/>
      <c r="MKJ27" s="44"/>
      <c r="MKK27" s="44"/>
      <c r="MKL27" s="44"/>
      <c r="MKM27" s="44"/>
      <c r="MKN27" s="44"/>
      <c r="MKO27" s="44"/>
      <c r="MKP27" s="44"/>
      <c r="MKQ27" s="44"/>
      <c r="MKR27" s="44"/>
      <c r="MKS27" s="43"/>
      <c r="MKT27" s="44"/>
      <c r="MKU27" s="44"/>
      <c r="MKV27" s="44"/>
      <c r="MKW27" s="44"/>
      <c r="MKX27" s="44"/>
      <c r="MKY27" s="44"/>
      <c r="MKZ27" s="44"/>
      <c r="MLA27" s="44"/>
      <c r="MLB27" s="44"/>
      <c r="MLC27" s="44"/>
      <c r="MLD27" s="44"/>
      <c r="MLE27" s="44"/>
      <c r="MLF27" s="44"/>
      <c r="MLG27" s="44"/>
      <c r="MLH27" s="43"/>
      <c r="MLI27" s="44"/>
      <c r="MLJ27" s="44"/>
      <c r="MLK27" s="44"/>
      <c r="MLL27" s="44"/>
      <c r="MLM27" s="44"/>
      <c r="MLN27" s="44"/>
      <c r="MLO27" s="44"/>
      <c r="MLP27" s="44"/>
      <c r="MLQ27" s="44"/>
      <c r="MLR27" s="44"/>
      <c r="MLS27" s="44"/>
      <c r="MLT27" s="44"/>
      <c r="MLU27" s="44"/>
      <c r="MLV27" s="44"/>
      <c r="MLW27" s="43"/>
      <c r="MLX27" s="44"/>
      <c r="MLY27" s="44"/>
      <c r="MLZ27" s="44"/>
      <c r="MMA27" s="44"/>
      <c r="MMB27" s="44"/>
      <c r="MMC27" s="44"/>
      <c r="MMD27" s="44"/>
      <c r="MME27" s="44"/>
      <c r="MMF27" s="44"/>
      <c r="MMG27" s="44"/>
      <c r="MMH27" s="44"/>
      <c r="MMI27" s="44"/>
      <c r="MMJ27" s="44"/>
      <c r="MMK27" s="44"/>
      <c r="MML27" s="43"/>
      <c r="MMM27" s="44"/>
      <c r="MMN27" s="44"/>
      <c r="MMO27" s="44"/>
      <c r="MMP27" s="44"/>
      <c r="MMQ27" s="44"/>
      <c r="MMR27" s="44"/>
      <c r="MMS27" s="44"/>
      <c r="MMT27" s="44"/>
      <c r="MMU27" s="44"/>
      <c r="MMV27" s="44"/>
      <c r="MMW27" s="44"/>
      <c r="MMX27" s="44"/>
      <c r="MMY27" s="44"/>
      <c r="MMZ27" s="44"/>
      <c r="MNA27" s="43"/>
      <c r="MNB27" s="44"/>
      <c r="MNC27" s="44"/>
      <c r="MND27" s="44"/>
      <c r="MNE27" s="44"/>
      <c r="MNF27" s="44"/>
      <c r="MNG27" s="44"/>
      <c r="MNH27" s="44"/>
      <c r="MNI27" s="44"/>
      <c r="MNJ27" s="44"/>
      <c r="MNK27" s="44"/>
      <c r="MNL27" s="44"/>
      <c r="MNM27" s="44"/>
      <c r="MNN27" s="44"/>
      <c r="MNO27" s="44"/>
      <c r="MNP27" s="43"/>
      <c r="MNQ27" s="44"/>
      <c r="MNR27" s="44"/>
      <c r="MNS27" s="44"/>
      <c r="MNT27" s="44"/>
      <c r="MNU27" s="44"/>
      <c r="MNV27" s="44"/>
      <c r="MNW27" s="44"/>
      <c r="MNX27" s="44"/>
      <c r="MNY27" s="44"/>
      <c r="MNZ27" s="44"/>
      <c r="MOA27" s="44"/>
      <c r="MOB27" s="44"/>
      <c r="MOC27" s="44"/>
      <c r="MOD27" s="44"/>
      <c r="MOE27" s="43"/>
      <c r="MOF27" s="44"/>
      <c r="MOG27" s="44"/>
      <c r="MOH27" s="44"/>
      <c r="MOI27" s="44"/>
      <c r="MOJ27" s="44"/>
      <c r="MOK27" s="44"/>
      <c r="MOL27" s="44"/>
      <c r="MOM27" s="44"/>
      <c r="MON27" s="44"/>
      <c r="MOO27" s="44"/>
      <c r="MOP27" s="44"/>
      <c r="MOQ27" s="44"/>
      <c r="MOR27" s="44"/>
      <c r="MOS27" s="44"/>
      <c r="MOT27" s="43"/>
      <c r="MOU27" s="44"/>
      <c r="MOV27" s="44"/>
      <c r="MOW27" s="44"/>
      <c r="MOX27" s="44"/>
      <c r="MOY27" s="44"/>
      <c r="MOZ27" s="44"/>
      <c r="MPA27" s="44"/>
      <c r="MPB27" s="44"/>
      <c r="MPC27" s="44"/>
      <c r="MPD27" s="44"/>
      <c r="MPE27" s="44"/>
      <c r="MPF27" s="44"/>
      <c r="MPG27" s="44"/>
      <c r="MPH27" s="44"/>
      <c r="MPI27" s="43"/>
      <c r="MPJ27" s="44"/>
      <c r="MPK27" s="44"/>
      <c r="MPL27" s="44"/>
      <c r="MPM27" s="44"/>
      <c r="MPN27" s="44"/>
      <c r="MPO27" s="44"/>
      <c r="MPP27" s="44"/>
      <c r="MPQ27" s="44"/>
      <c r="MPR27" s="44"/>
      <c r="MPS27" s="44"/>
      <c r="MPT27" s="44"/>
      <c r="MPU27" s="44"/>
      <c r="MPV27" s="44"/>
      <c r="MPW27" s="44"/>
      <c r="MPX27" s="43"/>
      <c r="MPY27" s="44"/>
      <c r="MPZ27" s="44"/>
      <c r="MQA27" s="44"/>
      <c r="MQB27" s="44"/>
      <c r="MQC27" s="44"/>
      <c r="MQD27" s="44"/>
      <c r="MQE27" s="44"/>
      <c r="MQF27" s="44"/>
      <c r="MQG27" s="44"/>
      <c r="MQH27" s="44"/>
      <c r="MQI27" s="44"/>
      <c r="MQJ27" s="44"/>
      <c r="MQK27" s="44"/>
      <c r="MQL27" s="44"/>
      <c r="MQM27" s="43"/>
      <c r="MQN27" s="44"/>
      <c r="MQO27" s="44"/>
      <c r="MQP27" s="44"/>
      <c r="MQQ27" s="44"/>
      <c r="MQR27" s="44"/>
      <c r="MQS27" s="44"/>
      <c r="MQT27" s="44"/>
      <c r="MQU27" s="44"/>
      <c r="MQV27" s="44"/>
      <c r="MQW27" s="44"/>
      <c r="MQX27" s="44"/>
      <c r="MQY27" s="44"/>
      <c r="MQZ27" s="44"/>
      <c r="MRA27" s="44"/>
      <c r="MRB27" s="43"/>
      <c r="MRC27" s="44"/>
      <c r="MRD27" s="44"/>
      <c r="MRE27" s="44"/>
      <c r="MRF27" s="44"/>
      <c r="MRG27" s="44"/>
      <c r="MRH27" s="44"/>
      <c r="MRI27" s="44"/>
      <c r="MRJ27" s="44"/>
      <c r="MRK27" s="44"/>
      <c r="MRL27" s="44"/>
      <c r="MRM27" s="44"/>
      <c r="MRN27" s="44"/>
      <c r="MRO27" s="44"/>
      <c r="MRP27" s="44"/>
      <c r="MRQ27" s="43"/>
      <c r="MRR27" s="44"/>
      <c r="MRS27" s="44"/>
      <c r="MRT27" s="44"/>
      <c r="MRU27" s="44"/>
      <c r="MRV27" s="44"/>
      <c r="MRW27" s="44"/>
      <c r="MRX27" s="44"/>
      <c r="MRY27" s="44"/>
      <c r="MRZ27" s="44"/>
      <c r="MSA27" s="44"/>
      <c r="MSB27" s="44"/>
      <c r="MSC27" s="44"/>
      <c r="MSD27" s="44"/>
      <c r="MSE27" s="44"/>
      <c r="MSF27" s="43"/>
      <c r="MSG27" s="44"/>
      <c r="MSH27" s="44"/>
      <c r="MSI27" s="44"/>
      <c r="MSJ27" s="44"/>
      <c r="MSK27" s="44"/>
      <c r="MSL27" s="44"/>
      <c r="MSM27" s="44"/>
      <c r="MSN27" s="44"/>
      <c r="MSO27" s="44"/>
      <c r="MSP27" s="44"/>
      <c r="MSQ27" s="44"/>
      <c r="MSR27" s="44"/>
      <c r="MSS27" s="44"/>
      <c r="MST27" s="44"/>
      <c r="MSU27" s="43"/>
      <c r="MSV27" s="44"/>
      <c r="MSW27" s="44"/>
      <c r="MSX27" s="44"/>
      <c r="MSY27" s="44"/>
      <c r="MSZ27" s="44"/>
      <c r="MTA27" s="44"/>
      <c r="MTB27" s="44"/>
      <c r="MTC27" s="44"/>
      <c r="MTD27" s="44"/>
      <c r="MTE27" s="44"/>
      <c r="MTF27" s="44"/>
      <c r="MTG27" s="44"/>
      <c r="MTH27" s="44"/>
      <c r="MTI27" s="44"/>
      <c r="MTJ27" s="43"/>
      <c r="MTK27" s="44"/>
      <c r="MTL27" s="44"/>
      <c r="MTM27" s="44"/>
      <c r="MTN27" s="44"/>
      <c r="MTO27" s="44"/>
      <c r="MTP27" s="44"/>
      <c r="MTQ27" s="44"/>
      <c r="MTR27" s="44"/>
      <c r="MTS27" s="44"/>
      <c r="MTT27" s="44"/>
      <c r="MTU27" s="44"/>
      <c r="MTV27" s="44"/>
      <c r="MTW27" s="44"/>
      <c r="MTX27" s="44"/>
      <c r="MTY27" s="43"/>
      <c r="MTZ27" s="44"/>
      <c r="MUA27" s="44"/>
      <c r="MUB27" s="44"/>
      <c r="MUC27" s="44"/>
      <c r="MUD27" s="44"/>
      <c r="MUE27" s="44"/>
      <c r="MUF27" s="44"/>
      <c r="MUG27" s="44"/>
      <c r="MUH27" s="44"/>
      <c r="MUI27" s="44"/>
      <c r="MUJ27" s="44"/>
      <c r="MUK27" s="44"/>
      <c r="MUL27" s="44"/>
      <c r="MUM27" s="44"/>
      <c r="MUN27" s="43"/>
      <c r="MUO27" s="44"/>
      <c r="MUP27" s="44"/>
      <c r="MUQ27" s="44"/>
      <c r="MUR27" s="44"/>
      <c r="MUS27" s="44"/>
      <c r="MUT27" s="44"/>
      <c r="MUU27" s="44"/>
      <c r="MUV27" s="44"/>
      <c r="MUW27" s="44"/>
      <c r="MUX27" s="44"/>
      <c r="MUY27" s="44"/>
      <c r="MUZ27" s="44"/>
      <c r="MVA27" s="44"/>
      <c r="MVB27" s="44"/>
      <c r="MVC27" s="43"/>
      <c r="MVD27" s="44"/>
      <c r="MVE27" s="44"/>
      <c r="MVF27" s="44"/>
      <c r="MVG27" s="44"/>
      <c r="MVH27" s="44"/>
      <c r="MVI27" s="44"/>
      <c r="MVJ27" s="44"/>
      <c r="MVK27" s="44"/>
      <c r="MVL27" s="44"/>
      <c r="MVM27" s="44"/>
      <c r="MVN27" s="44"/>
      <c r="MVO27" s="44"/>
      <c r="MVP27" s="44"/>
      <c r="MVQ27" s="44"/>
      <c r="MVR27" s="43"/>
      <c r="MVS27" s="44"/>
      <c r="MVT27" s="44"/>
      <c r="MVU27" s="44"/>
      <c r="MVV27" s="44"/>
      <c r="MVW27" s="44"/>
      <c r="MVX27" s="44"/>
      <c r="MVY27" s="44"/>
      <c r="MVZ27" s="44"/>
      <c r="MWA27" s="44"/>
      <c r="MWB27" s="44"/>
      <c r="MWC27" s="44"/>
      <c r="MWD27" s="44"/>
      <c r="MWE27" s="44"/>
      <c r="MWF27" s="44"/>
      <c r="MWG27" s="43"/>
      <c r="MWH27" s="44"/>
      <c r="MWI27" s="44"/>
      <c r="MWJ27" s="44"/>
      <c r="MWK27" s="44"/>
      <c r="MWL27" s="44"/>
      <c r="MWM27" s="44"/>
      <c r="MWN27" s="44"/>
      <c r="MWO27" s="44"/>
      <c r="MWP27" s="44"/>
      <c r="MWQ27" s="44"/>
      <c r="MWR27" s="44"/>
      <c r="MWS27" s="44"/>
      <c r="MWT27" s="44"/>
      <c r="MWU27" s="44"/>
      <c r="MWV27" s="43"/>
      <c r="MWW27" s="44"/>
      <c r="MWX27" s="44"/>
      <c r="MWY27" s="44"/>
      <c r="MWZ27" s="44"/>
      <c r="MXA27" s="44"/>
      <c r="MXB27" s="44"/>
      <c r="MXC27" s="44"/>
      <c r="MXD27" s="44"/>
      <c r="MXE27" s="44"/>
      <c r="MXF27" s="44"/>
      <c r="MXG27" s="44"/>
      <c r="MXH27" s="44"/>
      <c r="MXI27" s="44"/>
      <c r="MXJ27" s="44"/>
      <c r="MXK27" s="43"/>
      <c r="MXL27" s="44"/>
      <c r="MXM27" s="44"/>
      <c r="MXN27" s="44"/>
      <c r="MXO27" s="44"/>
      <c r="MXP27" s="44"/>
      <c r="MXQ27" s="44"/>
      <c r="MXR27" s="44"/>
      <c r="MXS27" s="44"/>
      <c r="MXT27" s="44"/>
      <c r="MXU27" s="44"/>
      <c r="MXV27" s="44"/>
      <c r="MXW27" s="44"/>
      <c r="MXX27" s="44"/>
      <c r="MXY27" s="44"/>
      <c r="MXZ27" s="43"/>
      <c r="MYA27" s="44"/>
      <c r="MYB27" s="44"/>
      <c r="MYC27" s="44"/>
      <c r="MYD27" s="44"/>
      <c r="MYE27" s="44"/>
      <c r="MYF27" s="44"/>
      <c r="MYG27" s="44"/>
      <c r="MYH27" s="44"/>
      <c r="MYI27" s="44"/>
      <c r="MYJ27" s="44"/>
      <c r="MYK27" s="44"/>
      <c r="MYL27" s="44"/>
      <c r="MYM27" s="44"/>
      <c r="MYN27" s="44"/>
      <c r="MYO27" s="43"/>
      <c r="MYP27" s="44"/>
      <c r="MYQ27" s="44"/>
      <c r="MYR27" s="44"/>
      <c r="MYS27" s="44"/>
      <c r="MYT27" s="44"/>
      <c r="MYU27" s="44"/>
      <c r="MYV27" s="44"/>
      <c r="MYW27" s="44"/>
      <c r="MYX27" s="44"/>
      <c r="MYY27" s="44"/>
      <c r="MYZ27" s="44"/>
      <c r="MZA27" s="44"/>
      <c r="MZB27" s="44"/>
      <c r="MZC27" s="44"/>
      <c r="MZD27" s="43"/>
      <c r="MZE27" s="44"/>
      <c r="MZF27" s="44"/>
      <c r="MZG27" s="44"/>
      <c r="MZH27" s="44"/>
      <c r="MZI27" s="44"/>
      <c r="MZJ27" s="44"/>
      <c r="MZK27" s="44"/>
      <c r="MZL27" s="44"/>
      <c r="MZM27" s="44"/>
      <c r="MZN27" s="44"/>
      <c r="MZO27" s="44"/>
      <c r="MZP27" s="44"/>
      <c r="MZQ27" s="44"/>
      <c r="MZR27" s="44"/>
      <c r="MZS27" s="43"/>
      <c r="MZT27" s="44"/>
      <c r="MZU27" s="44"/>
      <c r="MZV27" s="44"/>
      <c r="MZW27" s="44"/>
      <c r="MZX27" s="44"/>
      <c r="MZY27" s="44"/>
      <c r="MZZ27" s="44"/>
      <c r="NAA27" s="44"/>
      <c r="NAB27" s="44"/>
      <c r="NAC27" s="44"/>
      <c r="NAD27" s="44"/>
      <c r="NAE27" s="44"/>
      <c r="NAF27" s="44"/>
      <c r="NAG27" s="44"/>
      <c r="NAH27" s="43"/>
      <c r="NAI27" s="44"/>
      <c r="NAJ27" s="44"/>
      <c r="NAK27" s="44"/>
      <c r="NAL27" s="44"/>
      <c r="NAM27" s="44"/>
      <c r="NAN27" s="44"/>
      <c r="NAO27" s="44"/>
      <c r="NAP27" s="44"/>
      <c r="NAQ27" s="44"/>
      <c r="NAR27" s="44"/>
      <c r="NAS27" s="44"/>
      <c r="NAT27" s="44"/>
      <c r="NAU27" s="44"/>
      <c r="NAV27" s="44"/>
      <c r="NAW27" s="43"/>
      <c r="NAX27" s="44"/>
      <c r="NAY27" s="44"/>
      <c r="NAZ27" s="44"/>
      <c r="NBA27" s="44"/>
      <c r="NBB27" s="44"/>
      <c r="NBC27" s="44"/>
      <c r="NBD27" s="44"/>
      <c r="NBE27" s="44"/>
      <c r="NBF27" s="44"/>
      <c r="NBG27" s="44"/>
      <c r="NBH27" s="44"/>
      <c r="NBI27" s="44"/>
      <c r="NBJ27" s="44"/>
      <c r="NBK27" s="44"/>
      <c r="NBL27" s="43"/>
      <c r="NBM27" s="44"/>
      <c r="NBN27" s="44"/>
      <c r="NBO27" s="44"/>
      <c r="NBP27" s="44"/>
      <c r="NBQ27" s="44"/>
      <c r="NBR27" s="44"/>
      <c r="NBS27" s="44"/>
      <c r="NBT27" s="44"/>
      <c r="NBU27" s="44"/>
      <c r="NBV27" s="44"/>
      <c r="NBW27" s="44"/>
      <c r="NBX27" s="44"/>
      <c r="NBY27" s="44"/>
      <c r="NBZ27" s="44"/>
      <c r="NCA27" s="43"/>
      <c r="NCB27" s="44"/>
      <c r="NCC27" s="44"/>
      <c r="NCD27" s="44"/>
      <c r="NCE27" s="44"/>
      <c r="NCF27" s="44"/>
      <c r="NCG27" s="44"/>
      <c r="NCH27" s="44"/>
      <c r="NCI27" s="44"/>
      <c r="NCJ27" s="44"/>
      <c r="NCK27" s="44"/>
      <c r="NCL27" s="44"/>
      <c r="NCM27" s="44"/>
      <c r="NCN27" s="44"/>
      <c r="NCO27" s="44"/>
      <c r="NCP27" s="43"/>
      <c r="NCQ27" s="44"/>
      <c r="NCR27" s="44"/>
      <c r="NCS27" s="44"/>
      <c r="NCT27" s="44"/>
      <c r="NCU27" s="44"/>
      <c r="NCV27" s="44"/>
      <c r="NCW27" s="44"/>
      <c r="NCX27" s="44"/>
      <c r="NCY27" s="44"/>
      <c r="NCZ27" s="44"/>
      <c r="NDA27" s="44"/>
      <c r="NDB27" s="44"/>
      <c r="NDC27" s="44"/>
      <c r="NDD27" s="44"/>
      <c r="NDE27" s="43"/>
      <c r="NDF27" s="44"/>
      <c r="NDG27" s="44"/>
      <c r="NDH27" s="44"/>
      <c r="NDI27" s="44"/>
      <c r="NDJ27" s="44"/>
      <c r="NDK27" s="44"/>
      <c r="NDL27" s="44"/>
      <c r="NDM27" s="44"/>
      <c r="NDN27" s="44"/>
      <c r="NDO27" s="44"/>
      <c r="NDP27" s="44"/>
      <c r="NDQ27" s="44"/>
      <c r="NDR27" s="44"/>
      <c r="NDS27" s="44"/>
      <c r="NDT27" s="43"/>
      <c r="NDU27" s="44"/>
      <c r="NDV27" s="44"/>
      <c r="NDW27" s="44"/>
      <c r="NDX27" s="44"/>
      <c r="NDY27" s="44"/>
      <c r="NDZ27" s="44"/>
      <c r="NEA27" s="44"/>
      <c r="NEB27" s="44"/>
      <c r="NEC27" s="44"/>
      <c r="NED27" s="44"/>
      <c r="NEE27" s="44"/>
      <c r="NEF27" s="44"/>
      <c r="NEG27" s="44"/>
      <c r="NEH27" s="44"/>
      <c r="NEI27" s="43"/>
      <c r="NEJ27" s="44"/>
      <c r="NEK27" s="44"/>
      <c r="NEL27" s="44"/>
      <c r="NEM27" s="44"/>
      <c r="NEN27" s="44"/>
      <c r="NEO27" s="44"/>
      <c r="NEP27" s="44"/>
      <c r="NEQ27" s="44"/>
      <c r="NER27" s="44"/>
      <c r="NES27" s="44"/>
      <c r="NET27" s="44"/>
      <c r="NEU27" s="44"/>
      <c r="NEV27" s="44"/>
      <c r="NEW27" s="44"/>
      <c r="NEX27" s="43"/>
      <c r="NEY27" s="44"/>
      <c r="NEZ27" s="44"/>
      <c r="NFA27" s="44"/>
      <c r="NFB27" s="44"/>
      <c r="NFC27" s="44"/>
      <c r="NFD27" s="44"/>
      <c r="NFE27" s="44"/>
      <c r="NFF27" s="44"/>
      <c r="NFG27" s="44"/>
      <c r="NFH27" s="44"/>
      <c r="NFI27" s="44"/>
      <c r="NFJ27" s="44"/>
      <c r="NFK27" s="44"/>
      <c r="NFL27" s="44"/>
      <c r="NFM27" s="43"/>
      <c r="NFN27" s="44"/>
      <c r="NFO27" s="44"/>
      <c r="NFP27" s="44"/>
      <c r="NFQ27" s="44"/>
      <c r="NFR27" s="44"/>
      <c r="NFS27" s="44"/>
      <c r="NFT27" s="44"/>
      <c r="NFU27" s="44"/>
      <c r="NFV27" s="44"/>
      <c r="NFW27" s="44"/>
      <c r="NFX27" s="44"/>
      <c r="NFY27" s="44"/>
      <c r="NFZ27" s="44"/>
      <c r="NGA27" s="44"/>
      <c r="NGB27" s="43"/>
      <c r="NGC27" s="44"/>
      <c r="NGD27" s="44"/>
      <c r="NGE27" s="44"/>
      <c r="NGF27" s="44"/>
      <c r="NGG27" s="44"/>
      <c r="NGH27" s="44"/>
      <c r="NGI27" s="44"/>
      <c r="NGJ27" s="44"/>
      <c r="NGK27" s="44"/>
      <c r="NGL27" s="44"/>
      <c r="NGM27" s="44"/>
      <c r="NGN27" s="44"/>
      <c r="NGO27" s="44"/>
      <c r="NGP27" s="44"/>
      <c r="NGQ27" s="43"/>
      <c r="NGR27" s="44"/>
      <c r="NGS27" s="44"/>
      <c r="NGT27" s="44"/>
      <c r="NGU27" s="44"/>
      <c r="NGV27" s="44"/>
      <c r="NGW27" s="44"/>
      <c r="NGX27" s="44"/>
      <c r="NGY27" s="44"/>
      <c r="NGZ27" s="44"/>
      <c r="NHA27" s="44"/>
      <c r="NHB27" s="44"/>
      <c r="NHC27" s="44"/>
      <c r="NHD27" s="44"/>
      <c r="NHE27" s="44"/>
      <c r="NHF27" s="43"/>
      <c r="NHG27" s="44"/>
      <c r="NHH27" s="44"/>
      <c r="NHI27" s="44"/>
      <c r="NHJ27" s="44"/>
      <c r="NHK27" s="44"/>
      <c r="NHL27" s="44"/>
      <c r="NHM27" s="44"/>
      <c r="NHN27" s="44"/>
      <c r="NHO27" s="44"/>
      <c r="NHP27" s="44"/>
      <c r="NHQ27" s="44"/>
      <c r="NHR27" s="44"/>
      <c r="NHS27" s="44"/>
      <c r="NHT27" s="44"/>
      <c r="NHU27" s="43"/>
      <c r="NHV27" s="44"/>
      <c r="NHW27" s="44"/>
      <c r="NHX27" s="44"/>
      <c r="NHY27" s="44"/>
      <c r="NHZ27" s="44"/>
      <c r="NIA27" s="44"/>
      <c r="NIB27" s="44"/>
      <c r="NIC27" s="44"/>
      <c r="NID27" s="44"/>
      <c r="NIE27" s="44"/>
      <c r="NIF27" s="44"/>
      <c r="NIG27" s="44"/>
      <c r="NIH27" s="44"/>
      <c r="NII27" s="44"/>
      <c r="NIJ27" s="43"/>
      <c r="NIK27" s="44"/>
      <c r="NIL27" s="44"/>
      <c r="NIM27" s="44"/>
      <c r="NIN27" s="44"/>
      <c r="NIO27" s="44"/>
      <c r="NIP27" s="44"/>
      <c r="NIQ27" s="44"/>
      <c r="NIR27" s="44"/>
      <c r="NIS27" s="44"/>
      <c r="NIT27" s="44"/>
      <c r="NIU27" s="44"/>
      <c r="NIV27" s="44"/>
      <c r="NIW27" s="44"/>
      <c r="NIX27" s="44"/>
      <c r="NIY27" s="43"/>
      <c r="NIZ27" s="44"/>
      <c r="NJA27" s="44"/>
      <c r="NJB27" s="44"/>
      <c r="NJC27" s="44"/>
      <c r="NJD27" s="44"/>
      <c r="NJE27" s="44"/>
      <c r="NJF27" s="44"/>
      <c r="NJG27" s="44"/>
      <c r="NJH27" s="44"/>
      <c r="NJI27" s="44"/>
      <c r="NJJ27" s="44"/>
      <c r="NJK27" s="44"/>
      <c r="NJL27" s="44"/>
      <c r="NJM27" s="44"/>
      <c r="NJN27" s="43"/>
      <c r="NJO27" s="44"/>
      <c r="NJP27" s="44"/>
      <c r="NJQ27" s="44"/>
      <c r="NJR27" s="44"/>
      <c r="NJS27" s="44"/>
      <c r="NJT27" s="44"/>
      <c r="NJU27" s="44"/>
      <c r="NJV27" s="44"/>
      <c r="NJW27" s="44"/>
      <c r="NJX27" s="44"/>
      <c r="NJY27" s="44"/>
      <c r="NJZ27" s="44"/>
      <c r="NKA27" s="44"/>
      <c r="NKB27" s="44"/>
      <c r="NKC27" s="43"/>
      <c r="NKD27" s="44"/>
      <c r="NKE27" s="44"/>
      <c r="NKF27" s="44"/>
      <c r="NKG27" s="44"/>
      <c r="NKH27" s="44"/>
      <c r="NKI27" s="44"/>
      <c r="NKJ27" s="44"/>
      <c r="NKK27" s="44"/>
      <c r="NKL27" s="44"/>
      <c r="NKM27" s="44"/>
      <c r="NKN27" s="44"/>
      <c r="NKO27" s="44"/>
      <c r="NKP27" s="44"/>
      <c r="NKQ27" s="44"/>
      <c r="NKR27" s="43"/>
      <c r="NKS27" s="44"/>
      <c r="NKT27" s="44"/>
      <c r="NKU27" s="44"/>
      <c r="NKV27" s="44"/>
      <c r="NKW27" s="44"/>
      <c r="NKX27" s="44"/>
      <c r="NKY27" s="44"/>
      <c r="NKZ27" s="44"/>
      <c r="NLA27" s="44"/>
      <c r="NLB27" s="44"/>
      <c r="NLC27" s="44"/>
      <c r="NLD27" s="44"/>
      <c r="NLE27" s="44"/>
      <c r="NLF27" s="44"/>
      <c r="NLG27" s="43"/>
      <c r="NLH27" s="44"/>
      <c r="NLI27" s="44"/>
      <c r="NLJ27" s="44"/>
      <c r="NLK27" s="44"/>
      <c r="NLL27" s="44"/>
      <c r="NLM27" s="44"/>
      <c r="NLN27" s="44"/>
      <c r="NLO27" s="44"/>
      <c r="NLP27" s="44"/>
      <c r="NLQ27" s="44"/>
      <c r="NLR27" s="44"/>
      <c r="NLS27" s="44"/>
      <c r="NLT27" s="44"/>
      <c r="NLU27" s="44"/>
      <c r="NLV27" s="43"/>
      <c r="NLW27" s="44"/>
      <c r="NLX27" s="44"/>
      <c r="NLY27" s="44"/>
      <c r="NLZ27" s="44"/>
      <c r="NMA27" s="44"/>
      <c r="NMB27" s="44"/>
      <c r="NMC27" s="44"/>
      <c r="NMD27" s="44"/>
      <c r="NME27" s="44"/>
      <c r="NMF27" s="44"/>
      <c r="NMG27" s="44"/>
      <c r="NMH27" s="44"/>
      <c r="NMI27" s="44"/>
      <c r="NMJ27" s="44"/>
      <c r="NMK27" s="43"/>
      <c r="NML27" s="44"/>
      <c r="NMM27" s="44"/>
      <c r="NMN27" s="44"/>
      <c r="NMO27" s="44"/>
      <c r="NMP27" s="44"/>
      <c r="NMQ27" s="44"/>
      <c r="NMR27" s="44"/>
      <c r="NMS27" s="44"/>
      <c r="NMT27" s="44"/>
      <c r="NMU27" s="44"/>
      <c r="NMV27" s="44"/>
      <c r="NMW27" s="44"/>
      <c r="NMX27" s="44"/>
      <c r="NMY27" s="44"/>
      <c r="NMZ27" s="43"/>
      <c r="NNA27" s="44"/>
      <c r="NNB27" s="44"/>
      <c r="NNC27" s="44"/>
      <c r="NND27" s="44"/>
      <c r="NNE27" s="44"/>
      <c r="NNF27" s="44"/>
      <c r="NNG27" s="44"/>
      <c r="NNH27" s="44"/>
      <c r="NNI27" s="44"/>
      <c r="NNJ27" s="44"/>
      <c r="NNK27" s="44"/>
      <c r="NNL27" s="44"/>
      <c r="NNM27" s="44"/>
      <c r="NNN27" s="44"/>
      <c r="NNO27" s="43"/>
      <c r="NNP27" s="44"/>
      <c r="NNQ27" s="44"/>
      <c r="NNR27" s="44"/>
      <c r="NNS27" s="44"/>
      <c r="NNT27" s="44"/>
      <c r="NNU27" s="44"/>
      <c r="NNV27" s="44"/>
      <c r="NNW27" s="44"/>
      <c r="NNX27" s="44"/>
      <c r="NNY27" s="44"/>
      <c r="NNZ27" s="44"/>
      <c r="NOA27" s="44"/>
      <c r="NOB27" s="44"/>
      <c r="NOC27" s="44"/>
      <c r="NOD27" s="43"/>
      <c r="NOE27" s="44"/>
      <c r="NOF27" s="44"/>
      <c r="NOG27" s="44"/>
      <c r="NOH27" s="44"/>
      <c r="NOI27" s="44"/>
      <c r="NOJ27" s="44"/>
      <c r="NOK27" s="44"/>
      <c r="NOL27" s="44"/>
      <c r="NOM27" s="44"/>
      <c r="NON27" s="44"/>
      <c r="NOO27" s="44"/>
      <c r="NOP27" s="44"/>
      <c r="NOQ27" s="44"/>
      <c r="NOR27" s="44"/>
      <c r="NOS27" s="43"/>
      <c r="NOT27" s="44"/>
      <c r="NOU27" s="44"/>
      <c r="NOV27" s="44"/>
      <c r="NOW27" s="44"/>
      <c r="NOX27" s="44"/>
      <c r="NOY27" s="44"/>
      <c r="NOZ27" s="44"/>
      <c r="NPA27" s="44"/>
      <c r="NPB27" s="44"/>
      <c r="NPC27" s="44"/>
      <c r="NPD27" s="44"/>
      <c r="NPE27" s="44"/>
      <c r="NPF27" s="44"/>
      <c r="NPG27" s="44"/>
      <c r="NPH27" s="43"/>
      <c r="NPI27" s="44"/>
      <c r="NPJ27" s="44"/>
      <c r="NPK27" s="44"/>
      <c r="NPL27" s="44"/>
      <c r="NPM27" s="44"/>
      <c r="NPN27" s="44"/>
      <c r="NPO27" s="44"/>
      <c r="NPP27" s="44"/>
      <c r="NPQ27" s="44"/>
      <c r="NPR27" s="44"/>
      <c r="NPS27" s="44"/>
      <c r="NPT27" s="44"/>
      <c r="NPU27" s="44"/>
      <c r="NPV27" s="44"/>
      <c r="NPW27" s="43"/>
      <c r="NPX27" s="44"/>
      <c r="NPY27" s="44"/>
      <c r="NPZ27" s="44"/>
      <c r="NQA27" s="44"/>
      <c r="NQB27" s="44"/>
      <c r="NQC27" s="44"/>
      <c r="NQD27" s="44"/>
      <c r="NQE27" s="44"/>
      <c r="NQF27" s="44"/>
      <c r="NQG27" s="44"/>
      <c r="NQH27" s="44"/>
      <c r="NQI27" s="44"/>
      <c r="NQJ27" s="44"/>
      <c r="NQK27" s="44"/>
      <c r="NQL27" s="43"/>
      <c r="NQM27" s="44"/>
      <c r="NQN27" s="44"/>
      <c r="NQO27" s="44"/>
      <c r="NQP27" s="44"/>
      <c r="NQQ27" s="44"/>
      <c r="NQR27" s="44"/>
      <c r="NQS27" s="44"/>
      <c r="NQT27" s="44"/>
      <c r="NQU27" s="44"/>
      <c r="NQV27" s="44"/>
      <c r="NQW27" s="44"/>
      <c r="NQX27" s="44"/>
      <c r="NQY27" s="44"/>
      <c r="NQZ27" s="44"/>
      <c r="NRA27" s="43"/>
      <c r="NRB27" s="44"/>
      <c r="NRC27" s="44"/>
      <c r="NRD27" s="44"/>
      <c r="NRE27" s="44"/>
      <c r="NRF27" s="44"/>
      <c r="NRG27" s="44"/>
      <c r="NRH27" s="44"/>
      <c r="NRI27" s="44"/>
      <c r="NRJ27" s="44"/>
      <c r="NRK27" s="44"/>
      <c r="NRL27" s="44"/>
      <c r="NRM27" s="44"/>
      <c r="NRN27" s="44"/>
      <c r="NRO27" s="44"/>
      <c r="NRP27" s="43"/>
      <c r="NRQ27" s="44"/>
      <c r="NRR27" s="44"/>
      <c r="NRS27" s="44"/>
      <c r="NRT27" s="44"/>
      <c r="NRU27" s="44"/>
      <c r="NRV27" s="44"/>
      <c r="NRW27" s="44"/>
      <c r="NRX27" s="44"/>
      <c r="NRY27" s="44"/>
      <c r="NRZ27" s="44"/>
      <c r="NSA27" s="44"/>
      <c r="NSB27" s="44"/>
      <c r="NSC27" s="44"/>
      <c r="NSD27" s="44"/>
      <c r="NSE27" s="43"/>
      <c r="NSF27" s="44"/>
      <c r="NSG27" s="44"/>
      <c r="NSH27" s="44"/>
      <c r="NSI27" s="44"/>
      <c r="NSJ27" s="44"/>
      <c r="NSK27" s="44"/>
      <c r="NSL27" s="44"/>
      <c r="NSM27" s="44"/>
      <c r="NSN27" s="44"/>
      <c r="NSO27" s="44"/>
      <c r="NSP27" s="44"/>
      <c r="NSQ27" s="44"/>
      <c r="NSR27" s="44"/>
      <c r="NSS27" s="44"/>
      <c r="NST27" s="43"/>
      <c r="NSU27" s="44"/>
      <c r="NSV27" s="44"/>
      <c r="NSW27" s="44"/>
      <c r="NSX27" s="44"/>
      <c r="NSY27" s="44"/>
      <c r="NSZ27" s="44"/>
      <c r="NTA27" s="44"/>
      <c r="NTB27" s="44"/>
      <c r="NTC27" s="44"/>
      <c r="NTD27" s="44"/>
      <c r="NTE27" s="44"/>
      <c r="NTF27" s="44"/>
      <c r="NTG27" s="44"/>
      <c r="NTH27" s="44"/>
      <c r="NTI27" s="43"/>
      <c r="NTJ27" s="44"/>
      <c r="NTK27" s="44"/>
      <c r="NTL27" s="44"/>
      <c r="NTM27" s="44"/>
      <c r="NTN27" s="44"/>
      <c r="NTO27" s="44"/>
      <c r="NTP27" s="44"/>
      <c r="NTQ27" s="44"/>
      <c r="NTR27" s="44"/>
      <c r="NTS27" s="44"/>
      <c r="NTT27" s="44"/>
      <c r="NTU27" s="44"/>
      <c r="NTV27" s="44"/>
      <c r="NTW27" s="44"/>
      <c r="NTX27" s="43"/>
      <c r="NTY27" s="44"/>
      <c r="NTZ27" s="44"/>
      <c r="NUA27" s="44"/>
      <c r="NUB27" s="44"/>
      <c r="NUC27" s="44"/>
      <c r="NUD27" s="44"/>
      <c r="NUE27" s="44"/>
      <c r="NUF27" s="44"/>
      <c r="NUG27" s="44"/>
      <c r="NUH27" s="44"/>
      <c r="NUI27" s="44"/>
      <c r="NUJ27" s="44"/>
      <c r="NUK27" s="44"/>
      <c r="NUL27" s="44"/>
      <c r="NUM27" s="43"/>
      <c r="NUN27" s="44"/>
      <c r="NUO27" s="44"/>
      <c r="NUP27" s="44"/>
      <c r="NUQ27" s="44"/>
      <c r="NUR27" s="44"/>
      <c r="NUS27" s="44"/>
      <c r="NUT27" s="44"/>
      <c r="NUU27" s="44"/>
      <c r="NUV27" s="44"/>
      <c r="NUW27" s="44"/>
      <c r="NUX27" s="44"/>
      <c r="NUY27" s="44"/>
      <c r="NUZ27" s="44"/>
      <c r="NVA27" s="44"/>
      <c r="NVB27" s="43"/>
      <c r="NVC27" s="44"/>
      <c r="NVD27" s="44"/>
      <c r="NVE27" s="44"/>
      <c r="NVF27" s="44"/>
      <c r="NVG27" s="44"/>
      <c r="NVH27" s="44"/>
      <c r="NVI27" s="44"/>
      <c r="NVJ27" s="44"/>
      <c r="NVK27" s="44"/>
      <c r="NVL27" s="44"/>
      <c r="NVM27" s="44"/>
      <c r="NVN27" s="44"/>
      <c r="NVO27" s="44"/>
      <c r="NVP27" s="44"/>
      <c r="NVQ27" s="43"/>
      <c r="NVR27" s="44"/>
      <c r="NVS27" s="44"/>
      <c r="NVT27" s="44"/>
      <c r="NVU27" s="44"/>
      <c r="NVV27" s="44"/>
      <c r="NVW27" s="44"/>
      <c r="NVX27" s="44"/>
      <c r="NVY27" s="44"/>
      <c r="NVZ27" s="44"/>
      <c r="NWA27" s="44"/>
      <c r="NWB27" s="44"/>
      <c r="NWC27" s="44"/>
      <c r="NWD27" s="44"/>
      <c r="NWE27" s="44"/>
      <c r="NWF27" s="43"/>
      <c r="NWG27" s="44"/>
      <c r="NWH27" s="44"/>
      <c r="NWI27" s="44"/>
      <c r="NWJ27" s="44"/>
      <c r="NWK27" s="44"/>
      <c r="NWL27" s="44"/>
      <c r="NWM27" s="44"/>
      <c r="NWN27" s="44"/>
      <c r="NWO27" s="44"/>
      <c r="NWP27" s="44"/>
      <c r="NWQ27" s="44"/>
      <c r="NWR27" s="44"/>
      <c r="NWS27" s="44"/>
      <c r="NWT27" s="44"/>
      <c r="NWU27" s="43"/>
      <c r="NWV27" s="44"/>
      <c r="NWW27" s="44"/>
      <c r="NWX27" s="44"/>
      <c r="NWY27" s="44"/>
      <c r="NWZ27" s="44"/>
      <c r="NXA27" s="44"/>
      <c r="NXB27" s="44"/>
      <c r="NXC27" s="44"/>
      <c r="NXD27" s="44"/>
      <c r="NXE27" s="44"/>
      <c r="NXF27" s="44"/>
      <c r="NXG27" s="44"/>
      <c r="NXH27" s="44"/>
      <c r="NXI27" s="44"/>
      <c r="NXJ27" s="43"/>
      <c r="NXK27" s="44"/>
      <c r="NXL27" s="44"/>
      <c r="NXM27" s="44"/>
      <c r="NXN27" s="44"/>
      <c r="NXO27" s="44"/>
      <c r="NXP27" s="44"/>
      <c r="NXQ27" s="44"/>
      <c r="NXR27" s="44"/>
      <c r="NXS27" s="44"/>
      <c r="NXT27" s="44"/>
      <c r="NXU27" s="44"/>
      <c r="NXV27" s="44"/>
      <c r="NXW27" s="44"/>
      <c r="NXX27" s="44"/>
      <c r="NXY27" s="43"/>
      <c r="NXZ27" s="44"/>
      <c r="NYA27" s="44"/>
      <c r="NYB27" s="44"/>
      <c r="NYC27" s="44"/>
      <c r="NYD27" s="44"/>
      <c r="NYE27" s="44"/>
      <c r="NYF27" s="44"/>
      <c r="NYG27" s="44"/>
      <c r="NYH27" s="44"/>
      <c r="NYI27" s="44"/>
      <c r="NYJ27" s="44"/>
      <c r="NYK27" s="44"/>
      <c r="NYL27" s="44"/>
      <c r="NYM27" s="44"/>
      <c r="NYN27" s="43"/>
      <c r="NYO27" s="44"/>
      <c r="NYP27" s="44"/>
      <c r="NYQ27" s="44"/>
      <c r="NYR27" s="44"/>
      <c r="NYS27" s="44"/>
      <c r="NYT27" s="44"/>
      <c r="NYU27" s="44"/>
      <c r="NYV27" s="44"/>
      <c r="NYW27" s="44"/>
      <c r="NYX27" s="44"/>
      <c r="NYY27" s="44"/>
      <c r="NYZ27" s="44"/>
      <c r="NZA27" s="44"/>
      <c r="NZB27" s="44"/>
      <c r="NZC27" s="43"/>
      <c r="NZD27" s="44"/>
      <c r="NZE27" s="44"/>
      <c r="NZF27" s="44"/>
      <c r="NZG27" s="44"/>
      <c r="NZH27" s="44"/>
      <c r="NZI27" s="44"/>
      <c r="NZJ27" s="44"/>
      <c r="NZK27" s="44"/>
      <c r="NZL27" s="44"/>
      <c r="NZM27" s="44"/>
      <c r="NZN27" s="44"/>
      <c r="NZO27" s="44"/>
      <c r="NZP27" s="44"/>
      <c r="NZQ27" s="44"/>
      <c r="NZR27" s="43"/>
      <c r="NZS27" s="44"/>
      <c r="NZT27" s="44"/>
      <c r="NZU27" s="44"/>
      <c r="NZV27" s="44"/>
      <c r="NZW27" s="44"/>
      <c r="NZX27" s="44"/>
      <c r="NZY27" s="44"/>
      <c r="NZZ27" s="44"/>
      <c r="OAA27" s="44"/>
      <c r="OAB27" s="44"/>
      <c r="OAC27" s="44"/>
      <c r="OAD27" s="44"/>
      <c r="OAE27" s="44"/>
      <c r="OAF27" s="44"/>
      <c r="OAG27" s="43"/>
      <c r="OAH27" s="44"/>
      <c r="OAI27" s="44"/>
      <c r="OAJ27" s="44"/>
      <c r="OAK27" s="44"/>
      <c r="OAL27" s="44"/>
      <c r="OAM27" s="44"/>
      <c r="OAN27" s="44"/>
      <c r="OAO27" s="44"/>
      <c r="OAP27" s="44"/>
      <c r="OAQ27" s="44"/>
      <c r="OAR27" s="44"/>
      <c r="OAS27" s="44"/>
      <c r="OAT27" s="44"/>
      <c r="OAU27" s="44"/>
      <c r="OAV27" s="43"/>
      <c r="OAW27" s="44"/>
      <c r="OAX27" s="44"/>
      <c r="OAY27" s="44"/>
      <c r="OAZ27" s="44"/>
      <c r="OBA27" s="44"/>
      <c r="OBB27" s="44"/>
      <c r="OBC27" s="44"/>
      <c r="OBD27" s="44"/>
      <c r="OBE27" s="44"/>
      <c r="OBF27" s="44"/>
      <c r="OBG27" s="44"/>
      <c r="OBH27" s="44"/>
      <c r="OBI27" s="44"/>
      <c r="OBJ27" s="44"/>
      <c r="OBK27" s="43"/>
      <c r="OBL27" s="44"/>
      <c r="OBM27" s="44"/>
      <c r="OBN27" s="44"/>
      <c r="OBO27" s="44"/>
      <c r="OBP27" s="44"/>
      <c r="OBQ27" s="44"/>
      <c r="OBR27" s="44"/>
      <c r="OBS27" s="44"/>
      <c r="OBT27" s="44"/>
      <c r="OBU27" s="44"/>
      <c r="OBV27" s="44"/>
      <c r="OBW27" s="44"/>
      <c r="OBX27" s="44"/>
      <c r="OBY27" s="44"/>
      <c r="OBZ27" s="43"/>
      <c r="OCA27" s="44"/>
      <c r="OCB27" s="44"/>
      <c r="OCC27" s="44"/>
      <c r="OCD27" s="44"/>
      <c r="OCE27" s="44"/>
      <c r="OCF27" s="44"/>
      <c r="OCG27" s="44"/>
      <c r="OCH27" s="44"/>
      <c r="OCI27" s="44"/>
      <c r="OCJ27" s="44"/>
      <c r="OCK27" s="44"/>
      <c r="OCL27" s="44"/>
      <c r="OCM27" s="44"/>
      <c r="OCN27" s="44"/>
      <c r="OCO27" s="43"/>
      <c r="OCP27" s="44"/>
      <c r="OCQ27" s="44"/>
      <c r="OCR27" s="44"/>
      <c r="OCS27" s="44"/>
      <c r="OCT27" s="44"/>
      <c r="OCU27" s="44"/>
      <c r="OCV27" s="44"/>
      <c r="OCW27" s="44"/>
      <c r="OCX27" s="44"/>
      <c r="OCY27" s="44"/>
      <c r="OCZ27" s="44"/>
      <c r="ODA27" s="44"/>
      <c r="ODB27" s="44"/>
      <c r="ODC27" s="44"/>
      <c r="ODD27" s="43"/>
      <c r="ODE27" s="44"/>
      <c r="ODF27" s="44"/>
      <c r="ODG27" s="44"/>
      <c r="ODH27" s="44"/>
      <c r="ODI27" s="44"/>
      <c r="ODJ27" s="44"/>
      <c r="ODK27" s="44"/>
      <c r="ODL27" s="44"/>
      <c r="ODM27" s="44"/>
      <c r="ODN27" s="44"/>
      <c r="ODO27" s="44"/>
      <c r="ODP27" s="44"/>
      <c r="ODQ27" s="44"/>
      <c r="ODR27" s="44"/>
      <c r="ODS27" s="43"/>
      <c r="ODT27" s="44"/>
      <c r="ODU27" s="44"/>
      <c r="ODV27" s="44"/>
      <c r="ODW27" s="44"/>
      <c r="ODX27" s="44"/>
      <c r="ODY27" s="44"/>
      <c r="ODZ27" s="44"/>
      <c r="OEA27" s="44"/>
      <c r="OEB27" s="44"/>
      <c r="OEC27" s="44"/>
      <c r="OED27" s="44"/>
      <c r="OEE27" s="44"/>
      <c r="OEF27" s="44"/>
      <c r="OEG27" s="44"/>
      <c r="OEH27" s="43"/>
      <c r="OEI27" s="44"/>
      <c r="OEJ27" s="44"/>
      <c r="OEK27" s="44"/>
      <c r="OEL27" s="44"/>
      <c r="OEM27" s="44"/>
      <c r="OEN27" s="44"/>
      <c r="OEO27" s="44"/>
      <c r="OEP27" s="44"/>
      <c r="OEQ27" s="44"/>
      <c r="OER27" s="44"/>
      <c r="OES27" s="44"/>
      <c r="OET27" s="44"/>
      <c r="OEU27" s="44"/>
      <c r="OEV27" s="44"/>
      <c r="OEW27" s="43"/>
      <c r="OEX27" s="44"/>
      <c r="OEY27" s="44"/>
      <c r="OEZ27" s="44"/>
      <c r="OFA27" s="44"/>
      <c r="OFB27" s="44"/>
      <c r="OFC27" s="44"/>
      <c r="OFD27" s="44"/>
      <c r="OFE27" s="44"/>
      <c r="OFF27" s="44"/>
      <c r="OFG27" s="44"/>
      <c r="OFH27" s="44"/>
      <c r="OFI27" s="44"/>
      <c r="OFJ27" s="44"/>
      <c r="OFK27" s="44"/>
      <c r="OFL27" s="43"/>
      <c r="OFM27" s="44"/>
      <c r="OFN27" s="44"/>
      <c r="OFO27" s="44"/>
      <c r="OFP27" s="44"/>
      <c r="OFQ27" s="44"/>
      <c r="OFR27" s="44"/>
      <c r="OFS27" s="44"/>
      <c r="OFT27" s="44"/>
      <c r="OFU27" s="44"/>
      <c r="OFV27" s="44"/>
      <c r="OFW27" s="44"/>
      <c r="OFX27" s="44"/>
      <c r="OFY27" s="44"/>
      <c r="OFZ27" s="44"/>
      <c r="OGA27" s="43"/>
      <c r="OGB27" s="44"/>
      <c r="OGC27" s="44"/>
      <c r="OGD27" s="44"/>
      <c r="OGE27" s="44"/>
      <c r="OGF27" s="44"/>
      <c r="OGG27" s="44"/>
      <c r="OGH27" s="44"/>
      <c r="OGI27" s="44"/>
      <c r="OGJ27" s="44"/>
      <c r="OGK27" s="44"/>
      <c r="OGL27" s="44"/>
      <c r="OGM27" s="44"/>
      <c r="OGN27" s="44"/>
      <c r="OGO27" s="44"/>
      <c r="OGP27" s="43"/>
      <c r="OGQ27" s="44"/>
      <c r="OGR27" s="44"/>
      <c r="OGS27" s="44"/>
      <c r="OGT27" s="44"/>
      <c r="OGU27" s="44"/>
      <c r="OGV27" s="44"/>
      <c r="OGW27" s="44"/>
      <c r="OGX27" s="44"/>
      <c r="OGY27" s="44"/>
      <c r="OGZ27" s="44"/>
      <c r="OHA27" s="44"/>
      <c r="OHB27" s="44"/>
      <c r="OHC27" s="44"/>
      <c r="OHD27" s="44"/>
      <c r="OHE27" s="43"/>
      <c r="OHF27" s="44"/>
      <c r="OHG27" s="44"/>
      <c r="OHH27" s="44"/>
      <c r="OHI27" s="44"/>
      <c r="OHJ27" s="44"/>
      <c r="OHK27" s="44"/>
      <c r="OHL27" s="44"/>
      <c r="OHM27" s="44"/>
      <c r="OHN27" s="44"/>
      <c r="OHO27" s="44"/>
      <c r="OHP27" s="44"/>
      <c r="OHQ27" s="44"/>
      <c r="OHR27" s="44"/>
      <c r="OHS27" s="44"/>
      <c r="OHT27" s="43"/>
      <c r="OHU27" s="44"/>
      <c r="OHV27" s="44"/>
      <c r="OHW27" s="44"/>
      <c r="OHX27" s="44"/>
      <c r="OHY27" s="44"/>
      <c r="OHZ27" s="44"/>
      <c r="OIA27" s="44"/>
      <c r="OIB27" s="44"/>
      <c r="OIC27" s="44"/>
      <c r="OID27" s="44"/>
      <c r="OIE27" s="44"/>
      <c r="OIF27" s="44"/>
      <c r="OIG27" s="44"/>
      <c r="OIH27" s="44"/>
      <c r="OII27" s="43"/>
      <c r="OIJ27" s="44"/>
      <c r="OIK27" s="44"/>
      <c r="OIL27" s="44"/>
      <c r="OIM27" s="44"/>
      <c r="OIN27" s="44"/>
      <c r="OIO27" s="44"/>
      <c r="OIP27" s="44"/>
      <c r="OIQ27" s="44"/>
      <c r="OIR27" s="44"/>
      <c r="OIS27" s="44"/>
      <c r="OIT27" s="44"/>
      <c r="OIU27" s="44"/>
      <c r="OIV27" s="44"/>
      <c r="OIW27" s="44"/>
      <c r="OIX27" s="43"/>
      <c r="OIY27" s="44"/>
      <c r="OIZ27" s="44"/>
      <c r="OJA27" s="44"/>
      <c r="OJB27" s="44"/>
      <c r="OJC27" s="44"/>
      <c r="OJD27" s="44"/>
      <c r="OJE27" s="44"/>
      <c r="OJF27" s="44"/>
      <c r="OJG27" s="44"/>
      <c r="OJH27" s="44"/>
      <c r="OJI27" s="44"/>
      <c r="OJJ27" s="44"/>
      <c r="OJK27" s="44"/>
      <c r="OJL27" s="44"/>
      <c r="OJM27" s="43"/>
      <c r="OJN27" s="44"/>
      <c r="OJO27" s="44"/>
      <c r="OJP27" s="44"/>
      <c r="OJQ27" s="44"/>
      <c r="OJR27" s="44"/>
      <c r="OJS27" s="44"/>
      <c r="OJT27" s="44"/>
      <c r="OJU27" s="44"/>
      <c r="OJV27" s="44"/>
      <c r="OJW27" s="44"/>
      <c r="OJX27" s="44"/>
      <c r="OJY27" s="44"/>
      <c r="OJZ27" s="44"/>
      <c r="OKA27" s="44"/>
      <c r="OKB27" s="43"/>
      <c r="OKC27" s="44"/>
      <c r="OKD27" s="44"/>
      <c r="OKE27" s="44"/>
      <c r="OKF27" s="44"/>
      <c r="OKG27" s="44"/>
      <c r="OKH27" s="44"/>
      <c r="OKI27" s="44"/>
      <c r="OKJ27" s="44"/>
      <c r="OKK27" s="44"/>
      <c r="OKL27" s="44"/>
      <c r="OKM27" s="44"/>
      <c r="OKN27" s="44"/>
      <c r="OKO27" s="44"/>
      <c r="OKP27" s="44"/>
      <c r="OKQ27" s="43"/>
      <c r="OKR27" s="44"/>
      <c r="OKS27" s="44"/>
      <c r="OKT27" s="44"/>
      <c r="OKU27" s="44"/>
      <c r="OKV27" s="44"/>
      <c r="OKW27" s="44"/>
      <c r="OKX27" s="44"/>
      <c r="OKY27" s="44"/>
      <c r="OKZ27" s="44"/>
      <c r="OLA27" s="44"/>
      <c r="OLB27" s="44"/>
      <c r="OLC27" s="44"/>
      <c r="OLD27" s="44"/>
      <c r="OLE27" s="44"/>
      <c r="OLF27" s="43"/>
      <c r="OLG27" s="44"/>
      <c r="OLH27" s="44"/>
      <c r="OLI27" s="44"/>
      <c r="OLJ27" s="44"/>
      <c r="OLK27" s="44"/>
      <c r="OLL27" s="44"/>
      <c r="OLM27" s="44"/>
      <c r="OLN27" s="44"/>
      <c r="OLO27" s="44"/>
      <c r="OLP27" s="44"/>
      <c r="OLQ27" s="44"/>
      <c r="OLR27" s="44"/>
      <c r="OLS27" s="44"/>
      <c r="OLT27" s="44"/>
      <c r="OLU27" s="43"/>
      <c r="OLV27" s="44"/>
      <c r="OLW27" s="44"/>
      <c r="OLX27" s="44"/>
      <c r="OLY27" s="44"/>
      <c r="OLZ27" s="44"/>
      <c r="OMA27" s="44"/>
      <c r="OMB27" s="44"/>
      <c r="OMC27" s="44"/>
      <c r="OMD27" s="44"/>
      <c r="OME27" s="44"/>
      <c r="OMF27" s="44"/>
      <c r="OMG27" s="44"/>
      <c r="OMH27" s="44"/>
      <c r="OMI27" s="44"/>
      <c r="OMJ27" s="43"/>
      <c r="OMK27" s="44"/>
      <c r="OML27" s="44"/>
      <c r="OMM27" s="44"/>
      <c r="OMN27" s="44"/>
      <c r="OMO27" s="44"/>
      <c r="OMP27" s="44"/>
      <c r="OMQ27" s="44"/>
      <c r="OMR27" s="44"/>
      <c r="OMS27" s="44"/>
      <c r="OMT27" s="44"/>
      <c r="OMU27" s="44"/>
      <c r="OMV27" s="44"/>
      <c r="OMW27" s="44"/>
      <c r="OMX27" s="44"/>
      <c r="OMY27" s="43"/>
      <c r="OMZ27" s="44"/>
      <c r="ONA27" s="44"/>
      <c r="ONB27" s="44"/>
      <c r="ONC27" s="44"/>
      <c r="OND27" s="44"/>
      <c r="ONE27" s="44"/>
      <c r="ONF27" s="44"/>
      <c r="ONG27" s="44"/>
      <c r="ONH27" s="44"/>
      <c r="ONI27" s="44"/>
      <c r="ONJ27" s="44"/>
      <c r="ONK27" s="44"/>
      <c r="ONL27" s="44"/>
      <c r="ONM27" s="44"/>
      <c r="ONN27" s="43"/>
      <c r="ONO27" s="44"/>
      <c r="ONP27" s="44"/>
      <c r="ONQ27" s="44"/>
      <c r="ONR27" s="44"/>
      <c r="ONS27" s="44"/>
      <c r="ONT27" s="44"/>
      <c r="ONU27" s="44"/>
      <c r="ONV27" s="44"/>
      <c r="ONW27" s="44"/>
      <c r="ONX27" s="44"/>
      <c r="ONY27" s="44"/>
      <c r="ONZ27" s="44"/>
      <c r="OOA27" s="44"/>
      <c r="OOB27" s="44"/>
      <c r="OOC27" s="43"/>
      <c r="OOD27" s="44"/>
      <c r="OOE27" s="44"/>
      <c r="OOF27" s="44"/>
      <c r="OOG27" s="44"/>
      <c r="OOH27" s="44"/>
      <c r="OOI27" s="44"/>
      <c r="OOJ27" s="44"/>
      <c r="OOK27" s="44"/>
      <c r="OOL27" s="44"/>
      <c r="OOM27" s="44"/>
      <c r="OON27" s="44"/>
      <c r="OOO27" s="44"/>
      <c r="OOP27" s="44"/>
      <c r="OOQ27" s="44"/>
      <c r="OOR27" s="43"/>
      <c r="OOS27" s="44"/>
      <c r="OOT27" s="44"/>
      <c r="OOU27" s="44"/>
      <c r="OOV27" s="44"/>
      <c r="OOW27" s="44"/>
      <c r="OOX27" s="44"/>
      <c r="OOY27" s="44"/>
      <c r="OOZ27" s="44"/>
      <c r="OPA27" s="44"/>
      <c r="OPB27" s="44"/>
      <c r="OPC27" s="44"/>
      <c r="OPD27" s="44"/>
      <c r="OPE27" s="44"/>
      <c r="OPF27" s="44"/>
      <c r="OPG27" s="43"/>
      <c r="OPH27" s="44"/>
      <c r="OPI27" s="44"/>
      <c r="OPJ27" s="44"/>
      <c r="OPK27" s="44"/>
      <c r="OPL27" s="44"/>
      <c r="OPM27" s="44"/>
      <c r="OPN27" s="44"/>
      <c r="OPO27" s="44"/>
      <c r="OPP27" s="44"/>
      <c r="OPQ27" s="44"/>
      <c r="OPR27" s="44"/>
      <c r="OPS27" s="44"/>
      <c r="OPT27" s="44"/>
      <c r="OPU27" s="44"/>
      <c r="OPV27" s="43"/>
      <c r="OPW27" s="44"/>
      <c r="OPX27" s="44"/>
      <c r="OPY27" s="44"/>
      <c r="OPZ27" s="44"/>
      <c r="OQA27" s="44"/>
      <c r="OQB27" s="44"/>
      <c r="OQC27" s="44"/>
      <c r="OQD27" s="44"/>
      <c r="OQE27" s="44"/>
      <c r="OQF27" s="44"/>
      <c r="OQG27" s="44"/>
      <c r="OQH27" s="44"/>
      <c r="OQI27" s="44"/>
      <c r="OQJ27" s="44"/>
      <c r="OQK27" s="43"/>
      <c r="OQL27" s="44"/>
      <c r="OQM27" s="44"/>
      <c r="OQN27" s="44"/>
      <c r="OQO27" s="44"/>
      <c r="OQP27" s="44"/>
      <c r="OQQ27" s="44"/>
      <c r="OQR27" s="44"/>
      <c r="OQS27" s="44"/>
      <c r="OQT27" s="44"/>
      <c r="OQU27" s="44"/>
      <c r="OQV27" s="44"/>
      <c r="OQW27" s="44"/>
      <c r="OQX27" s="44"/>
      <c r="OQY27" s="44"/>
      <c r="OQZ27" s="43"/>
      <c r="ORA27" s="44"/>
      <c r="ORB27" s="44"/>
      <c r="ORC27" s="44"/>
      <c r="ORD27" s="44"/>
      <c r="ORE27" s="44"/>
      <c r="ORF27" s="44"/>
      <c r="ORG27" s="44"/>
      <c r="ORH27" s="44"/>
      <c r="ORI27" s="44"/>
      <c r="ORJ27" s="44"/>
      <c r="ORK27" s="44"/>
      <c r="ORL27" s="44"/>
      <c r="ORM27" s="44"/>
      <c r="ORN27" s="44"/>
      <c r="ORO27" s="43"/>
      <c r="ORP27" s="44"/>
      <c r="ORQ27" s="44"/>
      <c r="ORR27" s="44"/>
      <c r="ORS27" s="44"/>
      <c r="ORT27" s="44"/>
      <c r="ORU27" s="44"/>
      <c r="ORV27" s="44"/>
      <c r="ORW27" s="44"/>
      <c r="ORX27" s="44"/>
      <c r="ORY27" s="44"/>
      <c r="ORZ27" s="44"/>
      <c r="OSA27" s="44"/>
      <c r="OSB27" s="44"/>
      <c r="OSC27" s="44"/>
      <c r="OSD27" s="43"/>
      <c r="OSE27" s="44"/>
      <c r="OSF27" s="44"/>
      <c r="OSG27" s="44"/>
      <c r="OSH27" s="44"/>
      <c r="OSI27" s="44"/>
      <c r="OSJ27" s="44"/>
      <c r="OSK27" s="44"/>
      <c r="OSL27" s="44"/>
      <c r="OSM27" s="44"/>
      <c r="OSN27" s="44"/>
      <c r="OSO27" s="44"/>
      <c r="OSP27" s="44"/>
      <c r="OSQ27" s="44"/>
      <c r="OSR27" s="44"/>
      <c r="OSS27" s="43"/>
      <c r="OST27" s="44"/>
      <c r="OSU27" s="44"/>
      <c r="OSV27" s="44"/>
      <c r="OSW27" s="44"/>
      <c r="OSX27" s="44"/>
      <c r="OSY27" s="44"/>
      <c r="OSZ27" s="44"/>
      <c r="OTA27" s="44"/>
      <c r="OTB27" s="44"/>
      <c r="OTC27" s="44"/>
      <c r="OTD27" s="44"/>
      <c r="OTE27" s="44"/>
      <c r="OTF27" s="44"/>
      <c r="OTG27" s="44"/>
      <c r="OTH27" s="43"/>
      <c r="OTI27" s="44"/>
      <c r="OTJ27" s="44"/>
      <c r="OTK27" s="44"/>
      <c r="OTL27" s="44"/>
      <c r="OTM27" s="44"/>
      <c r="OTN27" s="44"/>
      <c r="OTO27" s="44"/>
      <c r="OTP27" s="44"/>
      <c r="OTQ27" s="44"/>
      <c r="OTR27" s="44"/>
      <c r="OTS27" s="44"/>
      <c r="OTT27" s="44"/>
      <c r="OTU27" s="44"/>
      <c r="OTV27" s="44"/>
      <c r="OTW27" s="43"/>
      <c r="OTX27" s="44"/>
      <c r="OTY27" s="44"/>
      <c r="OTZ27" s="44"/>
      <c r="OUA27" s="44"/>
      <c r="OUB27" s="44"/>
      <c r="OUC27" s="44"/>
      <c r="OUD27" s="44"/>
      <c r="OUE27" s="44"/>
      <c r="OUF27" s="44"/>
      <c r="OUG27" s="44"/>
      <c r="OUH27" s="44"/>
      <c r="OUI27" s="44"/>
      <c r="OUJ27" s="44"/>
      <c r="OUK27" s="44"/>
      <c r="OUL27" s="43"/>
      <c r="OUM27" s="44"/>
      <c r="OUN27" s="44"/>
      <c r="OUO27" s="44"/>
      <c r="OUP27" s="44"/>
      <c r="OUQ27" s="44"/>
      <c r="OUR27" s="44"/>
      <c r="OUS27" s="44"/>
      <c r="OUT27" s="44"/>
      <c r="OUU27" s="44"/>
      <c r="OUV27" s="44"/>
      <c r="OUW27" s="44"/>
      <c r="OUX27" s="44"/>
      <c r="OUY27" s="44"/>
      <c r="OUZ27" s="44"/>
      <c r="OVA27" s="43"/>
      <c r="OVB27" s="44"/>
      <c r="OVC27" s="44"/>
      <c r="OVD27" s="44"/>
      <c r="OVE27" s="44"/>
      <c r="OVF27" s="44"/>
      <c r="OVG27" s="44"/>
      <c r="OVH27" s="44"/>
      <c r="OVI27" s="44"/>
      <c r="OVJ27" s="44"/>
      <c r="OVK27" s="44"/>
      <c r="OVL27" s="44"/>
      <c r="OVM27" s="44"/>
      <c r="OVN27" s="44"/>
      <c r="OVO27" s="44"/>
      <c r="OVP27" s="43"/>
      <c r="OVQ27" s="44"/>
      <c r="OVR27" s="44"/>
      <c r="OVS27" s="44"/>
      <c r="OVT27" s="44"/>
      <c r="OVU27" s="44"/>
      <c r="OVV27" s="44"/>
      <c r="OVW27" s="44"/>
      <c r="OVX27" s="44"/>
      <c r="OVY27" s="44"/>
      <c r="OVZ27" s="44"/>
      <c r="OWA27" s="44"/>
      <c r="OWB27" s="44"/>
      <c r="OWC27" s="44"/>
      <c r="OWD27" s="44"/>
      <c r="OWE27" s="43"/>
      <c r="OWF27" s="44"/>
      <c r="OWG27" s="44"/>
      <c r="OWH27" s="44"/>
      <c r="OWI27" s="44"/>
      <c r="OWJ27" s="44"/>
      <c r="OWK27" s="44"/>
      <c r="OWL27" s="44"/>
      <c r="OWM27" s="44"/>
      <c r="OWN27" s="44"/>
      <c r="OWO27" s="44"/>
      <c r="OWP27" s="44"/>
      <c r="OWQ27" s="44"/>
      <c r="OWR27" s="44"/>
      <c r="OWS27" s="44"/>
      <c r="OWT27" s="43"/>
      <c r="OWU27" s="44"/>
      <c r="OWV27" s="44"/>
      <c r="OWW27" s="44"/>
      <c r="OWX27" s="44"/>
      <c r="OWY27" s="44"/>
      <c r="OWZ27" s="44"/>
      <c r="OXA27" s="44"/>
      <c r="OXB27" s="44"/>
      <c r="OXC27" s="44"/>
      <c r="OXD27" s="44"/>
      <c r="OXE27" s="44"/>
      <c r="OXF27" s="44"/>
      <c r="OXG27" s="44"/>
      <c r="OXH27" s="44"/>
      <c r="OXI27" s="43"/>
      <c r="OXJ27" s="44"/>
      <c r="OXK27" s="44"/>
      <c r="OXL27" s="44"/>
      <c r="OXM27" s="44"/>
      <c r="OXN27" s="44"/>
      <c r="OXO27" s="44"/>
      <c r="OXP27" s="44"/>
      <c r="OXQ27" s="44"/>
      <c r="OXR27" s="44"/>
      <c r="OXS27" s="44"/>
      <c r="OXT27" s="44"/>
      <c r="OXU27" s="44"/>
      <c r="OXV27" s="44"/>
      <c r="OXW27" s="44"/>
      <c r="OXX27" s="43"/>
      <c r="OXY27" s="44"/>
      <c r="OXZ27" s="44"/>
      <c r="OYA27" s="44"/>
      <c r="OYB27" s="44"/>
      <c r="OYC27" s="44"/>
      <c r="OYD27" s="44"/>
      <c r="OYE27" s="44"/>
      <c r="OYF27" s="44"/>
      <c r="OYG27" s="44"/>
      <c r="OYH27" s="44"/>
      <c r="OYI27" s="44"/>
      <c r="OYJ27" s="44"/>
      <c r="OYK27" s="44"/>
      <c r="OYL27" s="44"/>
      <c r="OYM27" s="43"/>
      <c r="OYN27" s="44"/>
      <c r="OYO27" s="44"/>
      <c r="OYP27" s="44"/>
      <c r="OYQ27" s="44"/>
      <c r="OYR27" s="44"/>
      <c r="OYS27" s="44"/>
      <c r="OYT27" s="44"/>
      <c r="OYU27" s="44"/>
      <c r="OYV27" s="44"/>
      <c r="OYW27" s="44"/>
      <c r="OYX27" s="44"/>
      <c r="OYY27" s="44"/>
      <c r="OYZ27" s="44"/>
      <c r="OZA27" s="44"/>
      <c r="OZB27" s="43"/>
      <c r="OZC27" s="44"/>
      <c r="OZD27" s="44"/>
      <c r="OZE27" s="44"/>
      <c r="OZF27" s="44"/>
      <c r="OZG27" s="44"/>
      <c r="OZH27" s="44"/>
      <c r="OZI27" s="44"/>
      <c r="OZJ27" s="44"/>
      <c r="OZK27" s="44"/>
      <c r="OZL27" s="44"/>
      <c r="OZM27" s="44"/>
      <c r="OZN27" s="44"/>
      <c r="OZO27" s="44"/>
      <c r="OZP27" s="44"/>
      <c r="OZQ27" s="43"/>
      <c r="OZR27" s="44"/>
      <c r="OZS27" s="44"/>
      <c r="OZT27" s="44"/>
      <c r="OZU27" s="44"/>
      <c r="OZV27" s="44"/>
      <c r="OZW27" s="44"/>
      <c r="OZX27" s="44"/>
      <c r="OZY27" s="44"/>
      <c r="OZZ27" s="44"/>
      <c r="PAA27" s="44"/>
      <c r="PAB27" s="44"/>
      <c r="PAC27" s="44"/>
      <c r="PAD27" s="44"/>
      <c r="PAE27" s="44"/>
      <c r="PAF27" s="43"/>
      <c r="PAG27" s="44"/>
      <c r="PAH27" s="44"/>
      <c r="PAI27" s="44"/>
      <c r="PAJ27" s="44"/>
      <c r="PAK27" s="44"/>
      <c r="PAL27" s="44"/>
      <c r="PAM27" s="44"/>
      <c r="PAN27" s="44"/>
      <c r="PAO27" s="44"/>
      <c r="PAP27" s="44"/>
      <c r="PAQ27" s="44"/>
      <c r="PAR27" s="44"/>
      <c r="PAS27" s="44"/>
      <c r="PAT27" s="44"/>
      <c r="PAU27" s="43"/>
      <c r="PAV27" s="44"/>
      <c r="PAW27" s="44"/>
      <c r="PAX27" s="44"/>
      <c r="PAY27" s="44"/>
      <c r="PAZ27" s="44"/>
      <c r="PBA27" s="44"/>
      <c r="PBB27" s="44"/>
      <c r="PBC27" s="44"/>
      <c r="PBD27" s="44"/>
      <c r="PBE27" s="44"/>
      <c r="PBF27" s="44"/>
      <c r="PBG27" s="44"/>
      <c r="PBH27" s="44"/>
      <c r="PBI27" s="44"/>
      <c r="PBJ27" s="43"/>
      <c r="PBK27" s="44"/>
      <c r="PBL27" s="44"/>
      <c r="PBM27" s="44"/>
      <c r="PBN27" s="44"/>
      <c r="PBO27" s="44"/>
      <c r="PBP27" s="44"/>
      <c r="PBQ27" s="44"/>
      <c r="PBR27" s="44"/>
      <c r="PBS27" s="44"/>
      <c r="PBT27" s="44"/>
      <c r="PBU27" s="44"/>
      <c r="PBV27" s="44"/>
      <c r="PBW27" s="44"/>
      <c r="PBX27" s="44"/>
      <c r="PBY27" s="43"/>
      <c r="PBZ27" s="44"/>
      <c r="PCA27" s="44"/>
      <c r="PCB27" s="44"/>
      <c r="PCC27" s="44"/>
      <c r="PCD27" s="44"/>
      <c r="PCE27" s="44"/>
      <c r="PCF27" s="44"/>
      <c r="PCG27" s="44"/>
      <c r="PCH27" s="44"/>
      <c r="PCI27" s="44"/>
      <c r="PCJ27" s="44"/>
      <c r="PCK27" s="44"/>
      <c r="PCL27" s="44"/>
      <c r="PCM27" s="44"/>
      <c r="PCN27" s="43"/>
      <c r="PCO27" s="44"/>
      <c r="PCP27" s="44"/>
      <c r="PCQ27" s="44"/>
      <c r="PCR27" s="44"/>
      <c r="PCS27" s="44"/>
      <c r="PCT27" s="44"/>
      <c r="PCU27" s="44"/>
      <c r="PCV27" s="44"/>
      <c r="PCW27" s="44"/>
      <c r="PCX27" s="44"/>
      <c r="PCY27" s="44"/>
      <c r="PCZ27" s="44"/>
      <c r="PDA27" s="44"/>
      <c r="PDB27" s="44"/>
      <c r="PDC27" s="43"/>
      <c r="PDD27" s="44"/>
      <c r="PDE27" s="44"/>
      <c r="PDF27" s="44"/>
      <c r="PDG27" s="44"/>
      <c r="PDH27" s="44"/>
      <c r="PDI27" s="44"/>
      <c r="PDJ27" s="44"/>
      <c r="PDK27" s="44"/>
      <c r="PDL27" s="44"/>
      <c r="PDM27" s="44"/>
      <c r="PDN27" s="44"/>
      <c r="PDO27" s="44"/>
      <c r="PDP27" s="44"/>
      <c r="PDQ27" s="44"/>
      <c r="PDR27" s="43"/>
      <c r="PDS27" s="44"/>
      <c r="PDT27" s="44"/>
      <c r="PDU27" s="44"/>
      <c r="PDV27" s="44"/>
      <c r="PDW27" s="44"/>
      <c r="PDX27" s="44"/>
      <c r="PDY27" s="44"/>
      <c r="PDZ27" s="44"/>
      <c r="PEA27" s="44"/>
      <c r="PEB27" s="44"/>
      <c r="PEC27" s="44"/>
      <c r="PED27" s="44"/>
      <c r="PEE27" s="44"/>
      <c r="PEF27" s="44"/>
      <c r="PEG27" s="43"/>
      <c r="PEH27" s="44"/>
      <c r="PEI27" s="44"/>
      <c r="PEJ27" s="44"/>
      <c r="PEK27" s="44"/>
      <c r="PEL27" s="44"/>
      <c r="PEM27" s="44"/>
      <c r="PEN27" s="44"/>
      <c r="PEO27" s="44"/>
      <c r="PEP27" s="44"/>
      <c r="PEQ27" s="44"/>
      <c r="PER27" s="44"/>
      <c r="PES27" s="44"/>
      <c r="PET27" s="44"/>
      <c r="PEU27" s="44"/>
      <c r="PEV27" s="43"/>
      <c r="PEW27" s="44"/>
      <c r="PEX27" s="44"/>
      <c r="PEY27" s="44"/>
      <c r="PEZ27" s="44"/>
      <c r="PFA27" s="44"/>
      <c r="PFB27" s="44"/>
      <c r="PFC27" s="44"/>
      <c r="PFD27" s="44"/>
      <c r="PFE27" s="44"/>
      <c r="PFF27" s="44"/>
      <c r="PFG27" s="44"/>
      <c r="PFH27" s="44"/>
      <c r="PFI27" s="44"/>
      <c r="PFJ27" s="44"/>
      <c r="PFK27" s="43"/>
      <c r="PFL27" s="44"/>
      <c r="PFM27" s="44"/>
      <c r="PFN27" s="44"/>
      <c r="PFO27" s="44"/>
      <c r="PFP27" s="44"/>
      <c r="PFQ27" s="44"/>
      <c r="PFR27" s="44"/>
      <c r="PFS27" s="44"/>
      <c r="PFT27" s="44"/>
      <c r="PFU27" s="44"/>
      <c r="PFV27" s="44"/>
      <c r="PFW27" s="44"/>
      <c r="PFX27" s="44"/>
      <c r="PFY27" s="44"/>
      <c r="PFZ27" s="43"/>
      <c r="PGA27" s="44"/>
      <c r="PGB27" s="44"/>
      <c r="PGC27" s="44"/>
      <c r="PGD27" s="44"/>
      <c r="PGE27" s="44"/>
      <c r="PGF27" s="44"/>
      <c r="PGG27" s="44"/>
      <c r="PGH27" s="44"/>
      <c r="PGI27" s="44"/>
      <c r="PGJ27" s="44"/>
      <c r="PGK27" s="44"/>
      <c r="PGL27" s="44"/>
      <c r="PGM27" s="44"/>
      <c r="PGN27" s="44"/>
      <c r="PGO27" s="43"/>
      <c r="PGP27" s="44"/>
      <c r="PGQ27" s="44"/>
      <c r="PGR27" s="44"/>
      <c r="PGS27" s="44"/>
      <c r="PGT27" s="44"/>
      <c r="PGU27" s="44"/>
      <c r="PGV27" s="44"/>
      <c r="PGW27" s="44"/>
      <c r="PGX27" s="44"/>
      <c r="PGY27" s="44"/>
      <c r="PGZ27" s="44"/>
      <c r="PHA27" s="44"/>
      <c r="PHB27" s="44"/>
      <c r="PHC27" s="44"/>
      <c r="PHD27" s="43"/>
      <c r="PHE27" s="44"/>
      <c r="PHF27" s="44"/>
      <c r="PHG27" s="44"/>
      <c r="PHH27" s="44"/>
      <c r="PHI27" s="44"/>
      <c r="PHJ27" s="44"/>
      <c r="PHK27" s="44"/>
      <c r="PHL27" s="44"/>
      <c r="PHM27" s="44"/>
      <c r="PHN27" s="44"/>
      <c r="PHO27" s="44"/>
      <c r="PHP27" s="44"/>
      <c r="PHQ27" s="44"/>
      <c r="PHR27" s="44"/>
      <c r="PHS27" s="43"/>
      <c r="PHT27" s="44"/>
      <c r="PHU27" s="44"/>
      <c r="PHV27" s="44"/>
      <c r="PHW27" s="44"/>
      <c r="PHX27" s="44"/>
      <c r="PHY27" s="44"/>
      <c r="PHZ27" s="44"/>
      <c r="PIA27" s="44"/>
      <c r="PIB27" s="44"/>
      <c r="PIC27" s="44"/>
      <c r="PID27" s="44"/>
      <c r="PIE27" s="44"/>
      <c r="PIF27" s="44"/>
      <c r="PIG27" s="44"/>
      <c r="PIH27" s="43"/>
      <c r="PII27" s="44"/>
      <c r="PIJ27" s="44"/>
      <c r="PIK27" s="44"/>
      <c r="PIL27" s="44"/>
      <c r="PIM27" s="44"/>
      <c r="PIN27" s="44"/>
      <c r="PIO27" s="44"/>
      <c r="PIP27" s="44"/>
      <c r="PIQ27" s="44"/>
      <c r="PIR27" s="44"/>
      <c r="PIS27" s="44"/>
      <c r="PIT27" s="44"/>
      <c r="PIU27" s="44"/>
      <c r="PIV27" s="44"/>
      <c r="PIW27" s="43"/>
      <c r="PIX27" s="44"/>
      <c r="PIY27" s="44"/>
      <c r="PIZ27" s="44"/>
      <c r="PJA27" s="44"/>
      <c r="PJB27" s="44"/>
      <c r="PJC27" s="44"/>
      <c r="PJD27" s="44"/>
      <c r="PJE27" s="44"/>
      <c r="PJF27" s="44"/>
      <c r="PJG27" s="44"/>
      <c r="PJH27" s="44"/>
      <c r="PJI27" s="44"/>
      <c r="PJJ27" s="44"/>
      <c r="PJK27" s="44"/>
      <c r="PJL27" s="43"/>
      <c r="PJM27" s="44"/>
      <c r="PJN27" s="44"/>
      <c r="PJO27" s="44"/>
      <c r="PJP27" s="44"/>
      <c r="PJQ27" s="44"/>
      <c r="PJR27" s="44"/>
      <c r="PJS27" s="44"/>
      <c r="PJT27" s="44"/>
      <c r="PJU27" s="44"/>
      <c r="PJV27" s="44"/>
      <c r="PJW27" s="44"/>
      <c r="PJX27" s="44"/>
      <c r="PJY27" s="44"/>
      <c r="PJZ27" s="44"/>
      <c r="PKA27" s="43"/>
      <c r="PKB27" s="44"/>
      <c r="PKC27" s="44"/>
      <c r="PKD27" s="44"/>
      <c r="PKE27" s="44"/>
      <c r="PKF27" s="44"/>
      <c r="PKG27" s="44"/>
      <c r="PKH27" s="44"/>
      <c r="PKI27" s="44"/>
      <c r="PKJ27" s="44"/>
      <c r="PKK27" s="44"/>
      <c r="PKL27" s="44"/>
      <c r="PKM27" s="44"/>
      <c r="PKN27" s="44"/>
      <c r="PKO27" s="44"/>
      <c r="PKP27" s="43"/>
      <c r="PKQ27" s="44"/>
      <c r="PKR27" s="44"/>
      <c r="PKS27" s="44"/>
      <c r="PKT27" s="44"/>
      <c r="PKU27" s="44"/>
      <c r="PKV27" s="44"/>
      <c r="PKW27" s="44"/>
      <c r="PKX27" s="44"/>
      <c r="PKY27" s="44"/>
      <c r="PKZ27" s="44"/>
      <c r="PLA27" s="44"/>
      <c r="PLB27" s="44"/>
      <c r="PLC27" s="44"/>
      <c r="PLD27" s="44"/>
      <c r="PLE27" s="43"/>
      <c r="PLF27" s="44"/>
      <c r="PLG27" s="44"/>
      <c r="PLH27" s="44"/>
      <c r="PLI27" s="44"/>
      <c r="PLJ27" s="44"/>
      <c r="PLK27" s="44"/>
      <c r="PLL27" s="44"/>
      <c r="PLM27" s="44"/>
      <c r="PLN27" s="44"/>
      <c r="PLO27" s="44"/>
      <c r="PLP27" s="44"/>
      <c r="PLQ27" s="44"/>
      <c r="PLR27" s="44"/>
      <c r="PLS27" s="44"/>
      <c r="PLT27" s="43"/>
      <c r="PLU27" s="44"/>
      <c r="PLV27" s="44"/>
      <c r="PLW27" s="44"/>
      <c r="PLX27" s="44"/>
      <c r="PLY27" s="44"/>
      <c r="PLZ27" s="44"/>
      <c r="PMA27" s="44"/>
      <c r="PMB27" s="44"/>
      <c r="PMC27" s="44"/>
      <c r="PMD27" s="44"/>
      <c r="PME27" s="44"/>
      <c r="PMF27" s="44"/>
      <c r="PMG27" s="44"/>
      <c r="PMH27" s="44"/>
      <c r="PMI27" s="43"/>
      <c r="PMJ27" s="44"/>
      <c r="PMK27" s="44"/>
      <c r="PML27" s="44"/>
      <c r="PMM27" s="44"/>
      <c r="PMN27" s="44"/>
      <c r="PMO27" s="44"/>
      <c r="PMP27" s="44"/>
      <c r="PMQ27" s="44"/>
      <c r="PMR27" s="44"/>
      <c r="PMS27" s="44"/>
      <c r="PMT27" s="44"/>
      <c r="PMU27" s="44"/>
      <c r="PMV27" s="44"/>
      <c r="PMW27" s="44"/>
      <c r="PMX27" s="43"/>
      <c r="PMY27" s="44"/>
      <c r="PMZ27" s="44"/>
      <c r="PNA27" s="44"/>
      <c r="PNB27" s="44"/>
      <c r="PNC27" s="44"/>
      <c r="PND27" s="44"/>
      <c r="PNE27" s="44"/>
      <c r="PNF27" s="44"/>
      <c r="PNG27" s="44"/>
      <c r="PNH27" s="44"/>
      <c r="PNI27" s="44"/>
      <c r="PNJ27" s="44"/>
      <c r="PNK27" s="44"/>
      <c r="PNL27" s="44"/>
      <c r="PNM27" s="43"/>
      <c r="PNN27" s="44"/>
      <c r="PNO27" s="44"/>
      <c r="PNP27" s="44"/>
      <c r="PNQ27" s="44"/>
      <c r="PNR27" s="44"/>
      <c r="PNS27" s="44"/>
      <c r="PNT27" s="44"/>
      <c r="PNU27" s="44"/>
      <c r="PNV27" s="44"/>
      <c r="PNW27" s="44"/>
      <c r="PNX27" s="44"/>
      <c r="PNY27" s="44"/>
      <c r="PNZ27" s="44"/>
      <c r="POA27" s="44"/>
      <c r="POB27" s="43"/>
      <c r="POC27" s="44"/>
      <c r="POD27" s="44"/>
      <c r="POE27" s="44"/>
      <c r="POF27" s="44"/>
      <c r="POG27" s="44"/>
      <c r="POH27" s="44"/>
      <c r="POI27" s="44"/>
      <c r="POJ27" s="44"/>
      <c r="POK27" s="44"/>
      <c r="POL27" s="44"/>
      <c r="POM27" s="44"/>
      <c r="PON27" s="44"/>
      <c r="POO27" s="44"/>
      <c r="POP27" s="44"/>
      <c r="POQ27" s="43"/>
      <c r="POR27" s="44"/>
      <c r="POS27" s="44"/>
      <c r="POT27" s="44"/>
      <c r="POU27" s="44"/>
      <c r="POV27" s="44"/>
      <c r="POW27" s="44"/>
      <c r="POX27" s="44"/>
      <c r="POY27" s="44"/>
      <c r="POZ27" s="44"/>
      <c r="PPA27" s="44"/>
      <c r="PPB27" s="44"/>
      <c r="PPC27" s="44"/>
      <c r="PPD27" s="44"/>
      <c r="PPE27" s="44"/>
      <c r="PPF27" s="43"/>
      <c r="PPG27" s="44"/>
      <c r="PPH27" s="44"/>
      <c r="PPI27" s="44"/>
      <c r="PPJ27" s="44"/>
      <c r="PPK27" s="44"/>
      <c r="PPL27" s="44"/>
      <c r="PPM27" s="44"/>
      <c r="PPN27" s="44"/>
      <c r="PPO27" s="44"/>
      <c r="PPP27" s="44"/>
      <c r="PPQ27" s="44"/>
      <c r="PPR27" s="44"/>
      <c r="PPS27" s="44"/>
      <c r="PPT27" s="44"/>
      <c r="PPU27" s="43"/>
      <c r="PPV27" s="44"/>
      <c r="PPW27" s="44"/>
      <c r="PPX27" s="44"/>
      <c r="PPY27" s="44"/>
      <c r="PPZ27" s="44"/>
      <c r="PQA27" s="44"/>
      <c r="PQB27" s="44"/>
      <c r="PQC27" s="44"/>
      <c r="PQD27" s="44"/>
      <c r="PQE27" s="44"/>
      <c r="PQF27" s="44"/>
      <c r="PQG27" s="44"/>
      <c r="PQH27" s="44"/>
      <c r="PQI27" s="44"/>
      <c r="PQJ27" s="43"/>
      <c r="PQK27" s="44"/>
      <c r="PQL27" s="44"/>
      <c r="PQM27" s="44"/>
      <c r="PQN27" s="44"/>
      <c r="PQO27" s="44"/>
      <c r="PQP27" s="44"/>
      <c r="PQQ27" s="44"/>
      <c r="PQR27" s="44"/>
      <c r="PQS27" s="44"/>
      <c r="PQT27" s="44"/>
      <c r="PQU27" s="44"/>
      <c r="PQV27" s="44"/>
      <c r="PQW27" s="44"/>
      <c r="PQX27" s="44"/>
      <c r="PQY27" s="43"/>
      <c r="PQZ27" s="44"/>
      <c r="PRA27" s="44"/>
      <c r="PRB27" s="44"/>
      <c r="PRC27" s="44"/>
      <c r="PRD27" s="44"/>
      <c r="PRE27" s="44"/>
      <c r="PRF27" s="44"/>
      <c r="PRG27" s="44"/>
      <c r="PRH27" s="44"/>
      <c r="PRI27" s="44"/>
      <c r="PRJ27" s="44"/>
      <c r="PRK27" s="44"/>
      <c r="PRL27" s="44"/>
      <c r="PRM27" s="44"/>
      <c r="PRN27" s="43"/>
      <c r="PRO27" s="44"/>
      <c r="PRP27" s="44"/>
      <c r="PRQ27" s="44"/>
      <c r="PRR27" s="44"/>
      <c r="PRS27" s="44"/>
      <c r="PRT27" s="44"/>
      <c r="PRU27" s="44"/>
      <c r="PRV27" s="44"/>
      <c r="PRW27" s="44"/>
      <c r="PRX27" s="44"/>
      <c r="PRY27" s="44"/>
      <c r="PRZ27" s="44"/>
      <c r="PSA27" s="44"/>
      <c r="PSB27" s="44"/>
      <c r="PSC27" s="43"/>
      <c r="PSD27" s="44"/>
      <c r="PSE27" s="44"/>
      <c r="PSF27" s="44"/>
      <c r="PSG27" s="44"/>
      <c r="PSH27" s="44"/>
      <c r="PSI27" s="44"/>
      <c r="PSJ27" s="44"/>
      <c r="PSK27" s="44"/>
      <c r="PSL27" s="44"/>
      <c r="PSM27" s="44"/>
      <c r="PSN27" s="44"/>
      <c r="PSO27" s="44"/>
      <c r="PSP27" s="44"/>
      <c r="PSQ27" s="44"/>
      <c r="PSR27" s="43"/>
      <c r="PSS27" s="44"/>
      <c r="PST27" s="44"/>
      <c r="PSU27" s="44"/>
      <c r="PSV27" s="44"/>
      <c r="PSW27" s="44"/>
      <c r="PSX27" s="44"/>
      <c r="PSY27" s="44"/>
      <c r="PSZ27" s="44"/>
      <c r="PTA27" s="44"/>
      <c r="PTB27" s="44"/>
      <c r="PTC27" s="44"/>
      <c r="PTD27" s="44"/>
      <c r="PTE27" s="44"/>
      <c r="PTF27" s="44"/>
      <c r="PTG27" s="43"/>
      <c r="PTH27" s="44"/>
      <c r="PTI27" s="44"/>
      <c r="PTJ27" s="44"/>
      <c r="PTK27" s="44"/>
      <c r="PTL27" s="44"/>
      <c r="PTM27" s="44"/>
      <c r="PTN27" s="44"/>
      <c r="PTO27" s="44"/>
      <c r="PTP27" s="44"/>
      <c r="PTQ27" s="44"/>
      <c r="PTR27" s="44"/>
      <c r="PTS27" s="44"/>
      <c r="PTT27" s="44"/>
      <c r="PTU27" s="44"/>
      <c r="PTV27" s="43"/>
      <c r="PTW27" s="44"/>
      <c r="PTX27" s="44"/>
      <c r="PTY27" s="44"/>
      <c r="PTZ27" s="44"/>
      <c r="PUA27" s="44"/>
      <c r="PUB27" s="44"/>
      <c r="PUC27" s="44"/>
      <c r="PUD27" s="44"/>
      <c r="PUE27" s="44"/>
      <c r="PUF27" s="44"/>
      <c r="PUG27" s="44"/>
      <c r="PUH27" s="44"/>
      <c r="PUI27" s="44"/>
      <c r="PUJ27" s="44"/>
      <c r="PUK27" s="43"/>
      <c r="PUL27" s="44"/>
      <c r="PUM27" s="44"/>
      <c r="PUN27" s="44"/>
      <c r="PUO27" s="44"/>
      <c r="PUP27" s="44"/>
      <c r="PUQ27" s="44"/>
      <c r="PUR27" s="44"/>
      <c r="PUS27" s="44"/>
      <c r="PUT27" s="44"/>
      <c r="PUU27" s="44"/>
      <c r="PUV27" s="44"/>
      <c r="PUW27" s="44"/>
      <c r="PUX27" s="44"/>
      <c r="PUY27" s="44"/>
      <c r="PUZ27" s="43"/>
      <c r="PVA27" s="44"/>
      <c r="PVB27" s="44"/>
      <c r="PVC27" s="44"/>
      <c r="PVD27" s="44"/>
      <c r="PVE27" s="44"/>
      <c r="PVF27" s="44"/>
      <c r="PVG27" s="44"/>
      <c r="PVH27" s="44"/>
      <c r="PVI27" s="44"/>
      <c r="PVJ27" s="44"/>
      <c r="PVK27" s="44"/>
      <c r="PVL27" s="44"/>
      <c r="PVM27" s="44"/>
      <c r="PVN27" s="44"/>
      <c r="PVO27" s="43"/>
      <c r="PVP27" s="44"/>
      <c r="PVQ27" s="44"/>
      <c r="PVR27" s="44"/>
      <c r="PVS27" s="44"/>
      <c r="PVT27" s="44"/>
      <c r="PVU27" s="44"/>
      <c r="PVV27" s="44"/>
      <c r="PVW27" s="44"/>
      <c r="PVX27" s="44"/>
      <c r="PVY27" s="44"/>
      <c r="PVZ27" s="44"/>
      <c r="PWA27" s="44"/>
      <c r="PWB27" s="44"/>
      <c r="PWC27" s="44"/>
      <c r="PWD27" s="43"/>
      <c r="PWE27" s="44"/>
      <c r="PWF27" s="44"/>
      <c r="PWG27" s="44"/>
      <c r="PWH27" s="44"/>
      <c r="PWI27" s="44"/>
      <c r="PWJ27" s="44"/>
      <c r="PWK27" s="44"/>
      <c r="PWL27" s="44"/>
      <c r="PWM27" s="44"/>
      <c r="PWN27" s="44"/>
      <c r="PWO27" s="44"/>
      <c r="PWP27" s="44"/>
      <c r="PWQ27" s="44"/>
      <c r="PWR27" s="44"/>
      <c r="PWS27" s="43"/>
      <c r="PWT27" s="44"/>
      <c r="PWU27" s="44"/>
      <c r="PWV27" s="44"/>
      <c r="PWW27" s="44"/>
      <c r="PWX27" s="44"/>
      <c r="PWY27" s="44"/>
      <c r="PWZ27" s="44"/>
      <c r="PXA27" s="44"/>
      <c r="PXB27" s="44"/>
      <c r="PXC27" s="44"/>
      <c r="PXD27" s="44"/>
      <c r="PXE27" s="44"/>
      <c r="PXF27" s="44"/>
      <c r="PXG27" s="44"/>
      <c r="PXH27" s="43"/>
      <c r="PXI27" s="44"/>
      <c r="PXJ27" s="44"/>
      <c r="PXK27" s="44"/>
      <c r="PXL27" s="44"/>
      <c r="PXM27" s="44"/>
      <c r="PXN27" s="44"/>
      <c r="PXO27" s="44"/>
      <c r="PXP27" s="44"/>
      <c r="PXQ27" s="44"/>
      <c r="PXR27" s="44"/>
      <c r="PXS27" s="44"/>
      <c r="PXT27" s="44"/>
      <c r="PXU27" s="44"/>
      <c r="PXV27" s="44"/>
      <c r="PXW27" s="43"/>
      <c r="PXX27" s="44"/>
      <c r="PXY27" s="44"/>
      <c r="PXZ27" s="44"/>
      <c r="PYA27" s="44"/>
      <c r="PYB27" s="44"/>
      <c r="PYC27" s="44"/>
      <c r="PYD27" s="44"/>
      <c r="PYE27" s="44"/>
      <c r="PYF27" s="44"/>
      <c r="PYG27" s="44"/>
      <c r="PYH27" s="44"/>
      <c r="PYI27" s="44"/>
      <c r="PYJ27" s="44"/>
      <c r="PYK27" s="44"/>
      <c r="PYL27" s="43"/>
      <c r="PYM27" s="44"/>
      <c r="PYN27" s="44"/>
      <c r="PYO27" s="44"/>
      <c r="PYP27" s="44"/>
      <c r="PYQ27" s="44"/>
      <c r="PYR27" s="44"/>
      <c r="PYS27" s="44"/>
      <c r="PYT27" s="44"/>
      <c r="PYU27" s="44"/>
      <c r="PYV27" s="44"/>
      <c r="PYW27" s="44"/>
      <c r="PYX27" s="44"/>
      <c r="PYY27" s="44"/>
      <c r="PYZ27" s="44"/>
      <c r="PZA27" s="43"/>
      <c r="PZB27" s="44"/>
      <c r="PZC27" s="44"/>
      <c r="PZD27" s="44"/>
      <c r="PZE27" s="44"/>
      <c r="PZF27" s="44"/>
      <c r="PZG27" s="44"/>
      <c r="PZH27" s="44"/>
      <c r="PZI27" s="44"/>
      <c r="PZJ27" s="44"/>
      <c r="PZK27" s="44"/>
      <c r="PZL27" s="44"/>
      <c r="PZM27" s="44"/>
      <c r="PZN27" s="44"/>
      <c r="PZO27" s="44"/>
      <c r="PZP27" s="43"/>
      <c r="PZQ27" s="44"/>
      <c r="PZR27" s="44"/>
      <c r="PZS27" s="44"/>
      <c r="PZT27" s="44"/>
      <c r="PZU27" s="44"/>
      <c r="PZV27" s="44"/>
      <c r="PZW27" s="44"/>
      <c r="PZX27" s="44"/>
      <c r="PZY27" s="44"/>
      <c r="PZZ27" s="44"/>
      <c r="QAA27" s="44"/>
      <c r="QAB27" s="44"/>
      <c r="QAC27" s="44"/>
      <c r="QAD27" s="44"/>
      <c r="QAE27" s="43"/>
      <c r="QAF27" s="44"/>
      <c r="QAG27" s="44"/>
      <c r="QAH27" s="44"/>
      <c r="QAI27" s="44"/>
      <c r="QAJ27" s="44"/>
      <c r="QAK27" s="44"/>
      <c r="QAL27" s="44"/>
      <c r="QAM27" s="44"/>
      <c r="QAN27" s="44"/>
      <c r="QAO27" s="44"/>
      <c r="QAP27" s="44"/>
      <c r="QAQ27" s="44"/>
      <c r="QAR27" s="44"/>
      <c r="QAS27" s="44"/>
      <c r="QAT27" s="43"/>
      <c r="QAU27" s="44"/>
      <c r="QAV27" s="44"/>
      <c r="QAW27" s="44"/>
      <c r="QAX27" s="44"/>
      <c r="QAY27" s="44"/>
      <c r="QAZ27" s="44"/>
      <c r="QBA27" s="44"/>
      <c r="QBB27" s="44"/>
      <c r="QBC27" s="44"/>
      <c r="QBD27" s="44"/>
      <c r="QBE27" s="44"/>
      <c r="QBF27" s="44"/>
      <c r="QBG27" s="44"/>
      <c r="QBH27" s="44"/>
      <c r="QBI27" s="43"/>
      <c r="QBJ27" s="44"/>
      <c r="QBK27" s="44"/>
      <c r="QBL27" s="44"/>
      <c r="QBM27" s="44"/>
      <c r="QBN27" s="44"/>
      <c r="QBO27" s="44"/>
      <c r="QBP27" s="44"/>
      <c r="QBQ27" s="44"/>
      <c r="QBR27" s="44"/>
      <c r="QBS27" s="44"/>
      <c r="QBT27" s="44"/>
      <c r="QBU27" s="44"/>
      <c r="QBV27" s="44"/>
      <c r="QBW27" s="44"/>
      <c r="QBX27" s="43"/>
      <c r="QBY27" s="44"/>
      <c r="QBZ27" s="44"/>
      <c r="QCA27" s="44"/>
      <c r="QCB27" s="44"/>
      <c r="QCC27" s="44"/>
      <c r="QCD27" s="44"/>
      <c r="QCE27" s="44"/>
      <c r="QCF27" s="44"/>
      <c r="QCG27" s="44"/>
      <c r="QCH27" s="44"/>
      <c r="QCI27" s="44"/>
      <c r="QCJ27" s="44"/>
      <c r="QCK27" s="44"/>
      <c r="QCL27" s="44"/>
      <c r="QCM27" s="43"/>
      <c r="QCN27" s="44"/>
      <c r="QCO27" s="44"/>
      <c r="QCP27" s="44"/>
      <c r="QCQ27" s="44"/>
      <c r="QCR27" s="44"/>
      <c r="QCS27" s="44"/>
      <c r="QCT27" s="44"/>
      <c r="QCU27" s="44"/>
      <c r="QCV27" s="44"/>
      <c r="QCW27" s="44"/>
      <c r="QCX27" s="44"/>
      <c r="QCY27" s="44"/>
      <c r="QCZ27" s="44"/>
      <c r="QDA27" s="44"/>
      <c r="QDB27" s="43"/>
      <c r="QDC27" s="44"/>
      <c r="QDD27" s="44"/>
      <c r="QDE27" s="44"/>
      <c r="QDF27" s="44"/>
      <c r="QDG27" s="44"/>
      <c r="QDH27" s="44"/>
      <c r="QDI27" s="44"/>
      <c r="QDJ27" s="44"/>
      <c r="QDK27" s="44"/>
      <c r="QDL27" s="44"/>
      <c r="QDM27" s="44"/>
      <c r="QDN27" s="44"/>
      <c r="QDO27" s="44"/>
      <c r="QDP27" s="44"/>
      <c r="QDQ27" s="43"/>
      <c r="QDR27" s="44"/>
      <c r="QDS27" s="44"/>
      <c r="QDT27" s="44"/>
      <c r="QDU27" s="44"/>
      <c r="QDV27" s="44"/>
      <c r="QDW27" s="44"/>
      <c r="QDX27" s="44"/>
      <c r="QDY27" s="44"/>
      <c r="QDZ27" s="44"/>
      <c r="QEA27" s="44"/>
      <c r="QEB27" s="44"/>
      <c r="QEC27" s="44"/>
      <c r="QED27" s="44"/>
      <c r="QEE27" s="44"/>
      <c r="QEF27" s="43"/>
      <c r="QEG27" s="44"/>
      <c r="QEH27" s="44"/>
      <c r="QEI27" s="44"/>
      <c r="QEJ27" s="44"/>
      <c r="QEK27" s="44"/>
      <c r="QEL27" s="44"/>
      <c r="QEM27" s="44"/>
      <c r="QEN27" s="44"/>
      <c r="QEO27" s="44"/>
      <c r="QEP27" s="44"/>
      <c r="QEQ27" s="44"/>
      <c r="QER27" s="44"/>
      <c r="QES27" s="44"/>
      <c r="QET27" s="44"/>
      <c r="QEU27" s="43"/>
      <c r="QEV27" s="44"/>
      <c r="QEW27" s="44"/>
      <c r="QEX27" s="44"/>
      <c r="QEY27" s="44"/>
      <c r="QEZ27" s="44"/>
      <c r="QFA27" s="44"/>
      <c r="QFB27" s="44"/>
      <c r="QFC27" s="44"/>
      <c r="QFD27" s="44"/>
      <c r="QFE27" s="44"/>
      <c r="QFF27" s="44"/>
      <c r="QFG27" s="44"/>
      <c r="QFH27" s="44"/>
      <c r="QFI27" s="44"/>
      <c r="QFJ27" s="43"/>
      <c r="QFK27" s="44"/>
      <c r="QFL27" s="44"/>
      <c r="QFM27" s="44"/>
      <c r="QFN27" s="44"/>
      <c r="QFO27" s="44"/>
      <c r="QFP27" s="44"/>
      <c r="QFQ27" s="44"/>
      <c r="QFR27" s="44"/>
      <c r="QFS27" s="44"/>
      <c r="QFT27" s="44"/>
      <c r="QFU27" s="44"/>
      <c r="QFV27" s="44"/>
      <c r="QFW27" s="44"/>
      <c r="QFX27" s="44"/>
      <c r="QFY27" s="43"/>
      <c r="QFZ27" s="44"/>
      <c r="QGA27" s="44"/>
      <c r="QGB27" s="44"/>
      <c r="QGC27" s="44"/>
      <c r="QGD27" s="44"/>
      <c r="QGE27" s="44"/>
      <c r="QGF27" s="44"/>
      <c r="QGG27" s="44"/>
      <c r="QGH27" s="44"/>
      <c r="QGI27" s="44"/>
      <c r="QGJ27" s="44"/>
      <c r="QGK27" s="44"/>
      <c r="QGL27" s="44"/>
      <c r="QGM27" s="44"/>
      <c r="QGN27" s="43"/>
      <c r="QGO27" s="44"/>
      <c r="QGP27" s="44"/>
      <c r="QGQ27" s="44"/>
      <c r="QGR27" s="44"/>
      <c r="QGS27" s="44"/>
      <c r="QGT27" s="44"/>
      <c r="QGU27" s="44"/>
      <c r="QGV27" s="44"/>
      <c r="QGW27" s="44"/>
      <c r="QGX27" s="44"/>
      <c r="QGY27" s="44"/>
      <c r="QGZ27" s="44"/>
      <c r="QHA27" s="44"/>
      <c r="QHB27" s="44"/>
      <c r="QHC27" s="43"/>
      <c r="QHD27" s="44"/>
      <c r="QHE27" s="44"/>
      <c r="QHF27" s="44"/>
      <c r="QHG27" s="44"/>
      <c r="QHH27" s="44"/>
      <c r="QHI27" s="44"/>
      <c r="QHJ27" s="44"/>
      <c r="QHK27" s="44"/>
      <c r="QHL27" s="44"/>
      <c r="QHM27" s="44"/>
      <c r="QHN27" s="44"/>
      <c r="QHO27" s="44"/>
      <c r="QHP27" s="44"/>
      <c r="QHQ27" s="44"/>
      <c r="QHR27" s="43"/>
      <c r="QHS27" s="44"/>
      <c r="QHT27" s="44"/>
      <c r="QHU27" s="44"/>
      <c r="QHV27" s="44"/>
      <c r="QHW27" s="44"/>
      <c r="QHX27" s="44"/>
      <c r="QHY27" s="44"/>
      <c r="QHZ27" s="44"/>
      <c r="QIA27" s="44"/>
      <c r="QIB27" s="44"/>
      <c r="QIC27" s="44"/>
      <c r="QID27" s="44"/>
      <c r="QIE27" s="44"/>
      <c r="QIF27" s="44"/>
      <c r="QIG27" s="43"/>
      <c r="QIH27" s="44"/>
      <c r="QII27" s="44"/>
      <c r="QIJ27" s="44"/>
      <c r="QIK27" s="44"/>
      <c r="QIL27" s="44"/>
      <c r="QIM27" s="44"/>
      <c r="QIN27" s="44"/>
      <c r="QIO27" s="44"/>
      <c r="QIP27" s="44"/>
      <c r="QIQ27" s="44"/>
      <c r="QIR27" s="44"/>
      <c r="QIS27" s="44"/>
      <c r="QIT27" s="44"/>
      <c r="QIU27" s="44"/>
      <c r="QIV27" s="43"/>
      <c r="QIW27" s="44"/>
      <c r="QIX27" s="44"/>
      <c r="QIY27" s="44"/>
      <c r="QIZ27" s="44"/>
      <c r="QJA27" s="44"/>
      <c r="QJB27" s="44"/>
      <c r="QJC27" s="44"/>
      <c r="QJD27" s="44"/>
      <c r="QJE27" s="44"/>
      <c r="QJF27" s="44"/>
      <c r="QJG27" s="44"/>
      <c r="QJH27" s="44"/>
      <c r="QJI27" s="44"/>
      <c r="QJJ27" s="44"/>
      <c r="QJK27" s="43"/>
      <c r="QJL27" s="44"/>
      <c r="QJM27" s="44"/>
      <c r="QJN27" s="44"/>
      <c r="QJO27" s="44"/>
      <c r="QJP27" s="44"/>
      <c r="QJQ27" s="44"/>
      <c r="QJR27" s="44"/>
      <c r="QJS27" s="44"/>
      <c r="QJT27" s="44"/>
      <c r="QJU27" s="44"/>
      <c r="QJV27" s="44"/>
      <c r="QJW27" s="44"/>
      <c r="QJX27" s="44"/>
      <c r="QJY27" s="44"/>
      <c r="QJZ27" s="43"/>
      <c r="QKA27" s="44"/>
      <c r="QKB27" s="44"/>
      <c r="QKC27" s="44"/>
      <c r="QKD27" s="44"/>
      <c r="QKE27" s="44"/>
      <c r="QKF27" s="44"/>
      <c r="QKG27" s="44"/>
      <c r="QKH27" s="44"/>
      <c r="QKI27" s="44"/>
      <c r="QKJ27" s="44"/>
      <c r="QKK27" s="44"/>
      <c r="QKL27" s="44"/>
      <c r="QKM27" s="44"/>
      <c r="QKN27" s="44"/>
      <c r="QKO27" s="43"/>
      <c r="QKP27" s="44"/>
      <c r="QKQ27" s="44"/>
      <c r="QKR27" s="44"/>
      <c r="QKS27" s="44"/>
      <c r="QKT27" s="44"/>
      <c r="QKU27" s="44"/>
      <c r="QKV27" s="44"/>
      <c r="QKW27" s="44"/>
      <c r="QKX27" s="44"/>
      <c r="QKY27" s="44"/>
      <c r="QKZ27" s="44"/>
      <c r="QLA27" s="44"/>
      <c r="QLB27" s="44"/>
      <c r="QLC27" s="44"/>
      <c r="QLD27" s="43"/>
      <c r="QLE27" s="44"/>
      <c r="QLF27" s="44"/>
      <c r="QLG27" s="44"/>
      <c r="QLH27" s="44"/>
      <c r="QLI27" s="44"/>
      <c r="QLJ27" s="44"/>
      <c r="QLK27" s="44"/>
      <c r="QLL27" s="44"/>
      <c r="QLM27" s="44"/>
      <c r="QLN27" s="44"/>
      <c r="QLO27" s="44"/>
      <c r="QLP27" s="44"/>
      <c r="QLQ27" s="44"/>
      <c r="QLR27" s="44"/>
      <c r="QLS27" s="43"/>
      <c r="QLT27" s="44"/>
      <c r="QLU27" s="44"/>
      <c r="QLV27" s="44"/>
      <c r="QLW27" s="44"/>
      <c r="QLX27" s="44"/>
      <c r="QLY27" s="44"/>
      <c r="QLZ27" s="44"/>
      <c r="QMA27" s="44"/>
      <c r="QMB27" s="44"/>
      <c r="QMC27" s="44"/>
      <c r="QMD27" s="44"/>
      <c r="QME27" s="44"/>
      <c r="QMF27" s="44"/>
      <c r="QMG27" s="44"/>
      <c r="QMH27" s="43"/>
      <c r="QMI27" s="44"/>
      <c r="QMJ27" s="44"/>
      <c r="QMK27" s="44"/>
      <c r="QML27" s="44"/>
      <c r="QMM27" s="44"/>
      <c r="QMN27" s="44"/>
      <c r="QMO27" s="44"/>
      <c r="QMP27" s="44"/>
      <c r="QMQ27" s="44"/>
      <c r="QMR27" s="44"/>
      <c r="QMS27" s="44"/>
      <c r="QMT27" s="44"/>
      <c r="QMU27" s="44"/>
      <c r="QMV27" s="44"/>
      <c r="QMW27" s="43"/>
      <c r="QMX27" s="44"/>
      <c r="QMY27" s="44"/>
      <c r="QMZ27" s="44"/>
      <c r="QNA27" s="44"/>
      <c r="QNB27" s="44"/>
      <c r="QNC27" s="44"/>
      <c r="QND27" s="44"/>
      <c r="QNE27" s="44"/>
      <c r="QNF27" s="44"/>
      <c r="QNG27" s="44"/>
      <c r="QNH27" s="44"/>
      <c r="QNI27" s="44"/>
      <c r="QNJ27" s="44"/>
      <c r="QNK27" s="44"/>
      <c r="QNL27" s="43"/>
      <c r="QNM27" s="44"/>
      <c r="QNN27" s="44"/>
      <c r="QNO27" s="44"/>
      <c r="QNP27" s="44"/>
      <c r="QNQ27" s="44"/>
      <c r="QNR27" s="44"/>
      <c r="QNS27" s="44"/>
      <c r="QNT27" s="44"/>
      <c r="QNU27" s="44"/>
      <c r="QNV27" s="44"/>
      <c r="QNW27" s="44"/>
      <c r="QNX27" s="44"/>
      <c r="QNY27" s="44"/>
      <c r="QNZ27" s="44"/>
      <c r="QOA27" s="43"/>
      <c r="QOB27" s="44"/>
      <c r="QOC27" s="44"/>
      <c r="QOD27" s="44"/>
      <c r="QOE27" s="44"/>
      <c r="QOF27" s="44"/>
      <c r="QOG27" s="44"/>
      <c r="QOH27" s="44"/>
      <c r="QOI27" s="44"/>
      <c r="QOJ27" s="44"/>
      <c r="QOK27" s="44"/>
      <c r="QOL27" s="44"/>
      <c r="QOM27" s="44"/>
      <c r="QON27" s="44"/>
      <c r="QOO27" s="44"/>
      <c r="QOP27" s="43"/>
      <c r="QOQ27" s="44"/>
      <c r="QOR27" s="44"/>
      <c r="QOS27" s="44"/>
      <c r="QOT27" s="44"/>
      <c r="QOU27" s="44"/>
      <c r="QOV27" s="44"/>
      <c r="QOW27" s="44"/>
      <c r="QOX27" s="44"/>
      <c r="QOY27" s="44"/>
      <c r="QOZ27" s="44"/>
      <c r="QPA27" s="44"/>
      <c r="QPB27" s="44"/>
      <c r="QPC27" s="44"/>
      <c r="QPD27" s="44"/>
      <c r="QPE27" s="43"/>
      <c r="QPF27" s="44"/>
      <c r="QPG27" s="44"/>
      <c r="QPH27" s="44"/>
      <c r="QPI27" s="44"/>
      <c r="QPJ27" s="44"/>
      <c r="QPK27" s="44"/>
      <c r="QPL27" s="44"/>
      <c r="QPM27" s="44"/>
      <c r="QPN27" s="44"/>
      <c r="QPO27" s="44"/>
      <c r="QPP27" s="44"/>
      <c r="QPQ27" s="44"/>
      <c r="QPR27" s="44"/>
      <c r="QPS27" s="44"/>
      <c r="QPT27" s="43"/>
      <c r="QPU27" s="44"/>
      <c r="QPV27" s="44"/>
      <c r="QPW27" s="44"/>
      <c r="QPX27" s="44"/>
      <c r="QPY27" s="44"/>
      <c r="QPZ27" s="44"/>
      <c r="QQA27" s="44"/>
      <c r="QQB27" s="44"/>
      <c r="QQC27" s="44"/>
      <c r="QQD27" s="44"/>
      <c r="QQE27" s="44"/>
      <c r="QQF27" s="44"/>
      <c r="QQG27" s="44"/>
      <c r="QQH27" s="44"/>
      <c r="QQI27" s="43"/>
      <c r="QQJ27" s="44"/>
      <c r="QQK27" s="44"/>
      <c r="QQL27" s="44"/>
      <c r="QQM27" s="44"/>
      <c r="QQN27" s="44"/>
      <c r="QQO27" s="44"/>
      <c r="QQP27" s="44"/>
      <c r="QQQ27" s="44"/>
      <c r="QQR27" s="44"/>
      <c r="QQS27" s="44"/>
      <c r="QQT27" s="44"/>
      <c r="QQU27" s="44"/>
      <c r="QQV27" s="44"/>
      <c r="QQW27" s="44"/>
      <c r="QQX27" s="43"/>
      <c r="QQY27" s="44"/>
      <c r="QQZ27" s="44"/>
      <c r="QRA27" s="44"/>
      <c r="QRB27" s="44"/>
      <c r="QRC27" s="44"/>
      <c r="QRD27" s="44"/>
      <c r="QRE27" s="44"/>
      <c r="QRF27" s="44"/>
      <c r="QRG27" s="44"/>
      <c r="QRH27" s="44"/>
      <c r="QRI27" s="44"/>
      <c r="QRJ27" s="44"/>
      <c r="QRK27" s="44"/>
      <c r="QRL27" s="44"/>
      <c r="QRM27" s="43"/>
      <c r="QRN27" s="44"/>
      <c r="QRO27" s="44"/>
      <c r="QRP27" s="44"/>
      <c r="QRQ27" s="44"/>
      <c r="QRR27" s="44"/>
      <c r="QRS27" s="44"/>
      <c r="QRT27" s="44"/>
      <c r="QRU27" s="44"/>
      <c r="QRV27" s="44"/>
      <c r="QRW27" s="44"/>
      <c r="QRX27" s="44"/>
      <c r="QRY27" s="44"/>
      <c r="QRZ27" s="44"/>
      <c r="QSA27" s="44"/>
      <c r="QSB27" s="43"/>
      <c r="QSC27" s="44"/>
      <c r="QSD27" s="44"/>
      <c r="QSE27" s="44"/>
      <c r="QSF27" s="44"/>
      <c r="QSG27" s="44"/>
      <c r="QSH27" s="44"/>
      <c r="QSI27" s="44"/>
      <c r="QSJ27" s="44"/>
      <c r="QSK27" s="44"/>
      <c r="QSL27" s="44"/>
      <c r="QSM27" s="44"/>
      <c r="QSN27" s="44"/>
      <c r="QSO27" s="44"/>
      <c r="QSP27" s="44"/>
      <c r="QSQ27" s="43"/>
      <c r="QSR27" s="44"/>
      <c r="QSS27" s="44"/>
      <c r="QST27" s="44"/>
      <c r="QSU27" s="44"/>
      <c r="QSV27" s="44"/>
      <c r="QSW27" s="44"/>
      <c r="QSX27" s="44"/>
      <c r="QSY27" s="44"/>
      <c r="QSZ27" s="44"/>
      <c r="QTA27" s="44"/>
      <c r="QTB27" s="44"/>
      <c r="QTC27" s="44"/>
      <c r="QTD27" s="44"/>
      <c r="QTE27" s="44"/>
      <c r="QTF27" s="43"/>
      <c r="QTG27" s="44"/>
      <c r="QTH27" s="44"/>
      <c r="QTI27" s="44"/>
      <c r="QTJ27" s="44"/>
      <c r="QTK27" s="44"/>
      <c r="QTL27" s="44"/>
      <c r="QTM27" s="44"/>
      <c r="QTN27" s="44"/>
      <c r="QTO27" s="44"/>
      <c r="QTP27" s="44"/>
      <c r="QTQ27" s="44"/>
      <c r="QTR27" s="44"/>
      <c r="QTS27" s="44"/>
      <c r="QTT27" s="44"/>
      <c r="QTU27" s="43"/>
      <c r="QTV27" s="44"/>
      <c r="QTW27" s="44"/>
      <c r="QTX27" s="44"/>
      <c r="QTY27" s="44"/>
      <c r="QTZ27" s="44"/>
      <c r="QUA27" s="44"/>
      <c r="QUB27" s="44"/>
      <c r="QUC27" s="44"/>
      <c r="QUD27" s="44"/>
      <c r="QUE27" s="44"/>
      <c r="QUF27" s="44"/>
      <c r="QUG27" s="44"/>
      <c r="QUH27" s="44"/>
      <c r="QUI27" s="44"/>
      <c r="QUJ27" s="43"/>
      <c r="QUK27" s="44"/>
      <c r="QUL27" s="44"/>
      <c r="QUM27" s="44"/>
      <c r="QUN27" s="44"/>
      <c r="QUO27" s="44"/>
      <c r="QUP27" s="44"/>
      <c r="QUQ27" s="44"/>
      <c r="QUR27" s="44"/>
      <c r="QUS27" s="44"/>
      <c r="QUT27" s="44"/>
      <c r="QUU27" s="44"/>
      <c r="QUV27" s="44"/>
      <c r="QUW27" s="44"/>
      <c r="QUX27" s="44"/>
      <c r="QUY27" s="43"/>
      <c r="QUZ27" s="44"/>
      <c r="QVA27" s="44"/>
      <c r="QVB27" s="44"/>
      <c r="QVC27" s="44"/>
      <c r="QVD27" s="44"/>
      <c r="QVE27" s="44"/>
      <c r="QVF27" s="44"/>
      <c r="QVG27" s="44"/>
      <c r="QVH27" s="44"/>
      <c r="QVI27" s="44"/>
      <c r="QVJ27" s="44"/>
      <c r="QVK27" s="44"/>
      <c r="QVL27" s="44"/>
      <c r="QVM27" s="44"/>
      <c r="QVN27" s="43"/>
      <c r="QVO27" s="44"/>
      <c r="QVP27" s="44"/>
      <c r="QVQ27" s="44"/>
      <c r="QVR27" s="44"/>
      <c r="QVS27" s="44"/>
      <c r="QVT27" s="44"/>
      <c r="QVU27" s="44"/>
      <c r="QVV27" s="44"/>
      <c r="QVW27" s="44"/>
      <c r="QVX27" s="44"/>
      <c r="QVY27" s="44"/>
      <c r="QVZ27" s="44"/>
      <c r="QWA27" s="44"/>
      <c r="QWB27" s="44"/>
      <c r="QWC27" s="43"/>
      <c r="QWD27" s="44"/>
      <c r="QWE27" s="44"/>
      <c r="QWF27" s="44"/>
      <c r="QWG27" s="44"/>
      <c r="QWH27" s="44"/>
      <c r="QWI27" s="44"/>
      <c r="QWJ27" s="44"/>
      <c r="QWK27" s="44"/>
      <c r="QWL27" s="44"/>
      <c r="QWM27" s="44"/>
      <c r="QWN27" s="44"/>
      <c r="QWO27" s="44"/>
      <c r="QWP27" s="44"/>
      <c r="QWQ27" s="44"/>
      <c r="QWR27" s="43"/>
      <c r="QWS27" s="44"/>
      <c r="QWT27" s="44"/>
      <c r="QWU27" s="44"/>
      <c r="QWV27" s="44"/>
      <c r="QWW27" s="44"/>
      <c r="QWX27" s="44"/>
      <c r="QWY27" s="44"/>
      <c r="QWZ27" s="44"/>
      <c r="QXA27" s="44"/>
      <c r="QXB27" s="44"/>
      <c r="QXC27" s="44"/>
      <c r="QXD27" s="44"/>
      <c r="QXE27" s="44"/>
      <c r="QXF27" s="44"/>
      <c r="QXG27" s="43"/>
      <c r="QXH27" s="44"/>
      <c r="QXI27" s="44"/>
      <c r="QXJ27" s="44"/>
      <c r="QXK27" s="44"/>
      <c r="QXL27" s="44"/>
      <c r="QXM27" s="44"/>
      <c r="QXN27" s="44"/>
      <c r="QXO27" s="44"/>
      <c r="QXP27" s="44"/>
      <c r="QXQ27" s="44"/>
      <c r="QXR27" s="44"/>
      <c r="QXS27" s="44"/>
      <c r="QXT27" s="44"/>
      <c r="QXU27" s="44"/>
      <c r="QXV27" s="43"/>
      <c r="QXW27" s="44"/>
      <c r="QXX27" s="44"/>
      <c r="QXY27" s="44"/>
      <c r="QXZ27" s="44"/>
      <c r="QYA27" s="44"/>
      <c r="QYB27" s="44"/>
      <c r="QYC27" s="44"/>
      <c r="QYD27" s="44"/>
      <c r="QYE27" s="44"/>
      <c r="QYF27" s="44"/>
      <c r="QYG27" s="44"/>
      <c r="QYH27" s="44"/>
      <c r="QYI27" s="44"/>
      <c r="QYJ27" s="44"/>
      <c r="QYK27" s="43"/>
      <c r="QYL27" s="44"/>
      <c r="QYM27" s="44"/>
      <c r="QYN27" s="44"/>
      <c r="QYO27" s="44"/>
      <c r="QYP27" s="44"/>
      <c r="QYQ27" s="44"/>
      <c r="QYR27" s="44"/>
      <c r="QYS27" s="44"/>
      <c r="QYT27" s="44"/>
      <c r="QYU27" s="44"/>
      <c r="QYV27" s="44"/>
      <c r="QYW27" s="44"/>
      <c r="QYX27" s="44"/>
      <c r="QYY27" s="44"/>
      <c r="QYZ27" s="43"/>
      <c r="QZA27" s="44"/>
      <c r="QZB27" s="44"/>
      <c r="QZC27" s="44"/>
      <c r="QZD27" s="44"/>
      <c r="QZE27" s="44"/>
      <c r="QZF27" s="44"/>
      <c r="QZG27" s="44"/>
      <c r="QZH27" s="44"/>
      <c r="QZI27" s="44"/>
      <c r="QZJ27" s="44"/>
      <c r="QZK27" s="44"/>
      <c r="QZL27" s="44"/>
      <c r="QZM27" s="44"/>
      <c r="QZN27" s="44"/>
      <c r="QZO27" s="43"/>
      <c r="QZP27" s="44"/>
      <c r="QZQ27" s="44"/>
      <c r="QZR27" s="44"/>
      <c r="QZS27" s="44"/>
      <c r="QZT27" s="44"/>
      <c r="QZU27" s="44"/>
      <c r="QZV27" s="44"/>
      <c r="QZW27" s="44"/>
      <c r="QZX27" s="44"/>
      <c r="QZY27" s="44"/>
      <c r="QZZ27" s="44"/>
      <c r="RAA27" s="44"/>
      <c r="RAB27" s="44"/>
      <c r="RAC27" s="44"/>
      <c r="RAD27" s="43"/>
      <c r="RAE27" s="44"/>
      <c r="RAF27" s="44"/>
      <c r="RAG27" s="44"/>
      <c r="RAH27" s="44"/>
      <c r="RAI27" s="44"/>
      <c r="RAJ27" s="44"/>
      <c r="RAK27" s="44"/>
      <c r="RAL27" s="44"/>
      <c r="RAM27" s="44"/>
      <c r="RAN27" s="44"/>
      <c r="RAO27" s="44"/>
      <c r="RAP27" s="44"/>
      <c r="RAQ27" s="44"/>
      <c r="RAR27" s="44"/>
      <c r="RAS27" s="43"/>
      <c r="RAT27" s="44"/>
      <c r="RAU27" s="44"/>
      <c r="RAV27" s="44"/>
      <c r="RAW27" s="44"/>
      <c r="RAX27" s="44"/>
      <c r="RAY27" s="44"/>
      <c r="RAZ27" s="44"/>
      <c r="RBA27" s="44"/>
      <c r="RBB27" s="44"/>
      <c r="RBC27" s="44"/>
      <c r="RBD27" s="44"/>
      <c r="RBE27" s="44"/>
      <c r="RBF27" s="44"/>
      <c r="RBG27" s="44"/>
      <c r="RBH27" s="43"/>
      <c r="RBI27" s="44"/>
      <c r="RBJ27" s="44"/>
      <c r="RBK27" s="44"/>
      <c r="RBL27" s="44"/>
      <c r="RBM27" s="44"/>
      <c r="RBN27" s="44"/>
      <c r="RBO27" s="44"/>
      <c r="RBP27" s="44"/>
      <c r="RBQ27" s="44"/>
      <c r="RBR27" s="44"/>
      <c r="RBS27" s="44"/>
      <c r="RBT27" s="44"/>
      <c r="RBU27" s="44"/>
      <c r="RBV27" s="44"/>
      <c r="RBW27" s="43"/>
      <c r="RBX27" s="44"/>
      <c r="RBY27" s="44"/>
      <c r="RBZ27" s="44"/>
      <c r="RCA27" s="44"/>
      <c r="RCB27" s="44"/>
      <c r="RCC27" s="44"/>
      <c r="RCD27" s="44"/>
      <c r="RCE27" s="44"/>
      <c r="RCF27" s="44"/>
      <c r="RCG27" s="44"/>
      <c r="RCH27" s="44"/>
      <c r="RCI27" s="44"/>
      <c r="RCJ27" s="44"/>
      <c r="RCK27" s="44"/>
      <c r="RCL27" s="43"/>
      <c r="RCM27" s="44"/>
      <c r="RCN27" s="44"/>
      <c r="RCO27" s="44"/>
      <c r="RCP27" s="44"/>
      <c r="RCQ27" s="44"/>
      <c r="RCR27" s="44"/>
      <c r="RCS27" s="44"/>
      <c r="RCT27" s="44"/>
      <c r="RCU27" s="44"/>
      <c r="RCV27" s="44"/>
      <c r="RCW27" s="44"/>
      <c r="RCX27" s="44"/>
      <c r="RCY27" s="44"/>
      <c r="RCZ27" s="44"/>
      <c r="RDA27" s="43"/>
      <c r="RDB27" s="44"/>
      <c r="RDC27" s="44"/>
      <c r="RDD27" s="44"/>
      <c r="RDE27" s="44"/>
      <c r="RDF27" s="44"/>
      <c r="RDG27" s="44"/>
      <c r="RDH27" s="44"/>
      <c r="RDI27" s="44"/>
      <c r="RDJ27" s="44"/>
      <c r="RDK27" s="44"/>
      <c r="RDL27" s="44"/>
      <c r="RDM27" s="44"/>
      <c r="RDN27" s="44"/>
      <c r="RDO27" s="44"/>
      <c r="RDP27" s="43"/>
      <c r="RDQ27" s="44"/>
      <c r="RDR27" s="44"/>
      <c r="RDS27" s="44"/>
      <c r="RDT27" s="44"/>
      <c r="RDU27" s="44"/>
      <c r="RDV27" s="44"/>
      <c r="RDW27" s="44"/>
      <c r="RDX27" s="44"/>
      <c r="RDY27" s="44"/>
      <c r="RDZ27" s="44"/>
      <c r="REA27" s="44"/>
      <c r="REB27" s="44"/>
      <c r="REC27" s="44"/>
      <c r="RED27" s="44"/>
      <c r="REE27" s="43"/>
      <c r="REF27" s="44"/>
      <c r="REG27" s="44"/>
      <c r="REH27" s="44"/>
      <c r="REI27" s="44"/>
      <c r="REJ27" s="44"/>
      <c r="REK27" s="44"/>
      <c r="REL27" s="44"/>
      <c r="REM27" s="44"/>
      <c r="REN27" s="44"/>
      <c r="REO27" s="44"/>
      <c r="REP27" s="44"/>
      <c r="REQ27" s="44"/>
      <c r="RER27" s="44"/>
      <c r="RES27" s="44"/>
      <c r="RET27" s="43"/>
      <c r="REU27" s="44"/>
      <c r="REV27" s="44"/>
      <c r="REW27" s="44"/>
      <c r="REX27" s="44"/>
      <c r="REY27" s="44"/>
      <c r="REZ27" s="44"/>
      <c r="RFA27" s="44"/>
      <c r="RFB27" s="44"/>
      <c r="RFC27" s="44"/>
      <c r="RFD27" s="44"/>
      <c r="RFE27" s="44"/>
      <c r="RFF27" s="44"/>
      <c r="RFG27" s="44"/>
      <c r="RFH27" s="44"/>
      <c r="RFI27" s="43"/>
      <c r="RFJ27" s="44"/>
      <c r="RFK27" s="44"/>
      <c r="RFL27" s="44"/>
      <c r="RFM27" s="44"/>
      <c r="RFN27" s="44"/>
      <c r="RFO27" s="44"/>
      <c r="RFP27" s="44"/>
      <c r="RFQ27" s="44"/>
      <c r="RFR27" s="44"/>
      <c r="RFS27" s="44"/>
      <c r="RFT27" s="44"/>
      <c r="RFU27" s="44"/>
      <c r="RFV27" s="44"/>
      <c r="RFW27" s="44"/>
      <c r="RFX27" s="43"/>
      <c r="RFY27" s="44"/>
      <c r="RFZ27" s="44"/>
      <c r="RGA27" s="44"/>
      <c r="RGB27" s="44"/>
      <c r="RGC27" s="44"/>
      <c r="RGD27" s="44"/>
      <c r="RGE27" s="44"/>
      <c r="RGF27" s="44"/>
      <c r="RGG27" s="44"/>
      <c r="RGH27" s="44"/>
      <c r="RGI27" s="44"/>
      <c r="RGJ27" s="44"/>
      <c r="RGK27" s="44"/>
      <c r="RGL27" s="44"/>
      <c r="RGM27" s="43"/>
      <c r="RGN27" s="44"/>
      <c r="RGO27" s="44"/>
      <c r="RGP27" s="44"/>
      <c r="RGQ27" s="44"/>
      <c r="RGR27" s="44"/>
      <c r="RGS27" s="44"/>
      <c r="RGT27" s="44"/>
      <c r="RGU27" s="44"/>
      <c r="RGV27" s="44"/>
      <c r="RGW27" s="44"/>
      <c r="RGX27" s="44"/>
      <c r="RGY27" s="44"/>
      <c r="RGZ27" s="44"/>
      <c r="RHA27" s="44"/>
      <c r="RHB27" s="43"/>
      <c r="RHC27" s="44"/>
      <c r="RHD27" s="44"/>
      <c r="RHE27" s="44"/>
      <c r="RHF27" s="44"/>
      <c r="RHG27" s="44"/>
      <c r="RHH27" s="44"/>
      <c r="RHI27" s="44"/>
      <c r="RHJ27" s="44"/>
      <c r="RHK27" s="44"/>
      <c r="RHL27" s="44"/>
      <c r="RHM27" s="44"/>
      <c r="RHN27" s="44"/>
      <c r="RHO27" s="44"/>
      <c r="RHP27" s="44"/>
      <c r="RHQ27" s="43"/>
      <c r="RHR27" s="44"/>
      <c r="RHS27" s="44"/>
      <c r="RHT27" s="44"/>
      <c r="RHU27" s="44"/>
      <c r="RHV27" s="44"/>
      <c r="RHW27" s="44"/>
      <c r="RHX27" s="44"/>
      <c r="RHY27" s="44"/>
      <c r="RHZ27" s="44"/>
      <c r="RIA27" s="44"/>
      <c r="RIB27" s="44"/>
      <c r="RIC27" s="44"/>
      <c r="RID27" s="44"/>
      <c r="RIE27" s="44"/>
      <c r="RIF27" s="43"/>
      <c r="RIG27" s="44"/>
      <c r="RIH27" s="44"/>
      <c r="RII27" s="44"/>
      <c r="RIJ27" s="44"/>
      <c r="RIK27" s="44"/>
      <c r="RIL27" s="44"/>
      <c r="RIM27" s="44"/>
      <c r="RIN27" s="44"/>
      <c r="RIO27" s="44"/>
      <c r="RIP27" s="44"/>
      <c r="RIQ27" s="44"/>
      <c r="RIR27" s="44"/>
      <c r="RIS27" s="44"/>
      <c r="RIT27" s="44"/>
      <c r="RIU27" s="43"/>
      <c r="RIV27" s="44"/>
      <c r="RIW27" s="44"/>
      <c r="RIX27" s="44"/>
      <c r="RIY27" s="44"/>
      <c r="RIZ27" s="44"/>
      <c r="RJA27" s="44"/>
      <c r="RJB27" s="44"/>
      <c r="RJC27" s="44"/>
      <c r="RJD27" s="44"/>
      <c r="RJE27" s="44"/>
      <c r="RJF27" s="44"/>
      <c r="RJG27" s="44"/>
      <c r="RJH27" s="44"/>
      <c r="RJI27" s="44"/>
      <c r="RJJ27" s="43"/>
      <c r="RJK27" s="44"/>
      <c r="RJL27" s="44"/>
      <c r="RJM27" s="44"/>
      <c r="RJN27" s="44"/>
      <c r="RJO27" s="44"/>
      <c r="RJP27" s="44"/>
      <c r="RJQ27" s="44"/>
      <c r="RJR27" s="44"/>
      <c r="RJS27" s="44"/>
      <c r="RJT27" s="44"/>
      <c r="RJU27" s="44"/>
      <c r="RJV27" s="44"/>
      <c r="RJW27" s="44"/>
      <c r="RJX27" s="44"/>
      <c r="RJY27" s="43"/>
      <c r="RJZ27" s="44"/>
      <c r="RKA27" s="44"/>
      <c r="RKB27" s="44"/>
      <c r="RKC27" s="44"/>
      <c r="RKD27" s="44"/>
      <c r="RKE27" s="44"/>
      <c r="RKF27" s="44"/>
      <c r="RKG27" s="44"/>
      <c r="RKH27" s="44"/>
      <c r="RKI27" s="44"/>
      <c r="RKJ27" s="44"/>
      <c r="RKK27" s="44"/>
      <c r="RKL27" s="44"/>
      <c r="RKM27" s="44"/>
      <c r="RKN27" s="43"/>
      <c r="RKO27" s="44"/>
      <c r="RKP27" s="44"/>
      <c r="RKQ27" s="44"/>
      <c r="RKR27" s="44"/>
      <c r="RKS27" s="44"/>
      <c r="RKT27" s="44"/>
      <c r="RKU27" s="44"/>
      <c r="RKV27" s="44"/>
      <c r="RKW27" s="44"/>
      <c r="RKX27" s="44"/>
      <c r="RKY27" s="44"/>
      <c r="RKZ27" s="44"/>
      <c r="RLA27" s="44"/>
      <c r="RLB27" s="44"/>
      <c r="RLC27" s="43"/>
      <c r="RLD27" s="44"/>
      <c r="RLE27" s="44"/>
      <c r="RLF27" s="44"/>
      <c r="RLG27" s="44"/>
      <c r="RLH27" s="44"/>
      <c r="RLI27" s="44"/>
      <c r="RLJ27" s="44"/>
      <c r="RLK27" s="44"/>
      <c r="RLL27" s="44"/>
      <c r="RLM27" s="44"/>
      <c r="RLN27" s="44"/>
      <c r="RLO27" s="44"/>
      <c r="RLP27" s="44"/>
      <c r="RLQ27" s="44"/>
      <c r="RLR27" s="43"/>
      <c r="RLS27" s="44"/>
      <c r="RLT27" s="44"/>
      <c r="RLU27" s="44"/>
      <c r="RLV27" s="44"/>
      <c r="RLW27" s="44"/>
      <c r="RLX27" s="44"/>
      <c r="RLY27" s="44"/>
      <c r="RLZ27" s="44"/>
      <c r="RMA27" s="44"/>
      <c r="RMB27" s="44"/>
      <c r="RMC27" s="44"/>
      <c r="RMD27" s="44"/>
      <c r="RME27" s="44"/>
      <c r="RMF27" s="44"/>
      <c r="RMG27" s="43"/>
      <c r="RMH27" s="44"/>
      <c r="RMI27" s="44"/>
      <c r="RMJ27" s="44"/>
      <c r="RMK27" s="44"/>
      <c r="RML27" s="44"/>
      <c r="RMM27" s="44"/>
      <c r="RMN27" s="44"/>
      <c r="RMO27" s="44"/>
      <c r="RMP27" s="44"/>
      <c r="RMQ27" s="44"/>
      <c r="RMR27" s="44"/>
      <c r="RMS27" s="44"/>
      <c r="RMT27" s="44"/>
      <c r="RMU27" s="44"/>
      <c r="RMV27" s="43"/>
      <c r="RMW27" s="44"/>
      <c r="RMX27" s="44"/>
      <c r="RMY27" s="44"/>
      <c r="RMZ27" s="44"/>
      <c r="RNA27" s="44"/>
      <c r="RNB27" s="44"/>
      <c r="RNC27" s="44"/>
      <c r="RND27" s="44"/>
      <c r="RNE27" s="44"/>
      <c r="RNF27" s="44"/>
      <c r="RNG27" s="44"/>
      <c r="RNH27" s="44"/>
      <c r="RNI27" s="44"/>
      <c r="RNJ27" s="44"/>
      <c r="RNK27" s="43"/>
      <c r="RNL27" s="44"/>
      <c r="RNM27" s="44"/>
      <c r="RNN27" s="44"/>
      <c r="RNO27" s="44"/>
      <c r="RNP27" s="44"/>
      <c r="RNQ27" s="44"/>
      <c r="RNR27" s="44"/>
      <c r="RNS27" s="44"/>
      <c r="RNT27" s="44"/>
      <c r="RNU27" s="44"/>
      <c r="RNV27" s="44"/>
      <c r="RNW27" s="44"/>
      <c r="RNX27" s="44"/>
      <c r="RNY27" s="44"/>
      <c r="RNZ27" s="43"/>
      <c r="ROA27" s="44"/>
      <c r="ROB27" s="44"/>
      <c r="ROC27" s="44"/>
      <c r="ROD27" s="44"/>
      <c r="ROE27" s="44"/>
      <c r="ROF27" s="44"/>
      <c r="ROG27" s="44"/>
      <c r="ROH27" s="44"/>
      <c r="ROI27" s="44"/>
      <c r="ROJ27" s="44"/>
      <c r="ROK27" s="44"/>
      <c r="ROL27" s="44"/>
      <c r="ROM27" s="44"/>
      <c r="RON27" s="44"/>
      <c r="ROO27" s="43"/>
      <c r="ROP27" s="44"/>
      <c r="ROQ27" s="44"/>
      <c r="ROR27" s="44"/>
      <c r="ROS27" s="44"/>
      <c r="ROT27" s="44"/>
      <c r="ROU27" s="44"/>
      <c r="ROV27" s="44"/>
      <c r="ROW27" s="44"/>
      <c r="ROX27" s="44"/>
      <c r="ROY27" s="44"/>
      <c r="ROZ27" s="44"/>
      <c r="RPA27" s="44"/>
      <c r="RPB27" s="44"/>
      <c r="RPC27" s="44"/>
      <c r="RPD27" s="43"/>
      <c r="RPE27" s="44"/>
      <c r="RPF27" s="44"/>
      <c r="RPG27" s="44"/>
      <c r="RPH27" s="44"/>
      <c r="RPI27" s="44"/>
      <c r="RPJ27" s="44"/>
      <c r="RPK27" s="44"/>
      <c r="RPL27" s="44"/>
      <c r="RPM27" s="44"/>
      <c r="RPN27" s="44"/>
      <c r="RPO27" s="44"/>
      <c r="RPP27" s="44"/>
      <c r="RPQ27" s="44"/>
      <c r="RPR27" s="44"/>
      <c r="RPS27" s="43"/>
      <c r="RPT27" s="44"/>
      <c r="RPU27" s="44"/>
      <c r="RPV27" s="44"/>
      <c r="RPW27" s="44"/>
      <c r="RPX27" s="44"/>
      <c r="RPY27" s="44"/>
      <c r="RPZ27" s="44"/>
      <c r="RQA27" s="44"/>
      <c r="RQB27" s="44"/>
      <c r="RQC27" s="44"/>
      <c r="RQD27" s="44"/>
      <c r="RQE27" s="44"/>
      <c r="RQF27" s="44"/>
      <c r="RQG27" s="44"/>
      <c r="RQH27" s="43"/>
      <c r="RQI27" s="44"/>
      <c r="RQJ27" s="44"/>
      <c r="RQK27" s="44"/>
      <c r="RQL27" s="44"/>
      <c r="RQM27" s="44"/>
      <c r="RQN27" s="44"/>
      <c r="RQO27" s="44"/>
      <c r="RQP27" s="44"/>
      <c r="RQQ27" s="44"/>
      <c r="RQR27" s="44"/>
      <c r="RQS27" s="44"/>
      <c r="RQT27" s="44"/>
      <c r="RQU27" s="44"/>
      <c r="RQV27" s="44"/>
      <c r="RQW27" s="43"/>
      <c r="RQX27" s="44"/>
      <c r="RQY27" s="44"/>
      <c r="RQZ27" s="44"/>
      <c r="RRA27" s="44"/>
      <c r="RRB27" s="44"/>
      <c r="RRC27" s="44"/>
      <c r="RRD27" s="44"/>
      <c r="RRE27" s="44"/>
      <c r="RRF27" s="44"/>
      <c r="RRG27" s="44"/>
      <c r="RRH27" s="44"/>
      <c r="RRI27" s="44"/>
      <c r="RRJ27" s="44"/>
      <c r="RRK27" s="44"/>
      <c r="RRL27" s="43"/>
      <c r="RRM27" s="44"/>
      <c r="RRN27" s="44"/>
      <c r="RRO27" s="44"/>
      <c r="RRP27" s="44"/>
      <c r="RRQ27" s="44"/>
      <c r="RRR27" s="44"/>
      <c r="RRS27" s="44"/>
      <c r="RRT27" s="44"/>
      <c r="RRU27" s="44"/>
      <c r="RRV27" s="44"/>
      <c r="RRW27" s="44"/>
      <c r="RRX27" s="44"/>
      <c r="RRY27" s="44"/>
      <c r="RRZ27" s="44"/>
      <c r="RSA27" s="43"/>
      <c r="RSB27" s="44"/>
      <c r="RSC27" s="44"/>
      <c r="RSD27" s="44"/>
      <c r="RSE27" s="44"/>
      <c r="RSF27" s="44"/>
      <c r="RSG27" s="44"/>
      <c r="RSH27" s="44"/>
      <c r="RSI27" s="44"/>
      <c r="RSJ27" s="44"/>
      <c r="RSK27" s="44"/>
      <c r="RSL27" s="44"/>
      <c r="RSM27" s="44"/>
      <c r="RSN27" s="44"/>
      <c r="RSO27" s="44"/>
      <c r="RSP27" s="43"/>
      <c r="RSQ27" s="44"/>
      <c r="RSR27" s="44"/>
      <c r="RSS27" s="44"/>
      <c r="RST27" s="44"/>
      <c r="RSU27" s="44"/>
      <c r="RSV27" s="44"/>
      <c r="RSW27" s="44"/>
      <c r="RSX27" s="44"/>
      <c r="RSY27" s="44"/>
      <c r="RSZ27" s="44"/>
      <c r="RTA27" s="44"/>
      <c r="RTB27" s="44"/>
      <c r="RTC27" s="44"/>
      <c r="RTD27" s="44"/>
      <c r="RTE27" s="43"/>
      <c r="RTF27" s="44"/>
      <c r="RTG27" s="44"/>
      <c r="RTH27" s="44"/>
      <c r="RTI27" s="44"/>
      <c r="RTJ27" s="44"/>
      <c r="RTK27" s="44"/>
      <c r="RTL27" s="44"/>
      <c r="RTM27" s="44"/>
      <c r="RTN27" s="44"/>
      <c r="RTO27" s="44"/>
      <c r="RTP27" s="44"/>
      <c r="RTQ27" s="44"/>
      <c r="RTR27" s="44"/>
      <c r="RTS27" s="44"/>
      <c r="RTT27" s="43"/>
      <c r="RTU27" s="44"/>
      <c r="RTV27" s="44"/>
      <c r="RTW27" s="44"/>
      <c r="RTX27" s="44"/>
      <c r="RTY27" s="44"/>
      <c r="RTZ27" s="44"/>
      <c r="RUA27" s="44"/>
      <c r="RUB27" s="44"/>
      <c r="RUC27" s="44"/>
      <c r="RUD27" s="44"/>
      <c r="RUE27" s="44"/>
      <c r="RUF27" s="44"/>
      <c r="RUG27" s="44"/>
      <c r="RUH27" s="44"/>
      <c r="RUI27" s="43"/>
      <c r="RUJ27" s="44"/>
      <c r="RUK27" s="44"/>
      <c r="RUL27" s="44"/>
      <c r="RUM27" s="44"/>
      <c r="RUN27" s="44"/>
      <c r="RUO27" s="44"/>
      <c r="RUP27" s="44"/>
      <c r="RUQ27" s="44"/>
      <c r="RUR27" s="44"/>
      <c r="RUS27" s="44"/>
      <c r="RUT27" s="44"/>
      <c r="RUU27" s="44"/>
      <c r="RUV27" s="44"/>
      <c r="RUW27" s="44"/>
      <c r="RUX27" s="43"/>
      <c r="RUY27" s="44"/>
      <c r="RUZ27" s="44"/>
      <c r="RVA27" s="44"/>
      <c r="RVB27" s="44"/>
      <c r="RVC27" s="44"/>
      <c r="RVD27" s="44"/>
      <c r="RVE27" s="44"/>
      <c r="RVF27" s="44"/>
      <c r="RVG27" s="44"/>
      <c r="RVH27" s="44"/>
      <c r="RVI27" s="44"/>
      <c r="RVJ27" s="44"/>
      <c r="RVK27" s="44"/>
      <c r="RVL27" s="44"/>
      <c r="RVM27" s="43"/>
      <c r="RVN27" s="44"/>
      <c r="RVO27" s="44"/>
      <c r="RVP27" s="44"/>
      <c r="RVQ27" s="44"/>
      <c r="RVR27" s="44"/>
      <c r="RVS27" s="44"/>
      <c r="RVT27" s="44"/>
      <c r="RVU27" s="44"/>
      <c r="RVV27" s="44"/>
      <c r="RVW27" s="44"/>
      <c r="RVX27" s="44"/>
      <c r="RVY27" s="44"/>
      <c r="RVZ27" s="44"/>
      <c r="RWA27" s="44"/>
      <c r="RWB27" s="43"/>
      <c r="RWC27" s="44"/>
      <c r="RWD27" s="44"/>
      <c r="RWE27" s="44"/>
      <c r="RWF27" s="44"/>
      <c r="RWG27" s="44"/>
      <c r="RWH27" s="44"/>
      <c r="RWI27" s="44"/>
      <c r="RWJ27" s="44"/>
      <c r="RWK27" s="44"/>
      <c r="RWL27" s="44"/>
      <c r="RWM27" s="44"/>
      <c r="RWN27" s="44"/>
      <c r="RWO27" s="44"/>
      <c r="RWP27" s="44"/>
      <c r="RWQ27" s="43"/>
      <c r="RWR27" s="44"/>
      <c r="RWS27" s="44"/>
      <c r="RWT27" s="44"/>
      <c r="RWU27" s="44"/>
      <c r="RWV27" s="44"/>
      <c r="RWW27" s="44"/>
      <c r="RWX27" s="44"/>
      <c r="RWY27" s="44"/>
      <c r="RWZ27" s="44"/>
      <c r="RXA27" s="44"/>
      <c r="RXB27" s="44"/>
      <c r="RXC27" s="44"/>
      <c r="RXD27" s="44"/>
      <c r="RXE27" s="44"/>
      <c r="RXF27" s="43"/>
      <c r="RXG27" s="44"/>
      <c r="RXH27" s="44"/>
      <c r="RXI27" s="44"/>
      <c r="RXJ27" s="44"/>
      <c r="RXK27" s="44"/>
      <c r="RXL27" s="44"/>
      <c r="RXM27" s="44"/>
      <c r="RXN27" s="44"/>
      <c r="RXO27" s="44"/>
      <c r="RXP27" s="44"/>
      <c r="RXQ27" s="44"/>
      <c r="RXR27" s="44"/>
      <c r="RXS27" s="44"/>
      <c r="RXT27" s="44"/>
      <c r="RXU27" s="43"/>
      <c r="RXV27" s="44"/>
      <c r="RXW27" s="44"/>
      <c r="RXX27" s="44"/>
      <c r="RXY27" s="44"/>
      <c r="RXZ27" s="44"/>
      <c r="RYA27" s="44"/>
      <c r="RYB27" s="44"/>
      <c r="RYC27" s="44"/>
      <c r="RYD27" s="44"/>
      <c r="RYE27" s="44"/>
      <c r="RYF27" s="44"/>
      <c r="RYG27" s="44"/>
      <c r="RYH27" s="44"/>
      <c r="RYI27" s="44"/>
      <c r="RYJ27" s="43"/>
      <c r="RYK27" s="44"/>
      <c r="RYL27" s="44"/>
      <c r="RYM27" s="44"/>
      <c r="RYN27" s="44"/>
      <c r="RYO27" s="44"/>
      <c r="RYP27" s="44"/>
      <c r="RYQ27" s="44"/>
      <c r="RYR27" s="44"/>
      <c r="RYS27" s="44"/>
      <c r="RYT27" s="44"/>
      <c r="RYU27" s="44"/>
      <c r="RYV27" s="44"/>
      <c r="RYW27" s="44"/>
      <c r="RYX27" s="44"/>
      <c r="RYY27" s="43"/>
      <c r="RYZ27" s="44"/>
      <c r="RZA27" s="44"/>
      <c r="RZB27" s="44"/>
      <c r="RZC27" s="44"/>
      <c r="RZD27" s="44"/>
      <c r="RZE27" s="44"/>
      <c r="RZF27" s="44"/>
      <c r="RZG27" s="44"/>
      <c r="RZH27" s="44"/>
      <c r="RZI27" s="44"/>
      <c r="RZJ27" s="44"/>
      <c r="RZK27" s="44"/>
      <c r="RZL27" s="44"/>
      <c r="RZM27" s="44"/>
      <c r="RZN27" s="43"/>
      <c r="RZO27" s="44"/>
      <c r="RZP27" s="44"/>
      <c r="RZQ27" s="44"/>
      <c r="RZR27" s="44"/>
      <c r="RZS27" s="44"/>
      <c r="RZT27" s="44"/>
      <c r="RZU27" s="44"/>
      <c r="RZV27" s="44"/>
      <c r="RZW27" s="44"/>
      <c r="RZX27" s="44"/>
      <c r="RZY27" s="44"/>
      <c r="RZZ27" s="44"/>
      <c r="SAA27" s="44"/>
      <c r="SAB27" s="44"/>
      <c r="SAC27" s="43"/>
      <c r="SAD27" s="44"/>
      <c r="SAE27" s="44"/>
      <c r="SAF27" s="44"/>
      <c r="SAG27" s="44"/>
      <c r="SAH27" s="44"/>
      <c r="SAI27" s="44"/>
      <c r="SAJ27" s="44"/>
      <c r="SAK27" s="44"/>
      <c r="SAL27" s="44"/>
      <c r="SAM27" s="44"/>
      <c r="SAN27" s="44"/>
      <c r="SAO27" s="44"/>
      <c r="SAP27" s="44"/>
      <c r="SAQ27" s="44"/>
      <c r="SAR27" s="43"/>
      <c r="SAS27" s="44"/>
      <c r="SAT27" s="44"/>
      <c r="SAU27" s="44"/>
      <c r="SAV27" s="44"/>
      <c r="SAW27" s="44"/>
      <c r="SAX27" s="44"/>
      <c r="SAY27" s="44"/>
      <c r="SAZ27" s="44"/>
      <c r="SBA27" s="44"/>
      <c r="SBB27" s="44"/>
      <c r="SBC27" s="44"/>
      <c r="SBD27" s="44"/>
      <c r="SBE27" s="44"/>
      <c r="SBF27" s="44"/>
      <c r="SBG27" s="43"/>
      <c r="SBH27" s="44"/>
      <c r="SBI27" s="44"/>
      <c r="SBJ27" s="44"/>
      <c r="SBK27" s="44"/>
      <c r="SBL27" s="44"/>
      <c r="SBM27" s="44"/>
      <c r="SBN27" s="44"/>
      <c r="SBO27" s="44"/>
      <c r="SBP27" s="44"/>
      <c r="SBQ27" s="44"/>
      <c r="SBR27" s="44"/>
      <c r="SBS27" s="44"/>
      <c r="SBT27" s="44"/>
      <c r="SBU27" s="44"/>
      <c r="SBV27" s="43"/>
      <c r="SBW27" s="44"/>
      <c r="SBX27" s="44"/>
      <c r="SBY27" s="44"/>
      <c r="SBZ27" s="44"/>
      <c r="SCA27" s="44"/>
      <c r="SCB27" s="44"/>
      <c r="SCC27" s="44"/>
      <c r="SCD27" s="44"/>
      <c r="SCE27" s="44"/>
      <c r="SCF27" s="44"/>
      <c r="SCG27" s="44"/>
      <c r="SCH27" s="44"/>
      <c r="SCI27" s="44"/>
      <c r="SCJ27" s="44"/>
      <c r="SCK27" s="43"/>
      <c r="SCL27" s="44"/>
      <c r="SCM27" s="44"/>
      <c r="SCN27" s="44"/>
      <c r="SCO27" s="44"/>
      <c r="SCP27" s="44"/>
      <c r="SCQ27" s="44"/>
      <c r="SCR27" s="44"/>
      <c r="SCS27" s="44"/>
      <c r="SCT27" s="44"/>
      <c r="SCU27" s="44"/>
      <c r="SCV27" s="44"/>
      <c r="SCW27" s="44"/>
      <c r="SCX27" s="44"/>
      <c r="SCY27" s="44"/>
      <c r="SCZ27" s="43"/>
      <c r="SDA27" s="44"/>
      <c r="SDB27" s="44"/>
      <c r="SDC27" s="44"/>
      <c r="SDD27" s="44"/>
      <c r="SDE27" s="44"/>
      <c r="SDF27" s="44"/>
      <c r="SDG27" s="44"/>
      <c r="SDH27" s="44"/>
      <c r="SDI27" s="44"/>
      <c r="SDJ27" s="44"/>
      <c r="SDK27" s="44"/>
      <c r="SDL27" s="44"/>
      <c r="SDM27" s="44"/>
      <c r="SDN27" s="44"/>
      <c r="SDO27" s="43"/>
      <c r="SDP27" s="44"/>
      <c r="SDQ27" s="44"/>
      <c r="SDR27" s="44"/>
      <c r="SDS27" s="44"/>
      <c r="SDT27" s="44"/>
      <c r="SDU27" s="44"/>
      <c r="SDV27" s="44"/>
      <c r="SDW27" s="44"/>
      <c r="SDX27" s="44"/>
      <c r="SDY27" s="44"/>
      <c r="SDZ27" s="44"/>
      <c r="SEA27" s="44"/>
      <c r="SEB27" s="44"/>
      <c r="SEC27" s="44"/>
      <c r="SED27" s="43"/>
      <c r="SEE27" s="44"/>
      <c r="SEF27" s="44"/>
      <c r="SEG27" s="44"/>
      <c r="SEH27" s="44"/>
      <c r="SEI27" s="44"/>
      <c r="SEJ27" s="44"/>
      <c r="SEK27" s="44"/>
      <c r="SEL27" s="44"/>
      <c r="SEM27" s="44"/>
      <c r="SEN27" s="44"/>
      <c r="SEO27" s="44"/>
      <c r="SEP27" s="44"/>
      <c r="SEQ27" s="44"/>
      <c r="SER27" s="44"/>
      <c r="SES27" s="43"/>
      <c r="SET27" s="44"/>
      <c r="SEU27" s="44"/>
      <c r="SEV27" s="44"/>
      <c r="SEW27" s="44"/>
      <c r="SEX27" s="44"/>
      <c r="SEY27" s="44"/>
      <c r="SEZ27" s="44"/>
      <c r="SFA27" s="44"/>
      <c r="SFB27" s="44"/>
      <c r="SFC27" s="44"/>
      <c r="SFD27" s="44"/>
      <c r="SFE27" s="44"/>
      <c r="SFF27" s="44"/>
      <c r="SFG27" s="44"/>
      <c r="SFH27" s="43"/>
      <c r="SFI27" s="44"/>
      <c r="SFJ27" s="44"/>
      <c r="SFK27" s="44"/>
      <c r="SFL27" s="44"/>
      <c r="SFM27" s="44"/>
      <c r="SFN27" s="44"/>
      <c r="SFO27" s="44"/>
      <c r="SFP27" s="44"/>
      <c r="SFQ27" s="44"/>
      <c r="SFR27" s="44"/>
      <c r="SFS27" s="44"/>
      <c r="SFT27" s="44"/>
      <c r="SFU27" s="44"/>
      <c r="SFV27" s="44"/>
      <c r="SFW27" s="43"/>
      <c r="SFX27" s="44"/>
      <c r="SFY27" s="44"/>
      <c r="SFZ27" s="44"/>
      <c r="SGA27" s="44"/>
      <c r="SGB27" s="44"/>
      <c r="SGC27" s="44"/>
      <c r="SGD27" s="44"/>
      <c r="SGE27" s="44"/>
      <c r="SGF27" s="44"/>
      <c r="SGG27" s="44"/>
      <c r="SGH27" s="44"/>
      <c r="SGI27" s="44"/>
      <c r="SGJ27" s="44"/>
      <c r="SGK27" s="44"/>
      <c r="SGL27" s="43"/>
      <c r="SGM27" s="44"/>
      <c r="SGN27" s="44"/>
      <c r="SGO27" s="44"/>
      <c r="SGP27" s="44"/>
      <c r="SGQ27" s="44"/>
      <c r="SGR27" s="44"/>
      <c r="SGS27" s="44"/>
      <c r="SGT27" s="44"/>
      <c r="SGU27" s="44"/>
      <c r="SGV27" s="44"/>
      <c r="SGW27" s="44"/>
      <c r="SGX27" s="44"/>
      <c r="SGY27" s="44"/>
      <c r="SGZ27" s="44"/>
      <c r="SHA27" s="43"/>
      <c r="SHB27" s="44"/>
      <c r="SHC27" s="44"/>
      <c r="SHD27" s="44"/>
      <c r="SHE27" s="44"/>
      <c r="SHF27" s="44"/>
      <c r="SHG27" s="44"/>
      <c r="SHH27" s="44"/>
      <c r="SHI27" s="44"/>
      <c r="SHJ27" s="44"/>
      <c r="SHK27" s="44"/>
      <c r="SHL27" s="44"/>
      <c r="SHM27" s="44"/>
      <c r="SHN27" s="44"/>
      <c r="SHO27" s="44"/>
      <c r="SHP27" s="43"/>
      <c r="SHQ27" s="44"/>
      <c r="SHR27" s="44"/>
      <c r="SHS27" s="44"/>
      <c r="SHT27" s="44"/>
      <c r="SHU27" s="44"/>
      <c r="SHV27" s="44"/>
      <c r="SHW27" s="44"/>
      <c r="SHX27" s="44"/>
      <c r="SHY27" s="44"/>
      <c r="SHZ27" s="44"/>
      <c r="SIA27" s="44"/>
      <c r="SIB27" s="44"/>
      <c r="SIC27" s="44"/>
      <c r="SID27" s="44"/>
      <c r="SIE27" s="43"/>
      <c r="SIF27" s="44"/>
      <c r="SIG27" s="44"/>
      <c r="SIH27" s="44"/>
      <c r="SII27" s="44"/>
      <c r="SIJ27" s="44"/>
      <c r="SIK27" s="44"/>
      <c r="SIL27" s="44"/>
      <c r="SIM27" s="44"/>
      <c r="SIN27" s="44"/>
      <c r="SIO27" s="44"/>
      <c r="SIP27" s="44"/>
      <c r="SIQ27" s="44"/>
      <c r="SIR27" s="44"/>
      <c r="SIS27" s="44"/>
      <c r="SIT27" s="43"/>
      <c r="SIU27" s="44"/>
      <c r="SIV27" s="44"/>
      <c r="SIW27" s="44"/>
      <c r="SIX27" s="44"/>
      <c r="SIY27" s="44"/>
      <c r="SIZ27" s="44"/>
      <c r="SJA27" s="44"/>
      <c r="SJB27" s="44"/>
      <c r="SJC27" s="44"/>
      <c r="SJD27" s="44"/>
      <c r="SJE27" s="44"/>
      <c r="SJF27" s="44"/>
      <c r="SJG27" s="44"/>
      <c r="SJH27" s="44"/>
      <c r="SJI27" s="43"/>
      <c r="SJJ27" s="44"/>
      <c r="SJK27" s="44"/>
      <c r="SJL27" s="44"/>
      <c r="SJM27" s="44"/>
      <c r="SJN27" s="44"/>
      <c r="SJO27" s="44"/>
      <c r="SJP27" s="44"/>
      <c r="SJQ27" s="44"/>
      <c r="SJR27" s="44"/>
      <c r="SJS27" s="44"/>
      <c r="SJT27" s="44"/>
      <c r="SJU27" s="44"/>
      <c r="SJV27" s="44"/>
      <c r="SJW27" s="44"/>
      <c r="SJX27" s="43"/>
      <c r="SJY27" s="44"/>
      <c r="SJZ27" s="44"/>
      <c r="SKA27" s="44"/>
      <c r="SKB27" s="44"/>
      <c r="SKC27" s="44"/>
      <c r="SKD27" s="44"/>
      <c r="SKE27" s="44"/>
      <c r="SKF27" s="44"/>
      <c r="SKG27" s="44"/>
      <c r="SKH27" s="44"/>
      <c r="SKI27" s="44"/>
      <c r="SKJ27" s="44"/>
      <c r="SKK27" s="44"/>
      <c r="SKL27" s="44"/>
      <c r="SKM27" s="43"/>
      <c r="SKN27" s="44"/>
      <c r="SKO27" s="44"/>
      <c r="SKP27" s="44"/>
      <c r="SKQ27" s="44"/>
      <c r="SKR27" s="44"/>
      <c r="SKS27" s="44"/>
      <c r="SKT27" s="44"/>
      <c r="SKU27" s="44"/>
      <c r="SKV27" s="44"/>
      <c r="SKW27" s="44"/>
      <c r="SKX27" s="44"/>
      <c r="SKY27" s="44"/>
      <c r="SKZ27" s="44"/>
      <c r="SLA27" s="44"/>
      <c r="SLB27" s="43"/>
      <c r="SLC27" s="44"/>
      <c r="SLD27" s="44"/>
      <c r="SLE27" s="44"/>
      <c r="SLF27" s="44"/>
      <c r="SLG27" s="44"/>
      <c r="SLH27" s="44"/>
      <c r="SLI27" s="44"/>
      <c r="SLJ27" s="44"/>
      <c r="SLK27" s="44"/>
      <c r="SLL27" s="44"/>
      <c r="SLM27" s="44"/>
      <c r="SLN27" s="44"/>
      <c r="SLO27" s="44"/>
      <c r="SLP27" s="44"/>
      <c r="SLQ27" s="43"/>
      <c r="SLR27" s="44"/>
      <c r="SLS27" s="44"/>
      <c r="SLT27" s="44"/>
      <c r="SLU27" s="44"/>
      <c r="SLV27" s="44"/>
      <c r="SLW27" s="44"/>
      <c r="SLX27" s="44"/>
      <c r="SLY27" s="44"/>
      <c r="SLZ27" s="44"/>
      <c r="SMA27" s="44"/>
      <c r="SMB27" s="44"/>
      <c r="SMC27" s="44"/>
      <c r="SMD27" s="44"/>
      <c r="SME27" s="44"/>
      <c r="SMF27" s="43"/>
      <c r="SMG27" s="44"/>
      <c r="SMH27" s="44"/>
      <c r="SMI27" s="44"/>
      <c r="SMJ27" s="44"/>
      <c r="SMK27" s="44"/>
      <c r="SML27" s="44"/>
      <c r="SMM27" s="44"/>
      <c r="SMN27" s="44"/>
      <c r="SMO27" s="44"/>
      <c r="SMP27" s="44"/>
      <c r="SMQ27" s="44"/>
      <c r="SMR27" s="44"/>
      <c r="SMS27" s="44"/>
      <c r="SMT27" s="44"/>
      <c r="SMU27" s="43"/>
      <c r="SMV27" s="44"/>
      <c r="SMW27" s="44"/>
      <c r="SMX27" s="44"/>
      <c r="SMY27" s="44"/>
      <c r="SMZ27" s="44"/>
      <c r="SNA27" s="44"/>
      <c r="SNB27" s="44"/>
      <c r="SNC27" s="44"/>
      <c r="SND27" s="44"/>
      <c r="SNE27" s="44"/>
      <c r="SNF27" s="44"/>
      <c r="SNG27" s="44"/>
      <c r="SNH27" s="44"/>
      <c r="SNI27" s="44"/>
      <c r="SNJ27" s="43"/>
      <c r="SNK27" s="44"/>
      <c r="SNL27" s="44"/>
      <c r="SNM27" s="44"/>
      <c r="SNN27" s="44"/>
      <c r="SNO27" s="44"/>
      <c r="SNP27" s="44"/>
      <c r="SNQ27" s="44"/>
      <c r="SNR27" s="44"/>
      <c r="SNS27" s="44"/>
      <c r="SNT27" s="44"/>
      <c r="SNU27" s="44"/>
      <c r="SNV27" s="44"/>
      <c r="SNW27" s="44"/>
      <c r="SNX27" s="44"/>
      <c r="SNY27" s="43"/>
      <c r="SNZ27" s="44"/>
      <c r="SOA27" s="44"/>
      <c r="SOB27" s="44"/>
      <c r="SOC27" s="44"/>
      <c r="SOD27" s="44"/>
      <c r="SOE27" s="44"/>
      <c r="SOF27" s="44"/>
      <c r="SOG27" s="44"/>
      <c r="SOH27" s="44"/>
      <c r="SOI27" s="44"/>
      <c r="SOJ27" s="44"/>
      <c r="SOK27" s="44"/>
      <c r="SOL27" s="44"/>
      <c r="SOM27" s="44"/>
      <c r="SON27" s="43"/>
      <c r="SOO27" s="44"/>
      <c r="SOP27" s="44"/>
      <c r="SOQ27" s="44"/>
      <c r="SOR27" s="44"/>
      <c r="SOS27" s="44"/>
      <c r="SOT27" s="44"/>
      <c r="SOU27" s="44"/>
      <c r="SOV27" s="44"/>
      <c r="SOW27" s="44"/>
      <c r="SOX27" s="44"/>
      <c r="SOY27" s="44"/>
      <c r="SOZ27" s="44"/>
      <c r="SPA27" s="44"/>
      <c r="SPB27" s="44"/>
      <c r="SPC27" s="43"/>
      <c r="SPD27" s="44"/>
      <c r="SPE27" s="44"/>
      <c r="SPF27" s="44"/>
      <c r="SPG27" s="44"/>
      <c r="SPH27" s="44"/>
      <c r="SPI27" s="44"/>
      <c r="SPJ27" s="44"/>
      <c r="SPK27" s="44"/>
      <c r="SPL27" s="44"/>
      <c r="SPM27" s="44"/>
      <c r="SPN27" s="44"/>
      <c r="SPO27" s="44"/>
      <c r="SPP27" s="44"/>
      <c r="SPQ27" s="44"/>
      <c r="SPR27" s="43"/>
      <c r="SPS27" s="44"/>
      <c r="SPT27" s="44"/>
      <c r="SPU27" s="44"/>
      <c r="SPV27" s="44"/>
      <c r="SPW27" s="44"/>
      <c r="SPX27" s="44"/>
      <c r="SPY27" s="44"/>
      <c r="SPZ27" s="44"/>
      <c r="SQA27" s="44"/>
      <c r="SQB27" s="44"/>
      <c r="SQC27" s="44"/>
      <c r="SQD27" s="44"/>
      <c r="SQE27" s="44"/>
      <c r="SQF27" s="44"/>
      <c r="SQG27" s="43"/>
      <c r="SQH27" s="44"/>
      <c r="SQI27" s="44"/>
      <c r="SQJ27" s="44"/>
      <c r="SQK27" s="44"/>
      <c r="SQL27" s="44"/>
      <c r="SQM27" s="44"/>
      <c r="SQN27" s="44"/>
      <c r="SQO27" s="44"/>
      <c r="SQP27" s="44"/>
      <c r="SQQ27" s="44"/>
      <c r="SQR27" s="44"/>
      <c r="SQS27" s="44"/>
      <c r="SQT27" s="44"/>
      <c r="SQU27" s="44"/>
      <c r="SQV27" s="43"/>
      <c r="SQW27" s="44"/>
      <c r="SQX27" s="44"/>
      <c r="SQY27" s="44"/>
      <c r="SQZ27" s="44"/>
      <c r="SRA27" s="44"/>
      <c r="SRB27" s="44"/>
      <c r="SRC27" s="44"/>
      <c r="SRD27" s="44"/>
      <c r="SRE27" s="44"/>
      <c r="SRF27" s="44"/>
      <c r="SRG27" s="44"/>
      <c r="SRH27" s="44"/>
      <c r="SRI27" s="44"/>
      <c r="SRJ27" s="44"/>
      <c r="SRK27" s="43"/>
      <c r="SRL27" s="44"/>
      <c r="SRM27" s="44"/>
      <c r="SRN27" s="44"/>
      <c r="SRO27" s="44"/>
      <c r="SRP27" s="44"/>
      <c r="SRQ27" s="44"/>
      <c r="SRR27" s="44"/>
      <c r="SRS27" s="44"/>
      <c r="SRT27" s="44"/>
      <c r="SRU27" s="44"/>
      <c r="SRV27" s="44"/>
      <c r="SRW27" s="44"/>
      <c r="SRX27" s="44"/>
      <c r="SRY27" s="44"/>
      <c r="SRZ27" s="43"/>
      <c r="SSA27" s="44"/>
      <c r="SSB27" s="44"/>
      <c r="SSC27" s="44"/>
      <c r="SSD27" s="44"/>
      <c r="SSE27" s="44"/>
      <c r="SSF27" s="44"/>
      <c r="SSG27" s="44"/>
      <c r="SSH27" s="44"/>
      <c r="SSI27" s="44"/>
      <c r="SSJ27" s="44"/>
      <c r="SSK27" s="44"/>
      <c r="SSL27" s="44"/>
      <c r="SSM27" s="44"/>
      <c r="SSN27" s="44"/>
      <c r="SSO27" s="43"/>
      <c r="SSP27" s="44"/>
      <c r="SSQ27" s="44"/>
      <c r="SSR27" s="44"/>
      <c r="SSS27" s="44"/>
      <c r="SST27" s="44"/>
      <c r="SSU27" s="44"/>
      <c r="SSV27" s="44"/>
      <c r="SSW27" s="44"/>
      <c r="SSX27" s="44"/>
      <c r="SSY27" s="44"/>
      <c r="SSZ27" s="44"/>
      <c r="STA27" s="44"/>
      <c r="STB27" s="44"/>
      <c r="STC27" s="44"/>
      <c r="STD27" s="43"/>
      <c r="STE27" s="44"/>
      <c r="STF27" s="44"/>
      <c r="STG27" s="44"/>
      <c r="STH27" s="44"/>
      <c r="STI27" s="44"/>
      <c r="STJ27" s="44"/>
      <c r="STK27" s="44"/>
      <c r="STL27" s="44"/>
      <c r="STM27" s="44"/>
      <c r="STN27" s="44"/>
      <c r="STO27" s="44"/>
      <c r="STP27" s="44"/>
      <c r="STQ27" s="44"/>
      <c r="STR27" s="44"/>
      <c r="STS27" s="43"/>
      <c r="STT27" s="44"/>
      <c r="STU27" s="44"/>
      <c r="STV27" s="44"/>
      <c r="STW27" s="44"/>
      <c r="STX27" s="44"/>
      <c r="STY27" s="44"/>
      <c r="STZ27" s="44"/>
      <c r="SUA27" s="44"/>
      <c r="SUB27" s="44"/>
      <c r="SUC27" s="44"/>
      <c r="SUD27" s="44"/>
      <c r="SUE27" s="44"/>
      <c r="SUF27" s="44"/>
      <c r="SUG27" s="44"/>
      <c r="SUH27" s="43"/>
      <c r="SUI27" s="44"/>
      <c r="SUJ27" s="44"/>
      <c r="SUK27" s="44"/>
      <c r="SUL27" s="44"/>
      <c r="SUM27" s="44"/>
      <c r="SUN27" s="44"/>
      <c r="SUO27" s="44"/>
      <c r="SUP27" s="44"/>
      <c r="SUQ27" s="44"/>
      <c r="SUR27" s="44"/>
      <c r="SUS27" s="44"/>
      <c r="SUT27" s="44"/>
      <c r="SUU27" s="44"/>
      <c r="SUV27" s="44"/>
      <c r="SUW27" s="43"/>
      <c r="SUX27" s="44"/>
      <c r="SUY27" s="44"/>
      <c r="SUZ27" s="44"/>
      <c r="SVA27" s="44"/>
      <c r="SVB27" s="44"/>
      <c r="SVC27" s="44"/>
      <c r="SVD27" s="44"/>
      <c r="SVE27" s="44"/>
      <c r="SVF27" s="44"/>
      <c r="SVG27" s="44"/>
      <c r="SVH27" s="44"/>
      <c r="SVI27" s="44"/>
      <c r="SVJ27" s="44"/>
      <c r="SVK27" s="44"/>
      <c r="SVL27" s="43"/>
      <c r="SVM27" s="44"/>
      <c r="SVN27" s="44"/>
      <c r="SVO27" s="44"/>
      <c r="SVP27" s="44"/>
      <c r="SVQ27" s="44"/>
      <c r="SVR27" s="44"/>
      <c r="SVS27" s="44"/>
      <c r="SVT27" s="44"/>
      <c r="SVU27" s="44"/>
      <c r="SVV27" s="44"/>
      <c r="SVW27" s="44"/>
      <c r="SVX27" s="44"/>
      <c r="SVY27" s="44"/>
      <c r="SVZ27" s="44"/>
      <c r="SWA27" s="43"/>
      <c r="SWB27" s="44"/>
      <c r="SWC27" s="44"/>
      <c r="SWD27" s="44"/>
      <c r="SWE27" s="44"/>
      <c r="SWF27" s="44"/>
      <c r="SWG27" s="44"/>
      <c r="SWH27" s="44"/>
      <c r="SWI27" s="44"/>
      <c r="SWJ27" s="44"/>
      <c r="SWK27" s="44"/>
      <c r="SWL27" s="44"/>
      <c r="SWM27" s="44"/>
      <c r="SWN27" s="44"/>
      <c r="SWO27" s="44"/>
      <c r="SWP27" s="43"/>
      <c r="SWQ27" s="44"/>
      <c r="SWR27" s="44"/>
      <c r="SWS27" s="44"/>
      <c r="SWT27" s="44"/>
      <c r="SWU27" s="44"/>
      <c r="SWV27" s="44"/>
      <c r="SWW27" s="44"/>
      <c r="SWX27" s="44"/>
      <c r="SWY27" s="44"/>
      <c r="SWZ27" s="44"/>
      <c r="SXA27" s="44"/>
      <c r="SXB27" s="44"/>
      <c r="SXC27" s="44"/>
      <c r="SXD27" s="44"/>
      <c r="SXE27" s="43"/>
      <c r="SXF27" s="44"/>
      <c r="SXG27" s="44"/>
      <c r="SXH27" s="44"/>
      <c r="SXI27" s="44"/>
      <c r="SXJ27" s="44"/>
      <c r="SXK27" s="44"/>
      <c r="SXL27" s="44"/>
      <c r="SXM27" s="44"/>
      <c r="SXN27" s="44"/>
      <c r="SXO27" s="44"/>
      <c r="SXP27" s="44"/>
      <c r="SXQ27" s="44"/>
      <c r="SXR27" s="44"/>
      <c r="SXS27" s="44"/>
      <c r="SXT27" s="43"/>
      <c r="SXU27" s="44"/>
      <c r="SXV27" s="44"/>
      <c r="SXW27" s="44"/>
      <c r="SXX27" s="44"/>
      <c r="SXY27" s="44"/>
      <c r="SXZ27" s="44"/>
      <c r="SYA27" s="44"/>
      <c r="SYB27" s="44"/>
      <c r="SYC27" s="44"/>
      <c r="SYD27" s="44"/>
      <c r="SYE27" s="44"/>
      <c r="SYF27" s="44"/>
      <c r="SYG27" s="44"/>
      <c r="SYH27" s="44"/>
      <c r="SYI27" s="43"/>
      <c r="SYJ27" s="44"/>
      <c r="SYK27" s="44"/>
      <c r="SYL27" s="44"/>
      <c r="SYM27" s="44"/>
      <c r="SYN27" s="44"/>
      <c r="SYO27" s="44"/>
      <c r="SYP27" s="44"/>
      <c r="SYQ27" s="44"/>
      <c r="SYR27" s="44"/>
      <c r="SYS27" s="44"/>
      <c r="SYT27" s="44"/>
      <c r="SYU27" s="44"/>
      <c r="SYV27" s="44"/>
      <c r="SYW27" s="44"/>
      <c r="SYX27" s="43"/>
      <c r="SYY27" s="44"/>
      <c r="SYZ27" s="44"/>
      <c r="SZA27" s="44"/>
      <c r="SZB27" s="44"/>
      <c r="SZC27" s="44"/>
      <c r="SZD27" s="44"/>
      <c r="SZE27" s="44"/>
      <c r="SZF27" s="44"/>
      <c r="SZG27" s="44"/>
      <c r="SZH27" s="44"/>
      <c r="SZI27" s="44"/>
      <c r="SZJ27" s="44"/>
      <c r="SZK27" s="44"/>
      <c r="SZL27" s="44"/>
      <c r="SZM27" s="43"/>
      <c r="SZN27" s="44"/>
      <c r="SZO27" s="44"/>
      <c r="SZP27" s="44"/>
      <c r="SZQ27" s="44"/>
      <c r="SZR27" s="44"/>
      <c r="SZS27" s="44"/>
      <c r="SZT27" s="44"/>
      <c r="SZU27" s="44"/>
      <c r="SZV27" s="44"/>
      <c r="SZW27" s="44"/>
      <c r="SZX27" s="44"/>
      <c r="SZY27" s="44"/>
      <c r="SZZ27" s="44"/>
      <c r="TAA27" s="44"/>
      <c r="TAB27" s="43"/>
      <c r="TAC27" s="44"/>
      <c r="TAD27" s="44"/>
      <c r="TAE27" s="44"/>
      <c r="TAF27" s="44"/>
      <c r="TAG27" s="44"/>
      <c r="TAH27" s="44"/>
      <c r="TAI27" s="44"/>
      <c r="TAJ27" s="44"/>
      <c r="TAK27" s="44"/>
      <c r="TAL27" s="44"/>
      <c r="TAM27" s="44"/>
      <c r="TAN27" s="44"/>
      <c r="TAO27" s="44"/>
      <c r="TAP27" s="44"/>
      <c r="TAQ27" s="43"/>
      <c r="TAR27" s="44"/>
      <c r="TAS27" s="44"/>
      <c r="TAT27" s="44"/>
      <c r="TAU27" s="44"/>
      <c r="TAV27" s="44"/>
      <c r="TAW27" s="44"/>
      <c r="TAX27" s="44"/>
      <c r="TAY27" s="44"/>
      <c r="TAZ27" s="44"/>
      <c r="TBA27" s="44"/>
      <c r="TBB27" s="44"/>
      <c r="TBC27" s="44"/>
      <c r="TBD27" s="44"/>
      <c r="TBE27" s="44"/>
      <c r="TBF27" s="43"/>
      <c r="TBG27" s="44"/>
      <c r="TBH27" s="44"/>
      <c r="TBI27" s="44"/>
      <c r="TBJ27" s="44"/>
      <c r="TBK27" s="44"/>
      <c r="TBL27" s="44"/>
      <c r="TBM27" s="44"/>
      <c r="TBN27" s="44"/>
      <c r="TBO27" s="44"/>
      <c r="TBP27" s="44"/>
      <c r="TBQ27" s="44"/>
      <c r="TBR27" s="44"/>
      <c r="TBS27" s="44"/>
      <c r="TBT27" s="44"/>
      <c r="TBU27" s="43"/>
      <c r="TBV27" s="44"/>
      <c r="TBW27" s="44"/>
      <c r="TBX27" s="44"/>
      <c r="TBY27" s="44"/>
      <c r="TBZ27" s="44"/>
      <c r="TCA27" s="44"/>
      <c r="TCB27" s="44"/>
      <c r="TCC27" s="44"/>
      <c r="TCD27" s="44"/>
      <c r="TCE27" s="44"/>
      <c r="TCF27" s="44"/>
      <c r="TCG27" s="44"/>
      <c r="TCH27" s="44"/>
      <c r="TCI27" s="44"/>
      <c r="TCJ27" s="43"/>
      <c r="TCK27" s="44"/>
      <c r="TCL27" s="44"/>
      <c r="TCM27" s="44"/>
      <c r="TCN27" s="44"/>
      <c r="TCO27" s="44"/>
      <c r="TCP27" s="44"/>
      <c r="TCQ27" s="44"/>
      <c r="TCR27" s="44"/>
      <c r="TCS27" s="44"/>
      <c r="TCT27" s="44"/>
      <c r="TCU27" s="44"/>
      <c r="TCV27" s="44"/>
      <c r="TCW27" s="44"/>
      <c r="TCX27" s="44"/>
      <c r="TCY27" s="43"/>
      <c r="TCZ27" s="44"/>
      <c r="TDA27" s="44"/>
      <c r="TDB27" s="44"/>
      <c r="TDC27" s="44"/>
      <c r="TDD27" s="44"/>
      <c r="TDE27" s="44"/>
      <c r="TDF27" s="44"/>
      <c r="TDG27" s="44"/>
      <c r="TDH27" s="44"/>
      <c r="TDI27" s="44"/>
      <c r="TDJ27" s="44"/>
      <c r="TDK27" s="44"/>
      <c r="TDL27" s="44"/>
      <c r="TDM27" s="44"/>
      <c r="TDN27" s="43"/>
      <c r="TDO27" s="44"/>
      <c r="TDP27" s="44"/>
      <c r="TDQ27" s="44"/>
      <c r="TDR27" s="44"/>
      <c r="TDS27" s="44"/>
      <c r="TDT27" s="44"/>
      <c r="TDU27" s="44"/>
      <c r="TDV27" s="44"/>
      <c r="TDW27" s="44"/>
      <c r="TDX27" s="44"/>
      <c r="TDY27" s="44"/>
      <c r="TDZ27" s="44"/>
      <c r="TEA27" s="44"/>
      <c r="TEB27" s="44"/>
      <c r="TEC27" s="43"/>
      <c r="TED27" s="44"/>
      <c r="TEE27" s="44"/>
      <c r="TEF27" s="44"/>
      <c r="TEG27" s="44"/>
      <c r="TEH27" s="44"/>
      <c r="TEI27" s="44"/>
      <c r="TEJ27" s="44"/>
      <c r="TEK27" s="44"/>
      <c r="TEL27" s="44"/>
      <c r="TEM27" s="44"/>
      <c r="TEN27" s="44"/>
      <c r="TEO27" s="44"/>
      <c r="TEP27" s="44"/>
      <c r="TEQ27" s="44"/>
      <c r="TER27" s="43"/>
      <c r="TES27" s="44"/>
      <c r="TET27" s="44"/>
      <c r="TEU27" s="44"/>
      <c r="TEV27" s="44"/>
      <c r="TEW27" s="44"/>
      <c r="TEX27" s="44"/>
      <c r="TEY27" s="44"/>
      <c r="TEZ27" s="44"/>
      <c r="TFA27" s="44"/>
      <c r="TFB27" s="44"/>
      <c r="TFC27" s="44"/>
      <c r="TFD27" s="44"/>
      <c r="TFE27" s="44"/>
      <c r="TFF27" s="44"/>
      <c r="TFG27" s="43"/>
      <c r="TFH27" s="44"/>
      <c r="TFI27" s="44"/>
      <c r="TFJ27" s="44"/>
      <c r="TFK27" s="44"/>
      <c r="TFL27" s="44"/>
      <c r="TFM27" s="44"/>
      <c r="TFN27" s="44"/>
      <c r="TFO27" s="44"/>
      <c r="TFP27" s="44"/>
      <c r="TFQ27" s="44"/>
      <c r="TFR27" s="44"/>
      <c r="TFS27" s="44"/>
      <c r="TFT27" s="44"/>
      <c r="TFU27" s="44"/>
      <c r="TFV27" s="43"/>
      <c r="TFW27" s="44"/>
      <c r="TFX27" s="44"/>
      <c r="TFY27" s="44"/>
      <c r="TFZ27" s="44"/>
      <c r="TGA27" s="44"/>
      <c r="TGB27" s="44"/>
      <c r="TGC27" s="44"/>
      <c r="TGD27" s="44"/>
      <c r="TGE27" s="44"/>
      <c r="TGF27" s="44"/>
      <c r="TGG27" s="44"/>
      <c r="TGH27" s="44"/>
      <c r="TGI27" s="44"/>
      <c r="TGJ27" s="44"/>
      <c r="TGK27" s="43"/>
      <c r="TGL27" s="44"/>
      <c r="TGM27" s="44"/>
      <c r="TGN27" s="44"/>
      <c r="TGO27" s="44"/>
      <c r="TGP27" s="44"/>
      <c r="TGQ27" s="44"/>
      <c r="TGR27" s="44"/>
      <c r="TGS27" s="44"/>
      <c r="TGT27" s="44"/>
      <c r="TGU27" s="44"/>
      <c r="TGV27" s="44"/>
      <c r="TGW27" s="44"/>
      <c r="TGX27" s="44"/>
      <c r="TGY27" s="44"/>
      <c r="TGZ27" s="43"/>
      <c r="THA27" s="44"/>
      <c r="THB27" s="44"/>
      <c r="THC27" s="44"/>
      <c r="THD27" s="44"/>
      <c r="THE27" s="44"/>
      <c r="THF27" s="44"/>
      <c r="THG27" s="44"/>
      <c r="THH27" s="44"/>
      <c r="THI27" s="44"/>
      <c r="THJ27" s="44"/>
      <c r="THK27" s="44"/>
      <c r="THL27" s="44"/>
      <c r="THM27" s="44"/>
      <c r="THN27" s="44"/>
      <c r="THO27" s="43"/>
      <c r="THP27" s="44"/>
      <c r="THQ27" s="44"/>
      <c r="THR27" s="44"/>
      <c r="THS27" s="44"/>
      <c r="THT27" s="44"/>
      <c r="THU27" s="44"/>
      <c r="THV27" s="44"/>
      <c r="THW27" s="44"/>
      <c r="THX27" s="44"/>
      <c r="THY27" s="44"/>
      <c r="THZ27" s="44"/>
      <c r="TIA27" s="44"/>
      <c r="TIB27" s="44"/>
      <c r="TIC27" s="44"/>
      <c r="TID27" s="43"/>
      <c r="TIE27" s="44"/>
      <c r="TIF27" s="44"/>
      <c r="TIG27" s="44"/>
      <c r="TIH27" s="44"/>
      <c r="TII27" s="44"/>
      <c r="TIJ27" s="44"/>
      <c r="TIK27" s="44"/>
      <c r="TIL27" s="44"/>
      <c r="TIM27" s="44"/>
      <c r="TIN27" s="44"/>
      <c r="TIO27" s="44"/>
      <c r="TIP27" s="44"/>
      <c r="TIQ27" s="44"/>
      <c r="TIR27" s="44"/>
      <c r="TIS27" s="43"/>
      <c r="TIT27" s="44"/>
      <c r="TIU27" s="44"/>
      <c r="TIV27" s="44"/>
      <c r="TIW27" s="44"/>
      <c r="TIX27" s="44"/>
      <c r="TIY27" s="44"/>
      <c r="TIZ27" s="44"/>
      <c r="TJA27" s="44"/>
      <c r="TJB27" s="44"/>
      <c r="TJC27" s="44"/>
      <c r="TJD27" s="44"/>
      <c r="TJE27" s="44"/>
      <c r="TJF27" s="44"/>
      <c r="TJG27" s="44"/>
      <c r="TJH27" s="43"/>
      <c r="TJI27" s="44"/>
      <c r="TJJ27" s="44"/>
      <c r="TJK27" s="44"/>
      <c r="TJL27" s="44"/>
      <c r="TJM27" s="44"/>
      <c r="TJN27" s="44"/>
      <c r="TJO27" s="44"/>
      <c r="TJP27" s="44"/>
      <c r="TJQ27" s="44"/>
      <c r="TJR27" s="44"/>
      <c r="TJS27" s="44"/>
      <c r="TJT27" s="44"/>
      <c r="TJU27" s="44"/>
      <c r="TJV27" s="44"/>
      <c r="TJW27" s="43"/>
      <c r="TJX27" s="44"/>
      <c r="TJY27" s="44"/>
      <c r="TJZ27" s="44"/>
      <c r="TKA27" s="44"/>
      <c r="TKB27" s="44"/>
      <c r="TKC27" s="44"/>
      <c r="TKD27" s="44"/>
      <c r="TKE27" s="44"/>
      <c r="TKF27" s="44"/>
      <c r="TKG27" s="44"/>
      <c r="TKH27" s="44"/>
      <c r="TKI27" s="44"/>
      <c r="TKJ27" s="44"/>
      <c r="TKK27" s="44"/>
      <c r="TKL27" s="43"/>
      <c r="TKM27" s="44"/>
      <c r="TKN27" s="44"/>
      <c r="TKO27" s="44"/>
      <c r="TKP27" s="44"/>
      <c r="TKQ27" s="44"/>
      <c r="TKR27" s="44"/>
      <c r="TKS27" s="44"/>
      <c r="TKT27" s="44"/>
      <c r="TKU27" s="44"/>
      <c r="TKV27" s="44"/>
      <c r="TKW27" s="44"/>
      <c r="TKX27" s="44"/>
      <c r="TKY27" s="44"/>
      <c r="TKZ27" s="44"/>
      <c r="TLA27" s="43"/>
      <c r="TLB27" s="44"/>
      <c r="TLC27" s="44"/>
      <c r="TLD27" s="44"/>
      <c r="TLE27" s="44"/>
      <c r="TLF27" s="44"/>
      <c r="TLG27" s="44"/>
      <c r="TLH27" s="44"/>
      <c r="TLI27" s="44"/>
      <c r="TLJ27" s="44"/>
      <c r="TLK27" s="44"/>
      <c r="TLL27" s="44"/>
      <c r="TLM27" s="44"/>
      <c r="TLN27" s="44"/>
      <c r="TLO27" s="44"/>
      <c r="TLP27" s="43"/>
      <c r="TLQ27" s="44"/>
      <c r="TLR27" s="44"/>
      <c r="TLS27" s="44"/>
      <c r="TLT27" s="44"/>
      <c r="TLU27" s="44"/>
      <c r="TLV27" s="44"/>
      <c r="TLW27" s="44"/>
      <c r="TLX27" s="44"/>
      <c r="TLY27" s="44"/>
      <c r="TLZ27" s="44"/>
      <c r="TMA27" s="44"/>
      <c r="TMB27" s="44"/>
      <c r="TMC27" s="44"/>
      <c r="TMD27" s="44"/>
      <c r="TME27" s="43"/>
      <c r="TMF27" s="44"/>
      <c r="TMG27" s="44"/>
      <c r="TMH27" s="44"/>
      <c r="TMI27" s="44"/>
      <c r="TMJ27" s="44"/>
      <c r="TMK27" s="44"/>
      <c r="TML27" s="44"/>
      <c r="TMM27" s="44"/>
      <c r="TMN27" s="44"/>
      <c r="TMO27" s="44"/>
      <c r="TMP27" s="44"/>
      <c r="TMQ27" s="44"/>
      <c r="TMR27" s="44"/>
      <c r="TMS27" s="44"/>
      <c r="TMT27" s="43"/>
      <c r="TMU27" s="44"/>
      <c r="TMV27" s="44"/>
      <c r="TMW27" s="44"/>
      <c r="TMX27" s="44"/>
      <c r="TMY27" s="44"/>
      <c r="TMZ27" s="44"/>
      <c r="TNA27" s="44"/>
      <c r="TNB27" s="44"/>
      <c r="TNC27" s="44"/>
      <c r="TND27" s="44"/>
      <c r="TNE27" s="44"/>
      <c r="TNF27" s="44"/>
      <c r="TNG27" s="44"/>
      <c r="TNH27" s="44"/>
      <c r="TNI27" s="43"/>
      <c r="TNJ27" s="44"/>
      <c r="TNK27" s="44"/>
      <c r="TNL27" s="44"/>
      <c r="TNM27" s="44"/>
      <c r="TNN27" s="44"/>
      <c r="TNO27" s="44"/>
      <c r="TNP27" s="44"/>
      <c r="TNQ27" s="44"/>
      <c r="TNR27" s="44"/>
      <c r="TNS27" s="44"/>
      <c r="TNT27" s="44"/>
      <c r="TNU27" s="44"/>
      <c r="TNV27" s="44"/>
      <c r="TNW27" s="44"/>
      <c r="TNX27" s="43"/>
      <c r="TNY27" s="44"/>
      <c r="TNZ27" s="44"/>
      <c r="TOA27" s="44"/>
      <c r="TOB27" s="44"/>
      <c r="TOC27" s="44"/>
      <c r="TOD27" s="44"/>
      <c r="TOE27" s="44"/>
      <c r="TOF27" s="44"/>
      <c r="TOG27" s="44"/>
      <c r="TOH27" s="44"/>
      <c r="TOI27" s="44"/>
      <c r="TOJ27" s="44"/>
      <c r="TOK27" s="44"/>
      <c r="TOL27" s="44"/>
      <c r="TOM27" s="43"/>
      <c r="TON27" s="44"/>
      <c r="TOO27" s="44"/>
      <c r="TOP27" s="44"/>
      <c r="TOQ27" s="44"/>
      <c r="TOR27" s="44"/>
      <c r="TOS27" s="44"/>
      <c r="TOT27" s="44"/>
      <c r="TOU27" s="44"/>
      <c r="TOV27" s="44"/>
      <c r="TOW27" s="44"/>
      <c r="TOX27" s="44"/>
      <c r="TOY27" s="44"/>
      <c r="TOZ27" s="44"/>
      <c r="TPA27" s="44"/>
      <c r="TPB27" s="43"/>
      <c r="TPC27" s="44"/>
      <c r="TPD27" s="44"/>
      <c r="TPE27" s="44"/>
      <c r="TPF27" s="44"/>
      <c r="TPG27" s="44"/>
      <c r="TPH27" s="44"/>
      <c r="TPI27" s="44"/>
      <c r="TPJ27" s="44"/>
      <c r="TPK27" s="44"/>
      <c r="TPL27" s="44"/>
      <c r="TPM27" s="44"/>
      <c r="TPN27" s="44"/>
      <c r="TPO27" s="44"/>
      <c r="TPP27" s="44"/>
      <c r="TPQ27" s="43"/>
      <c r="TPR27" s="44"/>
      <c r="TPS27" s="44"/>
      <c r="TPT27" s="44"/>
      <c r="TPU27" s="44"/>
      <c r="TPV27" s="44"/>
      <c r="TPW27" s="44"/>
      <c r="TPX27" s="44"/>
      <c r="TPY27" s="44"/>
      <c r="TPZ27" s="44"/>
      <c r="TQA27" s="44"/>
      <c r="TQB27" s="44"/>
      <c r="TQC27" s="44"/>
      <c r="TQD27" s="44"/>
      <c r="TQE27" s="44"/>
      <c r="TQF27" s="43"/>
      <c r="TQG27" s="44"/>
      <c r="TQH27" s="44"/>
      <c r="TQI27" s="44"/>
      <c r="TQJ27" s="44"/>
      <c r="TQK27" s="44"/>
      <c r="TQL27" s="44"/>
      <c r="TQM27" s="44"/>
      <c r="TQN27" s="44"/>
      <c r="TQO27" s="44"/>
      <c r="TQP27" s="44"/>
      <c r="TQQ27" s="44"/>
      <c r="TQR27" s="44"/>
      <c r="TQS27" s="44"/>
      <c r="TQT27" s="44"/>
      <c r="TQU27" s="43"/>
      <c r="TQV27" s="44"/>
      <c r="TQW27" s="44"/>
      <c r="TQX27" s="44"/>
      <c r="TQY27" s="44"/>
      <c r="TQZ27" s="44"/>
      <c r="TRA27" s="44"/>
      <c r="TRB27" s="44"/>
      <c r="TRC27" s="44"/>
      <c r="TRD27" s="44"/>
      <c r="TRE27" s="44"/>
      <c r="TRF27" s="44"/>
      <c r="TRG27" s="44"/>
      <c r="TRH27" s="44"/>
      <c r="TRI27" s="44"/>
      <c r="TRJ27" s="43"/>
      <c r="TRK27" s="44"/>
      <c r="TRL27" s="44"/>
      <c r="TRM27" s="44"/>
      <c r="TRN27" s="44"/>
      <c r="TRO27" s="44"/>
      <c r="TRP27" s="44"/>
      <c r="TRQ27" s="44"/>
      <c r="TRR27" s="44"/>
      <c r="TRS27" s="44"/>
      <c r="TRT27" s="44"/>
      <c r="TRU27" s="44"/>
      <c r="TRV27" s="44"/>
      <c r="TRW27" s="44"/>
      <c r="TRX27" s="44"/>
      <c r="TRY27" s="43"/>
      <c r="TRZ27" s="44"/>
      <c r="TSA27" s="44"/>
      <c r="TSB27" s="44"/>
      <c r="TSC27" s="44"/>
      <c r="TSD27" s="44"/>
      <c r="TSE27" s="44"/>
      <c r="TSF27" s="44"/>
      <c r="TSG27" s="44"/>
      <c r="TSH27" s="44"/>
      <c r="TSI27" s="44"/>
      <c r="TSJ27" s="44"/>
      <c r="TSK27" s="44"/>
      <c r="TSL27" s="44"/>
      <c r="TSM27" s="44"/>
      <c r="TSN27" s="43"/>
      <c r="TSO27" s="44"/>
      <c r="TSP27" s="44"/>
      <c r="TSQ27" s="44"/>
      <c r="TSR27" s="44"/>
      <c r="TSS27" s="44"/>
      <c r="TST27" s="44"/>
      <c r="TSU27" s="44"/>
      <c r="TSV27" s="44"/>
      <c r="TSW27" s="44"/>
      <c r="TSX27" s="44"/>
      <c r="TSY27" s="44"/>
      <c r="TSZ27" s="44"/>
      <c r="TTA27" s="44"/>
      <c r="TTB27" s="44"/>
      <c r="TTC27" s="43"/>
      <c r="TTD27" s="44"/>
      <c r="TTE27" s="44"/>
      <c r="TTF27" s="44"/>
      <c r="TTG27" s="44"/>
      <c r="TTH27" s="44"/>
      <c r="TTI27" s="44"/>
      <c r="TTJ27" s="44"/>
      <c r="TTK27" s="44"/>
      <c r="TTL27" s="44"/>
      <c r="TTM27" s="44"/>
      <c r="TTN27" s="44"/>
      <c r="TTO27" s="44"/>
      <c r="TTP27" s="44"/>
      <c r="TTQ27" s="44"/>
      <c r="TTR27" s="43"/>
      <c r="TTS27" s="44"/>
      <c r="TTT27" s="44"/>
      <c r="TTU27" s="44"/>
      <c r="TTV27" s="44"/>
      <c r="TTW27" s="44"/>
      <c r="TTX27" s="44"/>
      <c r="TTY27" s="44"/>
      <c r="TTZ27" s="44"/>
      <c r="TUA27" s="44"/>
      <c r="TUB27" s="44"/>
      <c r="TUC27" s="44"/>
      <c r="TUD27" s="44"/>
      <c r="TUE27" s="44"/>
      <c r="TUF27" s="44"/>
      <c r="TUG27" s="43"/>
      <c r="TUH27" s="44"/>
      <c r="TUI27" s="44"/>
      <c r="TUJ27" s="44"/>
      <c r="TUK27" s="44"/>
      <c r="TUL27" s="44"/>
      <c r="TUM27" s="44"/>
      <c r="TUN27" s="44"/>
      <c r="TUO27" s="44"/>
      <c r="TUP27" s="44"/>
      <c r="TUQ27" s="44"/>
      <c r="TUR27" s="44"/>
      <c r="TUS27" s="44"/>
      <c r="TUT27" s="44"/>
      <c r="TUU27" s="44"/>
      <c r="TUV27" s="43"/>
      <c r="TUW27" s="44"/>
      <c r="TUX27" s="44"/>
      <c r="TUY27" s="44"/>
      <c r="TUZ27" s="44"/>
      <c r="TVA27" s="44"/>
      <c r="TVB27" s="44"/>
      <c r="TVC27" s="44"/>
      <c r="TVD27" s="44"/>
      <c r="TVE27" s="44"/>
      <c r="TVF27" s="44"/>
      <c r="TVG27" s="44"/>
      <c r="TVH27" s="44"/>
      <c r="TVI27" s="44"/>
      <c r="TVJ27" s="44"/>
      <c r="TVK27" s="43"/>
      <c r="TVL27" s="44"/>
      <c r="TVM27" s="44"/>
      <c r="TVN27" s="44"/>
      <c r="TVO27" s="44"/>
      <c r="TVP27" s="44"/>
      <c r="TVQ27" s="44"/>
      <c r="TVR27" s="44"/>
      <c r="TVS27" s="44"/>
      <c r="TVT27" s="44"/>
      <c r="TVU27" s="44"/>
      <c r="TVV27" s="44"/>
      <c r="TVW27" s="44"/>
      <c r="TVX27" s="44"/>
      <c r="TVY27" s="44"/>
      <c r="TVZ27" s="43"/>
      <c r="TWA27" s="44"/>
      <c r="TWB27" s="44"/>
      <c r="TWC27" s="44"/>
      <c r="TWD27" s="44"/>
      <c r="TWE27" s="44"/>
      <c r="TWF27" s="44"/>
      <c r="TWG27" s="44"/>
      <c r="TWH27" s="44"/>
      <c r="TWI27" s="44"/>
      <c r="TWJ27" s="44"/>
      <c r="TWK27" s="44"/>
      <c r="TWL27" s="44"/>
      <c r="TWM27" s="44"/>
      <c r="TWN27" s="44"/>
      <c r="TWO27" s="43"/>
      <c r="TWP27" s="44"/>
      <c r="TWQ27" s="44"/>
      <c r="TWR27" s="44"/>
      <c r="TWS27" s="44"/>
      <c r="TWT27" s="44"/>
      <c r="TWU27" s="44"/>
      <c r="TWV27" s="44"/>
      <c r="TWW27" s="44"/>
      <c r="TWX27" s="44"/>
      <c r="TWY27" s="44"/>
      <c r="TWZ27" s="44"/>
      <c r="TXA27" s="44"/>
      <c r="TXB27" s="44"/>
      <c r="TXC27" s="44"/>
      <c r="TXD27" s="43"/>
      <c r="TXE27" s="44"/>
      <c r="TXF27" s="44"/>
      <c r="TXG27" s="44"/>
      <c r="TXH27" s="44"/>
      <c r="TXI27" s="44"/>
      <c r="TXJ27" s="44"/>
      <c r="TXK27" s="44"/>
      <c r="TXL27" s="44"/>
      <c r="TXM27" s="44"/>
      <c r="TXN27" s="44"/>
      <c r="TXO27" s="44"/>
      <c r="TXP27" s="44"/>
      <c r="TXQ27" s="44"/>
      <c r="TXR27" s="44"/>
      <c r="TXS27" s="43"/>
      <c r="TXT27" s="44"/>
      <c r="TXU27" s="44"/>
      <c r="TXV27" s="44"/>
      <c r="TXW27" s="44"/>
      <c r="TXX27" s="44"/>
      <c r="TXY27" s="44"/>
      <c r="TXZ27" s="44"/>
      <c r="TYA27" s="44"/>
      <c r="TYB27" s="44"/>
      <c r="TYC27" s="44"/>
      <c r="TYD27" s="44"/>
      <c r="TYE27" s="44"/>
      <c r="TYF27" s="44"/>
      <c r="TYG27" s="44"/>
      <c r="TYH27" s="43"/>
      <c r="TYI27" s="44"/>
      <c r="TYJ27" s="44"/>
      <c r="TYK27" s="44"/>
      <c r="TYL27" s="44"/>
      <c r="TYM27" s="44"/>
      <c r="TYN27" s="44"/>
      <c r="TYO27" s="44"/>
      <c r="TYP27" s="44"/>
      <c r="TYQ27" s="44"/>
      <c r="TYR27" s="44"/>
      <c r="TYS27" s="44"/>
      <c r="TYT27" s="44"/>
      <c r="TYU27" s="44"/>
      <c r="TYV27" s="44"/>
      <c r="TYW27" s="43"/>
      <c r="TYX27" s="44"/>
      <c r="TYY27" s="44"/>
      <c r="TYZ27" s="44"/>
      <c r="TZA27" s="44"/>
      <c r="TZB27" s="44"/>
      <c r="TZC27" s="44"/>
      <c r="TZD27" s="44"/>
      <c r="TZE27" s="44"/>
      <c r="TZF27" s="44"/>
      <c r="TZG27" s="44"/>
      <c r="TZH27" s="44"/>
      <c r="TZI27" s="44"/>
      <c r="TZJ27" s="44"/>
      <c r="TZK27" s="44"/>
      <c r="TZL27" s="43"/>
      <c r="TZM27" s="44"/>
      <c r="TZN27" s="44"/>
      <c r="TZO27" s="44"/>
      <c r="TZP27" s="44"/>
      <c r="TZQ27" s="44"/>
      <c r="TZR27" s="44"/>
      <c r="TZS27" s="44"/>
      <c r="TZT27" s="44"/>
      <c r="TZU27" s="44"/>
      <c r="TZV27" s="44"/>
      <c r="TZW27" s="44"/>
      <c r="TZX27" s="44"/>
      <c r="TZY27" s="44"/>
      <c r="TZZ27" s="44"/>
      <c r="UAA27" s="43"/>
      <c r="UAB27" s="44"/>
      <c r="UAC27" s="44"/>
      <c r="UAD27" s="44"/>
      <c r="UAE27" s="44"/>
      <c r="UAF27" s="44"/>
      <c r="UAG27" s="44"/>
      <c r="UAH27" s="44"/>
      <c r="UAI27" s="44"/>
      <c r="UAJ27" s="44"/>
      <c r="UAK27" s="44"/>
      <c r="UAL27" s="44"/>
      <c r="UAM27" s="44"/>
      <c r="UAN27" s="44"/>
      <c r="UAO27" s="44"/>
      <c r="UAP27" s="43"/>
      <c r="UAQ27" s="44"/>
      <c r="UAR27" s="44"/>
      <c r="UAS27" s="44"/>
      <c r="UAT27" s="44"/>
      <c r="UAU27" s="44"/>
      <c r="UAV27" s="44"/>
      <c r="UAW27" s="44"/>
      <c r="UAX27" s="44"/>
      <c r="UAY27" s="44"/>
      <c r="UAZ27" s="44"/>
      <c r="UBA27" s="44"/>
      <c r="UBB27" s="44"/>
      <c r="UBC27" s="44"/>
      <c r="UBD27" s="44"/>
      <c r="UBE27" s="43"/>
      <c r="UBF27" s="44"/>
      <c r="UBG27" s="44"/>
      <c r="UBH27" s="44"/>
      <c r="UBI27" s="44"/>
      <c r="UBJ27" s="44"/>
      <c r="UBK27" s="44"/>
      <c r="UBL27" s="44"/>
      <c r="UBM27" s="44"/>
      <c r="UBN27" s="44"/>
      <c r="UBO27" s="44"/>
      <c r="UBP27" s="44"/>
      <c r="UBQ27" s="44"/>
      <c r="UBR27" s="44"/>
      <c r="UBS27" s="44"/>
      <c r="UBT27" s="43"/>
      <c r="UBU27" s="44"/>
      <c r="UBV27" s="44"/>
      <c r="UBW27" s="44"/>
      <c r="UBX27" s="44"/>
      <c r="UBY27" s="44"/>
      <c r="UBZ27" s="44"/>
      <c r="UCA27" s="44"/>
      <c r="UCB27" s="44"/>
      <c r="UCC27" s="44"/>
      <c r="UCD27" s="44"/>
      <c r="UCE27" s="44"/>
      <c r="UCF27" s="44"/>
      <c r="UCG27" s="44"/>
      <c r="UCH27" s="44"/>
      <c r="UCI27" s="43"/>
      <c r="UCJ27" s="44"/>
      <c r="UCK27" s="44"/>
      <c r="UCL27" s="44"/>
      <c r="UCM27" s="44"/>
      <c r="UCN27" s="44"/>
      <c r="UCO27" s="44"/>
      <c r="UCP27" s="44"/>
      <c r="UCQ27" s="44"/>
      <c r="UCR27" s="44"/>
      <c r="UCS27" s="44"/>
      <c r="UCT27" s="44"/>
      <c r="UCU27" s="44"/>
      <c r="UCV27" s="44"/>
      <c r="UCW27" s="44"/>
      <c r="UCX27" s="43"/>
      <c r="UCY27" s="44"/>
      <c r="UCZ27" s="44"/>
      <c r="UDA27" s="44"/>
      <c r="UDB27" s="44"/>
      <c r="UDC27" s="44"/>
      <c r="UDD27" s="44"/>
      <c r="UDE27" s="44"/>
      <c r="UDF27" s="44"/>
      <c r="UDG27" s="44"/>
      <c r="UDH27" s="44"/>
      <c r="UDI27" s="44"/>
      <c r="UDJ27" s="44"/>
      <c r="UDK27" s="44"/>
      <c r="UDL27" s="44"/>
      <c r="UDM27" s="43"/>
      <c r="UDN27" s="44"/>
      <c r="UDO27" s="44"/>
      <c r="UDP27" s="44"/>
      <c r="UDQ27" s="44"/>
      <c r="UDR27" s="44"/>
      <c r="UDS27" s="44"/>
      <c r="UDT27" s="44"/>
      <c r="UDU27" s="44"/>
      <c r="UDV27" s="44"/>
      <c r="UDW27" s="44"/>
      <c r="UDX27" s="44"/>
      <c r="UDY27" s="44"/>
      <c r="UDZ27" s="44"/>
      <c r="UEA27" s="44"/>
      <c r="UEB27" s="43"/>
      <c r="UEC27" s="44"/>
      <c r="UED27" s="44"/>
      <c r="UEE27" s="44"/>
      <c r="UEF27" s="44"/>
      <c r="UEG27" s="44"/>
      <c r="UEH27" s="44"/>
      <c r="UEI27" s="44"/>
      <c r="UEJ27" s="44"/>
      <c r="UEK27" s="44"/>
      <c r="UEL27" s="44"/>
      <c r="UEM27" s="44"/>
      <c r="UEN27" s="44"/>
      <c r="UEO27" s="44"/>
      <c r="UEP27" s="44"/>
      <c r="UEQ27" s="43"/>
      <c r="UER27" s="44"/>
      <c r="UES27" s="44"/>
      <c r="UET27" s="44"/>
      <c r="UEU27" s="44"/>
      <c r="UEV27" s="44"/>
      <c r="UEW27" s="44"/>
      <c r="UEX27" s="44"/>
      <c r="UEY27" s="44"/>
      <c r="UEZ27" s="44"/>
      <c r="UFA27" s="44"/>
      <c r="UFB27" s="44"/>
      <c r="UFC27" s="44"/>
      <c r="UFD27" s="44"/>
      <c r="UFE27" s="44"/>
      <c r="UFF27" s="43"/>
      <c r="UFG27" s="44"/>
      <c r="UFH27" s="44"/>
      <c r="UFI27" s="44"/>
      <c r="UFJ27" s="44"/>
      <c r="UFK27" s="44"/>
      <c r="UFL27" s="44"/>
      <c r="UFM27" s="44"/>
      <c r="UFN27" s="44"/>
      <c r="UFO27" s="44"/>
      <c r="UFP27" s="44"/>
      <c r="UFQ27" s="44"/>
      <c r="UFR27" s="44"/>
      <c r="UFS27" s="44"/>
      <c r="UFT27" s="44"/>
      <c r="UFU27" s="43"/>
      <c r="UFV27" s="44"/>
      <c r="UFW27" s="44"/>
      <c r="UFX27" s="44"/>
      <c r="UFY27" s="44"/>
      <c r="UFZ27" s="44"/>
      <c r="UGA27" s="44"/>
      <c r="UGB27" s="44"/>
      <c r="UGC27" s="44"/>
      <c r="UGD27" s="44"/>
      <c r="UGE27" s="44"/>
      <c r="UGF27" s="44"/>
      <c r="UGG27" s="44"/>
      <c r="UGH27" s="44"/>
      <c r="UGI27" s="44"/>
      <c r="UGJ27" s="43"/>
      <c r="UGK27" s="44"/>
      <c r="UGL27" s="44"/>
      <c r="UGM27" s="44"/>
      <c r="UGN27" s="44"/>
      <c r="UGO27" s="44"/>
      <c r="UGP27" s="44"/>
      <c r="UGQ27" s="44"/>
      <c r="UGR27" s="44"/>
      <c r="UGS27" s="44"/>
      <c r="UGT27" s="44"/>
      <c r="UGU27" s="44"/>
      <c r="UGV27" s="44"/>
      <c r="UGW27" s="44"/>
      <c r="UGX27" s="44"/>
      <c r="UGY27" s="43"/>
      <c r="UGZ27" s="44"/>
      <c r="UHA27" s="44"/>
      <c r="UHB27" s="44"/>
      <c r="UHC27" s="44"/>
      <c r="UHD27" s="44"/>
      <c r="UHE27" s="44"/>
      <c r="UHF27" s="44"/>
      <c r="UHG27" s="44"/>
      <c r="UHH27" s="44"/>
      <c r="UHI27" s="44"/>
      <c r="UHJ27" s="44"/>
      <c r="UHK27" s="44"/>
      <c r="UHL27" s="44"/>
      <c r="UHM27" s="44"/>
      <c r="UHN27" s="43"/>
      <c r="UHO27" s="44"/>
      <c r="UHP27" s="44"/>
      <c r="UHQ27" s="44"/>
      <c r="UHR27" s="44"/>
      <c r="UHS27" s="44"/>
      <c r="UHT27" s="44"/>
      <c r="UHU27" s="44"/>
      <c r="UHV27" s="44"/>
      <c r="UHW27" s="44"/>
      <c r="UHX27" s="44"/>
      <c r="UHY27" s="44"/>
      <c r="UHZ27" s="44"/>
      <c r="UIA27" s="44"/>
      <c r="UIB27" s="44"/>
      <c r="UIC27" s="43"/>
      <c r="UID27" s="44"/>
      <c r="UIE27" s="44"/>
      <c r="UIF27" s="44"/>
      <c r="UIG27" s="44"/>
      <c r="UIH27" s="44"/>
      <c r="UII27" s="44"/>
      <c r="UIJ27" s="44"/>
      <c r="UIK27" s="44"/>
      <c r="UIL27" s="44"/>
      <c r="UIM27" s="44"/>
      <c r="UIN27" s="44"/>
      <c r="UIO27" s="44"/>
      <c r="UIP27" s="44"/>
      <c r="UIQ27" s="44"/>
      <c r="UIR27" s="43"/>
      <c r="UIS27" s="44"/>
      <c r="UIT27" s="44"/>
      <c r="UIU27" s="44"/>
      <c r="UIV27" s="44"/>
      <c r="UIW27" s="44"/>
      <c r="UIX27" s="44"/>
      <c r="UIY27" s="44"/>
      <c r="UIZ27" s="44"/>
      <c r="UJA27" s="44"/>
      <c r="UJB27" s="44"/>
      <c r="UJC27" s="44"/>
      <c r="UJD27" s="44"/>
      <c r="UJE27" s="44"/>
      <c r="UJF27" s="44"/>
      <c r="UJG27" s="43"/>
      <c r="UJH27" s="44"/>
      <c r="UJI27" s="44"/>
      <c r="UJJ27" s="44"/>
      <c r="UJK27" s="44"/>
      <c r="UJL27" s="44"/>
      <c r="UJM27" s="44"/>
      <c r="UJN27" s="44"/>
      <c r="UJO27" s="44"/>
      <c r="UJP27" s="44"/>
      <c r="UJQ27" s="44"/>
      <c r="UJR27" s="44"/>
      <c r="UJS27" s="44"/>
      <c r="UJT27" s="44"/>
      <c r="UJU27" s="44"/>
      <c r="UJV27" s="43"/>
      <c r="UJW27" s="44"/>
      <c r="UJX27" s="44"/>
      <c r="UJY27" s="44"/>
      <c r="UJZ27" s="44"/>
      <c r="UKA27" s="44"/>
      <c r="UKB27" s="44"/>
      <c r="UKC27" s="44"/>
      <c r="UKD27" s="44"/>
      <c r="UKE27" s="44"/>
      <c r="UKF27" s="44"/>
      <c r="UKG27" s="44"/>
      <c r="UKH27" s="44"/>
      <c r="UKI27" s="44"/>
      <c r="UKJ27" s="44"/>
      <c r="UKK27" s="43"/>
      <c r="UKL27" s="44"/>
      <c r="UKM27" s="44"/>
      <c r="UKN27" s="44"/>
      <c r="UKO27" s="44"/>
      <c r="UKP27" s="44"/>
      <c r="UKQ27" s="44"/>
      <c r="UKR27" s="44"/>
      <c r="UKS27" s="44"/>
      <c r="UKT27" s="44"/>
      <c r="UKU27" s="44"/>
      <c r="UKV27" s="44"/>
      <c r="UKW27" s="44"/>
      <c r="UKX27" s="44"/>
      <c r="UKY27" s="44"/>
      <c r="UKZ27" s="43"/>
      <c r="ULA27" s="44"/>
      <c r="ULB27" s="44"/>
      <c r="ULC27" s="44"/>
      <c r="ULD27" s="44"/>
      <c r="ULE27" s="44"/>
      <c r="ULF27" s="44"/>
      <c r="ULG27" s="44"/>
      <c r="ULH27" s="44"/>
      <c r="ULI27" s="44"/>
      <c r="ULJ27" s="44"/>
      <c r="ULK27" s="44"/>
      <c r="ULL27" s="44"/>
      <c r="ULM27" s="44"/>
      <c r="ULN27" s="44"/>
      <c r="ULO27" s="43"/>
      <c r="ULP27" s="44"/>
      <c r="ULQ27" s="44"/>
      <c r="ULR27" s="44"/>
      <c r="ULS27" s="44"/>
      <c r="ULT27" s="44"/>
      <c r="ULU27" s="44"/>
      <c r="ULV27" s="44"/>
      <c r="ULW27" s="44"/>
      <c r="ULX27" s="44"/>
      <c r="ULY27" s="44"/>
      <c r="ULZ27" s="44"/>
      <c r="UMA27" s="44"/>
      <c r="UMB27" s="44"/>
      <c r="UMC27" s="44"/>
      <c r="UMD27" s="43"/>
      <c r="UME27" s="44"/>
      <c r="UMF27" s="44"/>
      <c r="UMG27" s="44"/>
      <c r="UMH27" s="44"/>
      <c r="UMI27" s="44"/>
      <c r="UMJ27" s="44"/>
      <c r="UMK27" s="44"/>
      <c r="UML27" s="44"/>
      <c r="UMM27" s="44"/>
      <c r="UMN27" s="44"/>
      <c r="UMO27" s="44"/>
      <c r="UMP27" s="44"/>
      <c r="UMQ27" s="44"/>
      <c r="UMR27" s="44"/>
      <c r="UMS27" s="43"/>
      <c r="UMT27" s="44"/>
      <c r="UMU27" s="44"/>
      <c r="UMV27" s="44"/>
      <c r="UMW27" s="44"/>
      <c r="UMX27" s="44"/>
      <c r="UMY27" s="44"/>
      <c r="UMZ27" s="44"/>
      <c r="UNA27" s="44"/>
      <c r="UNB27" s="44"/>
      <c r="UNC27" s="44"/>
      <c r="UND27" s="44"/>
      <c r="UNE27" s="44"/>
      <c r="UNF27" s="44"/>
      <c r="UNG27" s="44"/>
      <c r="UNH27" s="43"/>
      <c r="UNI27" s="44"/>
      <c r="UNJ27" s="44"/>
      <c r="UNK27" s="44"/>
      <c r="UNL27" s="44"/>
      <c r="UNM27" s="44"/>
      <c r="UNN27" s="44"/>
      <c r="UNO27" s="44"/>
      <c r="UNP27" s="44"/>
      <c r="UNQ27" s="44"/>
      <c r="UNR27" s="44"/>
      <c r="UNS27" s="44"/>
      <c r="UNT27" s="44"/>
      <c r="UNU27" s="44"/>
      <c r="UNV27" s="44"/>
      <c r="UNW27" s="43"/>
      <c r="UNX27" s="44"/>
      <c r="UNY27" s="44"/>
      <c r="UNZ27" s="44"/>
      <c r="UOA27" s="44"/>
      <c r="UOB27" s="44"/>
      <c r="UOC27" s="44"/>
      <c r="UOD27" s="44"/>
      <c r="UOE27" s="44"/>
      <c r="UOF27" s="44"/>
      <c r="UOG27" s="44"/>
      <c r="UOH27" s="44"/>
      <c r="UOI27" s="44"/>
      <c r="UOJ27" s="44"/>
      <c r="UOK27" s="44"/>
      <c r="UOL27" s="43"/>
      <c r="UOM27" s="44"/>
      <c r="UON27" s="44"/>
      <c r="UOO27" s="44"/>
      <c r="UOP27" s="44"/>
      <c r="UOQ27" s="44"/>
      <c r="UOR27" s="44"/>
      <c r="UOS27" s="44"/>
      <c r="UOT27" s="44"/>
      <c r="UOU27" s="44"/>
      <c r="UOV27" s="44"/>
      <c r="UOW27" s="44"/>
      <c r="UOX27" s="44"/>
      <c r="UOY27" s="44"/>
      <c r="UOZ27" s="44"/>
      <c r="UPA27" s="43"/>
      <c r="UPB27" s="44"/>
      <c r="UPC27" s="44"/>
      <c r="UPD27" s="44"/>
      <c r="UPE27" s="44"/>
      <c r="UPF27" s="44"/>
      <c r="UPG27" s="44"/>
      <c r="UPH27" s="44"/>
      <c r="UPI27" s="44"/>
      <c r="UPJ27" s="44"/>
      <c r="UPK27" s="44"/>
      <c r="UPL27" s="44"/>
      <c r="UPM27" s="44"/>
      <c r="UPN27" s="44"/>
      <c r="UPO27" s="44"/>
      <c r="UPP27" s="43"/>
      <c r="UPQ27" s="44"/>
      <c r="UPR27" s="44"/>
      <c r="UPS27" s="44"/>
      <c r="UPT27" s="44"/>
      <c r="UPU27" s="44"/>
      <c r="UPV27" s="44"/>
      <c r="UPW27" s="44"/>
      <c r="UPX27" s="44"/>
      <c r="UPY27" s="44"/>
      <c r="UPZ27" s="44"/>
      <c r="UQA27" s="44"/>
      <c r="UQB27" s="44"/>
      <c r="UQC27" s="44"/>
      <c r="UQD27" s="44"/>
      <c r="UQE27" s="43"/>
      <c r="UQF27" s="44"/>
      <c r="UQG27" s="44"/>
      <c r="UQH27" s="44"/>
      <c r="UQI27" s="44"/>
      <c r="UQJ27" s="44"/>
      <c r="UQK27" s="44"/>
      <c r="UQL27" s="44"/>
      <c r="UQM27" s="44"/>
      <c r="UQN27" s="44"/>
      <c r="UQO27" s="44"/>
      <c r="UQP27" s="44"/>
      <c r="UQQ27" s="44"/>
      <c r="UQR27" s="44"/>
      <c r="UQS27" s="44"/>
      <c r="UQT27" s="43"/>
      <c r="UQU27" s="44"/>
      <c r="UQV27" s="44"/>
      <c r="UQW27" s="44"/>
      <c r="UQX27" s="44"/>
      <c r="UQY27" s="44"/>
      <c r="UQZ27" s="44"/>
      <c r="URA27" s="44"/>
      <c r="URB27" s="44"/>
      <c r="URC27" s="44"/>
      <c r="URD27" s="44"/>
      <c r="URE27" s="44"/>
      <c r="URF27" s="44"/>
      <c r="URG27" s="44"/>
      <c r="URH27" s="44"/>
      <c r="URI27" s="43"/>
      <c r="URJ27" s="44"/>
      <c r="URK27" s="44"/>
      <c r="URL27" s="44"/>
      <c r="URM27" s="44"/>
      <c r="URN27" s="44"/>
      <c r="URO27" s="44"/>
      <c r="URP27" s="44"/>
      <c r="URQ27" s="44"/>
      <c r="URR27" s="44"/>
      <c r="URS27" s="44"/>
      <c r="URT27" s="44"/>
      <c r="URU27" s="44"/>
      <c r="URV27" s="44"/>
      <c r="URW27" s="44"/>
      <c r="URX27" s="43"/>
      <c r="URY27" s="44"/>
      <c r="URZ27" s="44"/>
      <c r="USA27" s="44"/>
      <c r="USB27" s="44"/>
      <c r="USC27" s="44"/>
      <c r="USD27" s="44"/>
      <c r="USE27" s="44"/>
      <c r="USF27" s="44"/>
      <c r="USG27" s="44"/>
      <c r="USH27" s="44"/>
      <c r="USI27" s="44"/>
      <c r="USJ27" s="44"/>
      <c r="USK27" s="44"/>
      <c r="USL27" s="44"/>
      <c r="USM27" s="43"/>
      <c r="USN27" s="44"/>
      <c r="USO27" s="44"/>
      <c r="USP27" s="44"/>
      <c r="USQ27" s="44"/>
      <c r="USR27" s="44"/>
      <c r="USS27" s="44"/>
      <c r="UST27" s="44"/>
      <c r="USU27" s="44"/>
      <c r="USV27" s="44"/>
      <c r="USW27" s="44"/>
      <c r="USX27" s="44"/>
      <c r="USY27" s="44"/>
      <c r="USZ27" s="44"/>
      <c r="UTA27" s="44"/>
      <c r="UTB27" s="43"/>
      <c r="UTC27" s="44"/>
      <c r="UTD27" s="44"/>
      <c r="UTE27" s="44"/>
      <c r="UTF27" s="44"/>
      <c r="UTG27" s="44"/>
      <c r="UTH27" s="44"/>
      <c r="UTI27" s="44"/>
      <c r="UTJ27" s="44"/>
      <c r="UTK27" s="44"/>
      <c r="UTL27" s="44"/>
      <c r="UTM27" s="44"/>
      <c r="UTN27" s="44"/>
      <c r="UTO27" s="44"/>
      <c r="UTP27" s="44"/>
      <c r="UTQ27" s="43"/>
      <c r="UTR27" s="44"/>
      <c r="UTS27" s="44"/>
      <c r="UTT27" s="44"/>
      <c r="UTU27" s="44"/>
      <c r="UTV27" s="44"/>
      <c r="UTW27" s="44"/>
      <c r="UTX27" s="44"/>
      <c r="UTY27" s="44"/>
      <c r="UTZ27" s="44"/>
      <c r="UUA27" s="44"/>
      <c r="UUB27" s="44"/>
      <c r="UUC27" s="44"/>
      <c r="UUD27" s="44"/>
      <c r="UUE27" s="44"/>
      <c r="UUF27" s="43"/>
      <c r="UUG27" s="44"/>
      <c r="UUH27" s="44"/>
      <c r="UUI27" s="44"/>
      <c r="UUJ27" s="44"/>
      <c r="UUK27" s="44"/>
      <c r="UUL27" s="44"/>
      <c r="UUM27" s="44"/>
      <c r="UUN27" s="44"/>
      <c r="UUO27" s="44"/>
      <c r="UUP27" s="44"/>
      <c r="UUQ27" s="44"/>
      <c r="UUR27" s="44"/>
      <c r="UUS27" s="44"/>
      <c r="UUT27" s="44"/>
      <c r="UUU27" s="43"/>
      <c r="UUV27" s="44"/>
      <c r="UUW27" s="44"/>
      <c r="UUX27" s="44"/>
      <c r="UUY27" s="44"/>
      <c r="UUZ27" s="44"/>
      <c r="UVA27" s="44"/>
      <c r="UVB27" s="44"/>
      <c r="UVC27" s="44"/>
      <c r="UVD27" s="44"/>
      <c r="UVE27" s="44"/>
      <c r="UVF27" s="44"/>
      <c r="UVG27" s="44"/>
      <c r="UVH27" s="44"/>
      <c r="UVI27" s="44"/>
      <c r="UVJ27" s="43"/>
      <c r="UVK27" s="44"/>
      <c r="UVL27" s="44"/>
      <c r="UVM27" s="44"/>
      <c r="UVN27" s="44"/>
      <c r="UVO27" s="44"/>
      <c r="UVP27" s="44"/>
      <c r="UVQ27" s="44"/>
      <c r="UVR27" s="44"/>
      <c r="UVS27" s="44"/>
      <c r="UVT27" s="44"/>
      <c r="UVU27" s="44"/>
      <c r="UVV27" s="44"/>
      <c r="UVW27" s="44"/>
      <c r="UVX27" s="44"/>
      <c r="UVY27" s="43"/>
      <c r="UVZ27" s="44"/>
      <c r="UWA27" s="44"/>
      <c r="UWB27" s="44"/>
      <c r="UWC27" s="44"/>
      <c r="UWD27" s="44"/>
      <c r="UWE27" s="44"/>
      <c r="UWF27" s="44"/>
      <c r="UWG27" s="44"/>
      <c r="UWH27" s="44"/>
      <c r="UWI27" s="44"/>
      <c r="UWJ27" s="44"/>
      <c r="UWK27" s="44"/>
      <c r="UWL27" s="44"/>
      <c r="UWM27" s="44"/>
      <c r="UWN27" s="43"/>
      <c r="UWO27" s="44"/>
      <c r="UWP27" s="44"/>
      <c r="UWQ27" s="44"/>
      <c r="UWR27" s="44"/>
      <c r="UWS27" s="44"/>
      <c r="UWT27" s="44"/>
      <c r="UWU27" s="44"/>
      <c r="UWV27" s="44"/>
      <c r="UWW27" s="44"/>
      <c r="UWX27" s="44"/>
      <c r="UWY27" s="44"/>
      <c r="UWZ27" s="44"/>
      <c r="UXA27" s="44"/>
      <c r="UXB27" s="44"/>
      <c r="UXC27" s="43"/>
      <c r="UXD27" s="44"/>
      <c r="UXE27" s="44"/>
      <c r="UXF27" s="44"/>
      <c r="UXG27" s="44"/>
      <c r="UXH27" s="44"/>
      <c r="UXI27" s="44"/>
      <c r="UXJ27" s="44"/>
      <c r="UXK27" s="44"/>
      <c r="UXL27" s="44"/>
      <c r="UXM27" s="44"/>
      <c r="UXN27" s="44"/>
      <c r="UXO27" s="44"/>
      <c r="UXP27" s="44"/>
      <c r="UXQ27" s="44"/>
      <c r="UXR27" s="43"/>
      <c r="UXS27" s="44"/>
      <c r="UXT27" s="44"/>
      <c r="UXU27" s="44"/>
      <c r="UXV27" s="44"/>
      <c r="UXW27" s="44"/>
      <c r="UXX27" s="44"/>
      <c r="UXY27" s="44"/>
      <c r="UXZ27" s="44"/>
      <c r="UYA27" s="44"/>
      <c r="UYB27" s="44"/>
      <c r="UYC27" s="44"/>
      <c r="UYD27" s="44"/>
      <c r="UYE27" s="44"/>
      <c r="UYF27" s="44"/>
      <c r="UYG27" s="43"/>
      <c r="UYH27" s="44"/>
      <c r="UYI27" s="44"/>
      <c r="UYJ27" s="44"/>
      <c r="UYK27" s="44"/>
      <c r="UYL27" s="44"/>
      <c r="UYM27" s="44"/>
      <c r="UYN27" s="44"/>
      <c r="UYO27" s="44"/>
      <c r="UYP27" s="44"/>
      <c r="UYQ27" s="44"/>
      <c r="UYR27" s="44"/>
      <c r="UYS27" s="44"/>
      <c r="UYT27" s="44"/>
      <c r="UYU27" s="44"/>
      <c r="UYV27" s="43"/>
      <c r="UYW27" s="44"/>
      <c r="UYX27" s="44"/>
      <c r="UYY27" s="44"/>
      <c r="UYZ27" s="44"/>
      <c r="UZA27" s="44"/>
      <c r="UZB27" s="44"/>
      <c r="UZC27" s="44"/>
      <c r="UZD27" s="44"/>
      <c r="UZE27" s="44"/>
      <c r="UZF27" s="44"/>
      <c r="UZG27" s="44"/>
      <c r="UZH27" s="44"/>
      <c r="UZI27" s="44"/>
      <c r="UZJ27" s="44"/>
      <c r="UZK27" s="43"/>
      <c r="UZL27" s="44"/>
      <c r="UZM27" s="44"/>
      <c r="UZN27" s="44"/>
      <c r="UZO27" s="44"/>
      <c r="UZP27" s="44"/>
      <c r="UZQ27" s="44"/>
      <c r="UZR27" s="44"/>
      <c r="UZS27" s="44"/>
      <c r="UZT27" s="44"/>
      <c r="UZU27" s="44"/>
      <c r="UZV27" s="44"/>
      <c r="UZW27" s="44"/>
      <c r="UZX27" s="44"/>
      <c r="UZY27" s="44"/>
      <c r="UZZ27" s="43"/>
      <c r="VAA27" s="44"/>
      <c r="VAB27" s="44"/>
      <c r="VAC27" s="44"/>
      <c r="VAD27" s="44"/>
      <c r="VAE27" s="44"/>
      <c r="VAF27" s="44"/>
      <c r="VAG27" s="44"/>
      <c r="VAH27" s="44"/>
      <c r="VAI27" s="44"/>
      <c r="VAJ27" s="44"/>
      <c r="VAK27" s="44"/>
      <c r="VAL27" s="44"/>
      <c r="VAM27" s="44"/>
      <c r="VAN27" s="44"/>
      <c r="VAO27" s="43"/>
      <c r="VAP27" s="44"/>
      <c r="VAQ27" s="44"/>
      <c r="VAR27" s="44"/>
      <c r="VAS27" s="44"/>
      <c r="VAT27" s="44"/>
      <c r="VAU27" s="44"/>
      <c r="VAV27" s="44"/>
      <c r="VAW27" s="44"/>
      <c r="VAX27" s="44"/>
      <c r="VAY27" s="44"/>
      <c r="VAZ27" s="44"/>
      <c r="VBA27" s="44"/>
      <c r="VBB27" s="44"/>
      <c r="VBC27" s="44"/>
      <c r="VBD27" s="43"/>
      <c r="VBE27" s="44"/>
      <c r="VBF27" s="44"/>
      <c r="VBG27" s="44"/>
      <c r="VBH27" s="44"/>
      <c r="VBI27" s="44"/>
      <c r="VBJ27" s="44"/>
      <c r="VBK27" s="44"/>
      <c r="VBL27" s="44"/>
      <c r="VBM27" s="44"/>
      <c r="VBN27" s="44"/>
      <c r="VBO27" s="44"/>
      <c r="VBP27" s="44"/>
      <c r="VBQ27" s="44"/>
      <c r="VBR27" s="44"/>
      <c r="VBS27" s="43"/>
      <c r="VBT27" s="44"/>
      <c r="VBU27" s="44"/>
      <c r="VBV27" s="44"/>
      <c r="VBW27" s="44"/>
      <c r="VBX27" s="44"/>
      <c r="VBY27" s="44"/>
      <c r="VBZ27" s="44"/>
      <c r="VCA27" s="44"/>
      <c r="VCB27" s="44"/>
      <c r="VCC27" s="44"/>
      <c r="VCD27" s="44"/>
      <c r="VCE27" s="44"/>
      <c r="VCF27" s="44"/>
      <c r="VCG27" s="44"/>
      <c r="VCH27" s="43"/>
      <c r="VCI27" s="44"/>
      <c r="VCJ27" s="44"/>
      <c r="VCK27" s="44"/>
      <c r="VCL27" s="44"/>
      <c r="VCM27" s="44"/>
      <c r="VCN27" s="44"/>
      <c r="VCO27" s="44"/>
      <c r="VCP27" s="44"/>
      <c r="VCQ27" s="44"/>
      <c r="VCR27" s="44"/>
      <c r="VCS27" s="44"/>
      <c r="VCT27" s="44"/>
      <c r="VCU27" s="44"/>
      <c r="VCV27" s="44"/>
      <c r="VCW27" s="43"/>
      <c r="VCX27" s="44"/>
      <c r="VCY27" s="44"/>
      <c r="VCZ27" s="44"/>
      <c r="VDA27" s="44"/>
      <c r="VDB27" s="44"/>
      <c r="VDC27" s="44"/>
      <c r="VDD27" s="44"/>
      <c r="VDE27" s="44"/>
      <c r="VDF27" s="44"/>
      <c r="VDG27" s="44"/>
      <c r="VDH27" s="44"/>
      <c r="VDI27" s="44"/>
      <c r="VDJ27" s="44"/>
      <c r="VDK27" s="44"/>
      <c r="VDL27" s="43"/>
      <c r="VDM27" s="44"/>
      <c r="VDN27" s="44"/>
      <c r="VDO27" s="44"/>
      <c r="VDP27" s="44"/>
      <c r="VDQ27" s="44"/>
      <c r="VDR27" s="44"/>
      <c r="VDS27" s="44"/>
      <c r="VDT27" s="44"/>
      <c r="VDU27" s="44"/>
      <c r="VDV27" s="44"/>
      <c r="VDW27" s="44"/>
      <c r="VDX27" s="44"/>
      <c r="VDY27" s="44"/>
      <c r="VDZ27" s="44"/>
      <c r="VEA27" s="43"/>
      <c r="VEB27" s="44"/>
      <c r="VEC27" s="44"/>
      <c r="VED27" s="44"/>
      <c r="VEE27" s="44"/>
      <c r="VEF27" s="44"/>
      <c r="VEG27" s="44"/>
      <c r="VEH27" s="44"/>
      <c r="VEI27" s="44"/>
      <c r="VEJ27" s="44"/>
      <c r="VEK27" s="44"/>
      <c r="VEL27" s="44"/>
      <c r="VEM27" s="44"/>
      <c r="VEN27" s="44"/>
      <c r="VEO27" s="44"/>
      <c r="VEP27" s="43"/>
      <c r="VEQ27" s="44"/>
      <c r="VER27" s="44"/>
      <c r="VES27" s="44"/>
      <c r="VET27" s="44"/>
      <c r="VEU27" s="44"/>
      <c r="VEV27" s="44"/>
      <c r="VEW27" s="44"/>
      <c r="VEX27" s="44"/>
      <c r="VEY27" s="44"/>
      <c r="VEZ27" s="44"/>
      <c r="VFA27" s="44"/>
      <c r="VFB27" s="44"/>
      <c r="VFC27" s="44"/>
      <c r="VFD27" s="44"/>
      <c r="VFE27" s="43"/>
      <c r="VFF27" s="44"/>
      <c r="VFG27" s="44"/>
      <c r="VFH27" s="44"/>
      <c r="VFI27" s="44"/>
      <c r="VFJ27" s="44"/>
      <c r="VFK27" s="44"/>
      <c r="VFL27" s="44"/>
      <c r="VFM27" s="44"/>
      <c r="VFN27" s="44"/>
      <c r="VFO27" s="44"/>
      <c r="VFP27" s="44"/>
      <c r="VFQ27" s="44"/>
      <c r="VFR27" s="44"/>
      <c r="VFS27" s="44"/>
      <c r="VFT27" s="43"/>
      <c r="VFU27" s="44"/>
      <c r="VFV27" s="44"/>
      <c r="VFW27" s="44"/>
      <c r="VFX27" s="44"/>
      <c r="VFY27" s="44"/>
      <c r="VFZ27" s="44"/>
      <c r="VGA27" s="44"/>
      <c r="VGB27" s="44"/>
      <c r="VGC27" s="44"/>
      <c r="VGD27" s="44"/>
      <c r="VGE27" s="44"/>
      <c r="VGF27" s="44"/>
      <c r="VGG27" s="44"/>
      <c r="VGH27" s="44"/>
      <c r="VGI27" s="43"/>
      <c r="VGJ27" s="44"/>
      <c r="VGK27" s="44"/>
      <c r="VGL27" s="44"/>
      <c r="VGM27" s="44"/>
      <c r="VGN27" s="44"/>
      <c r="VGO27" s="44"/>
      <c r="VGP27" s="44"/>
      <c r="VGQ27" s="44"/>
      <c r="VGR27" s="44"/>
      <c r="VGS27" s="44"/>
      <c r="VGT27" s="44"/>
      <c r="VGU27" s="44"/>
      <c r="VGV27" s="44"/>
      <c r="VGW27" s="44"/>
      <c r="VGX27" s="43"/>
      <c r="VGY27" s="44"/>
      <c r="VGZ27" s="44"/>
      <c r="VHA27" s="44"/>
      <c r="VHB27" s="44"/>
      <c r="VHC27" s="44"/>
      <c r="VHD27" s="44"/>
      <c r="VHE27" s="44"/>
      <c r="VHF27" s="44"/>
      <c r="VHG27" s="44"/>
      <c r="VHH27" s="44"/>
      <c r="VHI27" s="44"/>
      <c r="VHJ27" s="44"/>
      <c r="VHK27" s="44"/>
      <c r="VHL27" s="44"/>
      <c r="VHM27" s="43"/>
      <c r="VHN27" s="44"/>
      <c r="VHO27" s="44"/>
      <c r="VHP27" s="44"/>
      <c r="VHQ27" s="44"/>
      <c r="VHR27" s="44"/>
      <c r="VHS27" s="44"/>
      <c r="VHT27" s="44"/>
      <c r="VHU27" s="44"/>
      <c r="VHV27" s="44"/>
      <c r="VHW27" s="44"/>
      <c r="VHX27" s="44"/>
      <c r="VHY27" s="44"/>
      <c r="VHZ27" s="44"/>
      <c r="VIA27" s="44"/>
      <c r="VIB27" s="43"/>
      <c r="VIC27" s="44"/>
      <c r="VID27" s="44"/>
      <c r="VIE27" s="44"/>
      <c r="VIF27" s="44"/>
      <c r="VIG27" s="44"/>
      <c r="VIH27" s="44"/>
      <c r="VII27" s="44"/>
      <c r="VIJ27" s="44"/>
      <c r="VIK27" s="44"/>
      <c r="VIL27" s="44"/>
      <c r="VIM27" s="44"/>
      <c r="VIN27" s="44"/>
      <c r="VIO27" s="44"/>
      <c r="VIP27" s="44"/>
      <c r="VIQ27" s="43"/>
      <c r="VIR27" s="44"/>
      <c r="VIS27" s="44"/>
      <c r="VIT27" s="44"/>
      <c r="VIU27" s="44"/>
      <c r="VIV27" s="44"/>
      <c r="VIW27" s="44"/>
      <c r="VIX27" s="44"/>
      <c r="VIY27" s="44"/>
      <c r="VIZ27" s="44"/>
      <c r="VJA27" s="44"/>
      <c r="VJB27" s="44"/>
      <c r="VJC27" s="44"/>
      <c r="VJD27" s="44"/>
      <c r="VJE27" s="44"/>
      <c r="VJF27" s="43"/>
      <c r="VJG27" s="44"/>
      <c r="VJH27" s="44"/>
      <c r="VJI27" s="44"/>
      <c r="VJJ27" s="44"/>
      <c r="VJK27" s="44"/>
      <c r="VJL27" s="44"/>
      <c r="VJM27" s="44"/>
      <c r="VJN27" s="44"/>
      <c r="VJO27" s="44"/>
      <c r="VJP27" s="44"/>
      <c r="VJQ27" s="44"/>
      <c r="VJR27" s="44"/>
      <c r="VJS27" s="44"/>
      <c r="VJT27" s="44"/>
      <c r="VJU27" s="43"/>
      <c r="VJV27" s="44"/>
      <c r="VJW27" s="44"/>
      <c r="VJX27" s="44"/>
      <c r="VJY27" s="44"/>
      <c r="VJZ27" s="44"/>
      <c r="VKA27" s="44"/>
      <c r="VKB27" s="44"/>
      <c r="VKC27" s="44"/>
      <c r="VKD27" s="44"/>
      <c r="VKE27" s="44"/>
      <c r="VKF27" s="44"/>
      <c r="VKG27" s="44"/>
      <c r="VKH27" s="44"/>
      <c r="VKI27" s="44"/>
      <c r="VKJ27" s="43"/>
      <c r="VKK27" s="44"/>
      <c r="VKL27" s="44"/>
      <c r="VKM27" s="44"/>
      <c r="VKN27" s="44"/>
      <c r="VKO27" s="44"/>
      <c r="VKP27" s="44"/>
      <c r="VKQ27" s="44"/>
      <c r="VKR27" s="44"/>
      <c r="VKS27" s="44"/>
      <c r="VKT27" s="44"/>
      <c r="VKU27" s="44"/>
      <c r="VKV27" s="44"/>
      <c r="VKW27" s="44"/>
      <c r="VKX27" s="44"/>
      <c r="VKY27" s="43"/>
      <c r="VKZ27" s="44"/>
      <c r="VLA27" s="44"/>
      <c r="VLB27" s="44"/>
      <c r="VLC27" s="44"/>
      <c r="VLD27" s="44"/>
      <c r="VLE27" s="44"/>
      <c r="VLF27" s="44"/>
      <c r="VLG27" s="44"/>
      <c r="VLH27" s="44"/>
      <c r="VLI27" s="44"/>
      <c r="VLJ27" s="44"/>
      <c r="VLK27" s="44"/>
      <c r="VLL27" s="44"/>
      <c r="VLM27" s="44"/>
      <c r="VLN27" s="43"/>
      <c r="VLO27" s="44"/>
      <c r="VLP27" s="44"/>
      <c r="VLQ27" s="44"/>
      <c r="VLR27" s="44"/>
      <c r="VLS27" s="44"/>
      <c r="VLT27" s="44"/>
      <c r="VLU27" s="44"/>
      <c r="VLV27" s="44"/>
      <c r="VLW27" s="44"/>
      <c r="VLX27" s="44"/>
      <c r="VLY27" s="44"/>
      <c r="VLZ27" s="44"/>
      <c r="VMA27" s="44"/>
      <c r="VMB27" s="44"/>
      <c r="VMC27" s="43"/>
      <c r="VMD27" s="44"/>
      <c r="VME27" s="44"/>
      <c r="VMF27" s="44"/>
      <c r="VMG27" s="44"/>
      <c r="VMH27" s="44"/>
      <c r="VMI27" s="44"/>
      <c r="VMJ27" s="44"/>
      <c r="VMK27" s="44"/>
      <c r="VML27" s="44"/>
      <c r="VMM27" s="44"/>
      <c r="VMN27" s="44"/>
      <c r="VMO27" s="44"/>
      <c r="VMP27" s="44"/>
      <c r="VMQ27" s="44"/>
      <c r="VMR27" s="43"/>
      <c r="VMS27" s="44"/>
      <c r="VMT27" s="44"/>
      <c r="VMU27" s="44"/>
      <c r="VMV27" s="44"/>
      <c r="VMW27" s="44"/>
      <c r="VMX27" s="44"/>
      <c r="VMY27" s="44"/>
      <c r="VMZ27" s="44"/>
      <c r="VNA27" s="44"/>
      <c r="VNB27" s="44"/>
      <c r="VNC27" s="44"/>
      <c r="VND27" s="44"/>
      <c r="VNE27" s="44"/>
      <c r="VNF27" s="44"/>
      <c r="VNG27" s="43"/>
      <c r="VNH27" s="44"/>
      <c r="VNI27" s="44"/>
      <c r="VNJ27" s="44"/>
      <c r="VNK27" s="44"/>
      <c r="VNL27" s="44"/>
      <c r="VNM27" s="44"/>
      <c r="VNN27" s="44"/>
      <c r="VNO27" s="44"/>
      <c r="VNP27" s="44"/>
      <c r="VNQ27" s="44"/>
      <c r="VNR27" s="44"/>
      <c r="VNS27" s="44"/>
      <c r="VNT27" s="44"/>
      <c r="VNU27" s="44"/>
      <c r="VNV27" s="43"/>
      <c r="VNW27" s="44"/>
      <c r="VNX27" s="44"/>
      <c r="VNY27" s="44"/>
      <c r="VNZ27" s="44"/>
      <c r="VOA27" s="44"/>
      <c r="VOB27" s="44"/>
      <c r="VOC27" s="44"/>
      <c r="VOD27" s="44"/>
      <c r="VOE27" s="44"/>
      <c r="VOF27" s="44"/>
      <c r="VOG27" s="44"/>
      <c r="VOH27" s="44"/>
      <c r="VOI27" s="44"/>
      <c r="VOJ27" s="44"/>
      <c r="VOK27" s="43"/>
      <c r="VOL27" s="44"/>
      <c r="VOM27" s="44"/>
      <c r="VON27" s="44"/>
      <c r="VOO27" s="44"/>
      <c r="VOP27" s="44"/>
      <c r="VOQ27" s="44"/>
      <c r="VOR27" s="44"/>
      <c r="VOS27" s="44"/>
      <c r="VOT27" s="44"/>
      <c r="VOU27" s="44"/>
      <c r="VOV27" s="44"/>
      <c r="VOW27" s="44"/>
      <c r="VOX27" s="44"/>
      <c r="VOY27" s="44"/>
      <c r="VOZ27" s="43"/>
      <c r="VPA27" s="44"/>
      <c r="VPB27" s="44"/>
      <c r="VPC27" s="44"/>
      <c r="VPD27" s="44"/>
      <c r="VPE27" s="44"/>
      <c r="VPF27" s="44"/>
      <c r="VPG27" s="44"/>
      <c r="VPH27" s="44"/>
      <c r="VPI27" s="44"/>
      <c r="VPJ27" s="44"/>
      <c r="VPK27" s="44"/>
      <c r="VPL27" s="44"/>
      <c r="VPM27" s="44"/>
      <c r="VPN27" s="44"/>
      <c r="VPO27" s="43"/>
      <c r="VPP27" s="44"/>
      <c r="VPQ27" s="44"/>
      <c r="VPR27" s="44"/>
      <c r="VPS27" s="44"/>
      <c r="VPT27" s="44"/>
      <c r="VPU27" s="44"/>
      <c r="VPV27" s="44"/>
      <c r="VPW27" s="44"/>
      <c r="VPX27" s="44"/>
      <c r="VPY27" s="44"/>
      <c r="VPZ27" s="44"/>
      <c r="VQA27" s="44"/>
      <c r="VQB27" s="44"/>
      <c r="VQC27" s="44"/>
      <c r="VQD27" s="43"/>
      <c r="VQE27" s="44"/>
      <c r="VQF27" s="44"/>
      <c r="VQG27" s="44"/>
      <c r="VQH27" s="44"/>
      <c r="VQI27" s="44"/>
      <c r="VQJ27" s="44"/>
      <c r="VQK27" s="44"/>
      <c r="VQL27" s="44"/>
      <c r="VQM27" s="44"/>
      <c r="VQN27" s="44"/>
      <c r="VQO27" s="44"/>
      <c r="VQP27" s="44"/>
      <c r="VQQ27" s="44"/>
      <c r="VQR27" s="44"/>
      <c r="VQS27" s="43"/>
      <c r="VQT27" s="44"/>
      <c r="VQU27" s="44"/>
      <c r="VQV27" s="44"/>
      <c r="VQW27" s="44"/>
      <c r="VQX27" s="44"/>
      <c r="VQY27" s="44"/>
      <c r="VQZ27" s="44"/>
      <c r="VRA27" s="44"/>
      <c r="VRB27" s="44"/>
      <c r="VRC27" s="44"/>
      <c r="VRD27" s="44"/>
      <c r="VRE27" s="44"/>
      <c r="VRF27" s="44"/>
      <c r="VRG27" s="44"/>
      <c r="VRH27" s="43"/>
      <c r="VRI27" s="44"/>
      <c r="VRJ27" s="44"/>
      <c r="VRK27" s="44"/>
      <c r="VRL27" s="44"/>
      <c r="VRM27" s="44"/>
      <c r="VRN27" s="44"/>
      <c r="VRO27" s="44"/>
      <c r="VRP27" s="44"/>
      <c r="VRQ27" s="44"/>
      <c r="VRR27" s="44"/>
      <c r="VRS27" s="44"/>
      <c r="VRT27" s="44"/>
      <c r="VRU27" s="44"/>
      <c r="VRV27" s="44"/>
      <c r="VRW27" s="43"/>
      <c r="VRX27" s="44"/>
      <c r="VRY27" s="44"/>
      <c r="VRZ27" s="44"/>
      <c r="VSA27" s="44"/>
      <c r="VSB27" s="44"/>
      <c r="VSC27" s="44"/>
      <c r="VSD27" s="44"/>
      <c r="VSE27" s="44"/>
      <c r="VSF27" s="44"/>
      <c r="VSG27" s="44"/>
      <c r="VSH27" s="44"/>
      <c r="VSI27" s="44"/>
      <c r="VSJ27" s="44"/>
      <c r="VSK27" s="44"/>
      <c r="VSL27" s="43"/>
      <c r="VSM27" s="44"/>
      <c r="VSN27" s="44"/>
      <c r="VSO27" s="44"/>
      <c r="VSP27" s="44"/>
      <c r="VSQ27" s="44"/>
      <c r="VSR27" s="44"/>
      <c r="VSS27" s="44"/>
      <c r="VST27" s="44"/>
      <c r="VSU27" s="44"/>
      <c r="VSV27" s="44"/>
      <c r="VSW27" s="44"/>
      <c r="VSX27" s="44"/>
      <c r="VSY27" s="44"/>
      <c r="VSZ27" s="44"/>
      <c r="VTA27" s="43"/>
      <c r="VTB27" s="44"/>
      <c r="VTC27" s="44"/>
      <c r="VTD27" s="44"/>
      <c r="VTE27" s="44"/>
      <c r="VTF27" s="44"/>
      <c r="VTG27" s="44"/>
      <c r="VTH27" s="44"/>
      <c r="VTI27" s="44"/>
      <c r="VTJ27" s="44"/>
      <c r="VTK27" s="44"/>
      <c r="VTL27" s="44"/>
      <c r="VTM27" s="44"/>
      <c r="VTN27" s="44"/>
      <c r="VTO27" s="44"/>
      <c r="VTP27" s="43"/>
      <c r="VTQ27" s="44"/>
      <c r="VTR27" s="44"/>
      <c r="VTS27" s="44"/>
      <c r="VTT27" s="44"/>
      <c r="VTU27" s="44"/>
      <c r="VTV27" s="44"/>
      <c r="VTW27" s="44"/>
      <c r="VTX27" s="44"/>
      <c r="VTY27" s="44"/>
      <c r="VTZ27" s="44"/>
      <c r="VUA27" s="44"/>
      <c r="VUB27" s="44"/>
      <c r="VUC27" s="44"/>
      <c r="VUD27" s="44"/>
      <c r="VUE27" s="43"/>
      <c r="VUF27" s="44"/>
      <c r="VUG27" s="44"/>
      <c r="VUH27" s="44"/>
      <c r="VUI27" s="44"/>
      <c r="VUJ27" s="44"/>
      <c r="VUK27" s="44"/>
      <c r="VUL27" s="44"/>
      <c r="VUM27" s="44"/>
      <c r="VUN27" s="44"/>
      <c r="VUO27" s="44"/>
      <c r="VUP27" s="44"/>
      <c r="VUQ27" s="44"/>
      <c r="VUR27" s="44"/>
      <c r="VUS27" s="44"/>
      <c r="VUT27" s="43"/>
      <c r="VUU27" s="44"/>
      <c r="VUV27" s="44"/>
      <c r="VUW27" s="44"/>
      <c r="VUX27" s="44"/>
      <c r="VUY27" s="44"/>
      <c r="VUZ27" s="44"/>
      <c r="VVA27" s="44"/>
      <c r="VVB27" s="44"/>
      <c r="VVC27" s="44"/>
      <c r="VVD27" s="44"/>
      <c r="VVE27" s="44"/>
      <c r="VVF27" s="44"/>
      <c r="VVG27" s="44"/>
      <c r="VVH27" s="44"/>
      <c r="VVI27" s="43"/>
      <c r="VVJ27" s="44"/>
      <c r="VVK27" s="44"/>
      <c r="VVL27" s="44"/>
      <c r="VVM27" s="44"/>
      <c r="VVN27" s="44"/>
      <c r="VVO27" s="44"/>
      <c r="VVP27" s="44"/>
      <c r="VVQ27" s="44"/>
      <c r="VVR27" s="44"/>
      <c r="VVS27" s="44"/>
      <c r="VVT27" s="44"/>
      <c r="VVU27" s="44"/>
      <c r="VVV27" s="44"/>
      <c r="VVW27" s="44"/>
      <c r="VVX27" s="43"/>
      <c r="VVY27" s="44"/>
      <c r="VVZ27" s="44"/>
      <c r="VWA27" s="44"/>
      <c r="VWB27" s="44"/>
      <c r="VWC27" s="44"/>
      <c r="VWD27" s="44"/>
      <c r="VWE27" s="44"/>
      <c r="VWF27" s="44"/>
      <c r="VWG27" s="44"/>
      <c r="VWH27" s="44"/>
      <c r="VWI27" s="44"/>
      <c r="VWJ27" s="44"/>
      <c r="VWK27" s="44"/>
      <c r="VWL27" s="44"/>
      <c r="VWM27" s="43"/>
      <c r="VWN27" s="44"/>
      <c r="VWO27" s="44"/>
      <c r="VWP27" s="44"/>
      <c r="VWQ27" s="44"/>
      <c r="VWR27" s="44"/>
      <c r="VWS27" s="44"/>
      <c r="VWT27" s="44"/>
      <c r="VWU27" s="44"/>
      <c r="VWV27" s="44"/>
      <c r="VWW27" s="44"/>
      <c r="VWX27" s="44"/>
      <c r="VWY27" s="44"/>
      <c r="VWZ27" s="44"/>
      <c r="VXA27" s="44"/>
      <c r="VXB27" s="43"/>
      <c r="VXC27" s="44"/>
      <c r="VXD27" s="44"/>
      <c r="VXE27" s="44"/>
      <c r="VXF27" s="44"/>
      <c r="VXG27" s="44"/>
      <c r="VXH27" s="44"/>
      <c r="VXI27" s="44"/>
      <c r="VXJ27" s="44"/>
      <c r="VXK27" s="44"/>
      <c r="VXL27" s="44"/>
      <c r="VXM27" s="44"/>
      <c r="VXN27" s="44"/>
      <c r="VXO27" s="44"/>
      <c r="VXP27" s="44"/>
      <c r="VXQ27" s="43"/>
      <c r="VXR27" s="44"/>
      <c r="VXS27" s="44"/>
      <c r="VXT27" s="44"/>
      <c r="VXU27" s="44"/>
      <c r="VXV27" s="44"/>
      <c r="VXW27" s="44"/>
      <c r="VXX27" s="44"/>
      <c r="VXY27" s="44"/>
      <c r="VXZ27" s="44"/>
      <c r="VYA27" s="44"/>
      <c r="VYB27" s="44"/>
      <c r="VYC27" s="44"/>
      <c r="VYD27" s="44"/>
      <c r="VYE27" s="44"/>
      <c r="VYF27" s="43"/>
      <c r="VYG27" s="44"/>
      <c r="VYH27" s="44"/>
      <c r="VYI27" s="44"/>
      <c r="VYJ27" s="44"/>
      <c r="VYK27" s="44"/>
      <c r="VYL27" s="44"/>
      <c r="VYM27" s="44"/>
      <c r="VYN27" s="44"/>
      <c r="VYO27" s="44"/>
      <c r="VYP27" s="44"/>
      <c r="VYQ27" s="44"/>
      <c r="VYR27" s="44"/>
      <c r="VYS27" s="44"/>
      <c r="VYT27" s="44"/>
      <c r="VYU27" s="43"/>
      <c r="VYV27" s="44"/>
      <c r="VYW27" s="44"/>
      <c r="VYX27" s="44"/>
      <c r="VYY27" s="44"/>
      <c r="VYZ27" s="44"/>
      <c r="VZA27" s="44"/>
      <c r="VZB27" s="44"/>
      <c r="VZC27" s="44"/>
      <c r="VZD27" s="44"/>
      <c r="VZE27" s="44"/>
      <c r="VZF27" s="44"/>
      <c r="VZG27" s="44"/>
      <c r="VZH27" s="44"/>
      <c r="VZI27" s="44"/>
      <c r="VZJ27" s="43"/>
      <c r="VZK27" s="44"/>
      <c r="VZL27" s="44"/>
      <c r="VZM27" s="44"/>
      <c r="VZN27" s="44"/>
      <c r="VZO27" s="44"/>
      <c r="VZP27" s="44"/>
      <c r="VZQ27" s="44"/>
      <c r="VZR27" s="44"/>
      <c r="VZS27" s="44"/>
      <c r="VZT27" s="44"/>
      <c r="VZU27" s="44"/>
      <c r="VZV27" s="44"/>
      <c r="VZW27" s="44"/>
      <c r="VZX27" s="44"/>
      <c r="VZY27" s="43"/>
      <c r="VZZ27" s="44"/>
      <c r="WAA27" s="44"/>
      <c r="WAB27" s="44"/>
      <c r="WAC27" s="44"/>
      <c r="WAD27" s="44"/>
      <c r="WAE27" s="44"/>
      <c r="WAF27" s="44"/>
      <c r="WAG27" s="44"/>
      <c r="WAH27" s="44"/>
      <c r="WAI27" s="44"/>
      <c r="WAJ27" s="44"/>
      <c r="WAK27" s="44"/>
      <c r="WAL27" s="44"/>
      <c r="WAM27" s="44"/>
      <c r="WAN27" s="43"/>
      <c r="WAO27" s="44"/>
      <c r="WAP27" s="44"/>
      <c r="WAQ27" s="44"/>
      <c r="WAR27" s="44"/>
      <c r="WAS27" s="44"/>
      <c r="WAT27" s="44"/>
      <c r="WAU27" s="44"/>
      <c r="WAV27" s="44"/>
      <c r="WAW27" s="44"/>
      <c r="WAX27" s="44"/>
      <c r="WAY27" s="44"/>
      <c r="WAZ27" s="44"/>
      <c r="WBA27" s="44"/>
      <c r="WBB27" s="44"/>
      <c r="WBC27" s="43"/>
      <c r="WBD27" s="44"/>
      <c r="WBE27" s="44"/>
      <c r="WBF27" s="44"/>
      <c r="WBG27" s="44"/>
      <c r="WBH27" s="44"/>
      <c r="WBI27" s="44"/>
      <c r="WBJ27" s="44"/>
      <c r="WBK27" s="44"/>
      <c r="WBL27" s="44"/>
      <c r="WBM27" s="44"/>
      <c r="WBN27" s="44"/>
      <c r="WBO27" s="44"/>
      <c r="WBP27" s="44"/>
      <c r="WBQ27" s="44"/>
      <c r="WBR27" s="43"/>
      <c r="WBS27" s="44"/>
      <c r="WBT27" s="44"/>
      <c r="WBU27" s="44"/>
      <c r="WBV27" s="44"/>
      <c r="WBW27" s="44"/>
      <c r="WBX27" s="44"/>
      <c r="WBY27" s="44"/>
      <c r="WBZ27" s="44"/>
      <c r="WCA27" s="44"/>
      <c r="WCB27" s="44"/>
      <c r="WCC27" s="44"/>
      <c r="WCD27" s="44"/>
      <c r="WCE27" s="44"/>
      <c r="WCF27" s="44"/>
      <c r="WCG27" s="43"/>
      <c r="WCH27" s="44"/>
      <c r="WCI27" s="44"/>
      <c r="WCJ27" s="44"/>
      <c r="WCK27" s="44"/>
      <c r="WCL27" s="44"/>
      <c r="WCM27" s="44"/>
      <c r="WCN27" s="44"/>
      <c r="WCO27" s="44"/>
      <c r="WCP27" s="44"/>
      <c r="WCQ27" s="44"/>
      <c r="WCR27" s="44"/>
      <c r="WCS27" s="44"/>
      <c r="WCT27" s="44"/>
      <c r="WCU27" s="44"/>
      <c r="WCV27" s="43"/>
      <c r="WCW27" s="44"/>
      <c r="WCX27" s="44"/>
      <c r="WCY27" s="44"/>
      <c r="WCZ27" s="44"/>
      <c r="WDA27" s="44"/>
      <c r="WDB27" s="44"/>
      <c r="WDC27" s="44"/>
      <c r="WDD27" s="44"/>
      <c r="WDE27" s="44"/>
      <c r="WDF27" s="44"/>
      <c r="WDG27" s="44"/>
      <c r="WDH27" s="44"/>
      <c r="WDI27" s="44"/>
      <c r="WDJ27" s="44"/>
      <c r="WDK27" s="43"/>
      <c r="WDL27" s="44"/>
      <c r="WDM27" s="44"/>
      <c r="WDN27" s="44"/>
      <c r="WDO27" s="44"/>
      <c r="WDP27" s="44"/>
      <c r="WDQ27" s="44"/>
      <c r="WDR27" s="44"/>
      <c r="WDS27" s="44"/>
      <c r="WDT27" s="44"/>
      <c r="WDU27" s="44"/>
      <c r="WDV27" s="44"/>
      <c r="WDW27" s="44"/>
      <c r="WDX27" s="44"/>
      <c r="WDY27" s="44"/>
      <c r="WDZ27" s="43"/>
      <c r="WEA27" s="44"/>
      <c r="WEB27" s="44"/>
      <c r="WEC27" s="44"/>
      <c r="WED27" s="44"/>
      <c r="WEE27" s="44"/>
      <c r="WEF27" s="44"/>
      <c r="WEG27" s="44"/>
      <c r="WEH27" s="44"/>
      <c r="WEI27" s="44"/>
      <c r="WEJ27" s="44"/>
      <c r="WEK27" s="44"/>
      <c r="WEL27" s="44"/>
      <c r="WEM27" s="44"/>
      <c r="WEN27" s="44"/>
      <c r="WEO27" s="43"/>
      <c r="WEP27" s="44"/>
      <c r="WEQ27" s="44"/>
      <c r="WER27" s="44"/>
      <c r="WES27" s="44"/>
      <c r="WET27" s="44"/>
      <c r="WEU27" s="44"/>
      <c r="WEV27" s="44"/>
      <c r="WEW27" s="44"/>
      <c r="WEX27" s="44"/>
      <c r="WEY27" s="44"/>
      <c r="WEZ27" s="44"/>
      <c r="WFA27" s="44"/>
      <c r="WFB27" s="44"/>
      <c r="WFC27" s="44"/>
      <c r="WFD27" s="43"/>
      <c r="WFE27" s="44"/>
      <c r="WFF27" s="44"/>
      <c r="WFG27" s="44"/>
      <c r="WFH27" s="44"/>
      <c r="WFI27" s="44"/>
      <c r="WFJ27" s="44"/>
      <c r="WFK27" s="44"/>
      <c r="WFL27" s="44"/>
      <c r="WFM27" s="44"/>
      <c r="WFN27" s="44"/>
      <c r="WFO27" s="44"/>
      <c r="WFP27" s="44"/>
      <c r="WFQ27" s="44"/>
      <c r="WFR27" s="44"/>
      <c r="WFS27" s="43"/>
      <c r="WFT27" s="44"/>
      <c r="WFU27" s="44"/>
      <c r="WFV27" s="44"/>
      <c r="WFW27" s="44"/>
      <c r="WFX27" s="44"/>
      <c r="WFY27" s="44"/>
      <c r="WFZ27" s="44"/>
      <c r="WGA27" s="44"/>
      <c r="WGB27" s="44"/>
      <c r="WGC27" s="44"/>
      <c r="WGD27" s="44"/>
      <c r="WGE27" s="44"/>
      <c r="WGF27" s="44"/>
      <c r="WGG27" s="44"/>
      <c r="WGH27" s="43"/>
      <c r="WGI27" s="44"/>
      <c r="WGJ27" s="44"/>
      <c r="WGK27" s="44"/>
      <c r="WGL27" s="44"/>
      <c r="WGM27" s="44"/>
      <c r="WGN27" s="44"/>
      <c r="WGO27" s="44"/>
      <c r="WGP27" s="44"/>
      <c r="WGQ27" s="44"/>
      <c r="WGR27" s="44"/>
      <c r="WGS27" s="44"/>
      <c r="WGT27" s="44"/>
      <c r="WGU27" s="44"/>
      <c r="WGV27" s="44"/>
      <c r="WGW27" s="43"/>
      <c r="WGX27" s="44"/>
      <c r="WGY27" s="44"/>
      <c r="WGZ27" s="44"/>
      <c r="WHA27" s="44"/>
      <c r="WHB27" s="44"/>
      <c r="WHC27" s="44"/>
      <c r="WHD27" s="44"/>
      <c r="WHE27" s="44"/>
      <c r="WHF27" s="44"/>
      <c r="WHG27" s="44"/>
      <c r="WHH27" s="44"/>
      <c r="WHI27" s="44"/>
      <c r="WHJ27" s="44"/>
      <c r="WHK27" s="44"/>
      <c r="WHL27" s="43"/>
      <c r="WHM27" s="44"/>
      <c r="WHN27" s="44"/>
      <c r="WHO27" s="44"/>
      <c r="WHP27" s="44"/>
      <c r="WHQ27" s="44"/>
      <c r="WHR27" s="44"/>
      <c r="WHS27" s="44"/>
      <c r="WHT27" s="44"/>
      <c r="WHU27" s="44"/>
      <c r="WHV27" s="44"/>
      <c r="WHW27" s="44"/>
      <c r="WHX27" s="44"/>
      <c r="WHY27" s="44"/>
      <c r="WHZ27" s="44"/>
      <c r="WIA27" s="43"/>
      <c r="WIB27" s="44"/>
      <c r="WIC27" s="44"/>
      <c r="WID27" s="44"/>
      <c r="WIE27" s="44"/>
      <c r="WIF27" s="44"/>
      <c r="WIG27" s="44"/>
      <c r="WIH27" s="44"/>
      <c r="WII27" s="44"/>
      <c r="WIJ27" s="44"/>
      <c r="WIK27" s="44"/>
      <c r="WIL27" s="44"/>
      <c r="WIM27" s="44"/>
      <c r="WIN27" s="44"/>
      <c r="WIO27" s="44"/>
      <c r="WIP27" s="43"/>
      <c r="WIQ27" s="44"/>
      <c r="WIR27" s="44"/>
      <c r="WIS27" s="44"/>
      <c r="WIT27" s="44"/>
      <c r="WIU27" s="44"/>
      <c r="WIV27" s="44"/>
      <c r="WIW27" s="44"/>
      <c r="WIX27" s="44"/>
      <c r="WIY27" s="44"/>
      <c r="WIZ27" s="44"/>
      <c r="WJA27" s="44"/>
      <c r="WJB27" s="44"/>
      <c r="WJC27" s="44"/>
      <c r="WJD27" s="44"/>
      <c r="WJE27" s="43"/>
      <c r="WJF27" s="44"/>
      <c r="WJG27" s="44"/>
      <c r="WJH27" s="44"/>
      <c r="WJI27" s="44"/>
      <c r="WJJ27" s="44"/>
      <c r="WJK27" s="44"/>
      <c r="WJL27" s="44"/>
      <c r="WJM27" s="44"/>
      <c r="WJN27" s="44"/>
      <c r="WJO27" s="44"/>
      <c r="WJP27" s="44"/>
      <c r="WJQ27" s="44"/>
      <c r="WJR27" s="44"/>
      <c r="WJS27" s="44"/>
      <c r="WJT27" s="43"/>
      <c r="WJU27" s="44"/>
      <c r="WJV27" s="44"/>
      <c r="WJW27" s="44"/>
      <c r="WJX27" s="44"/>
      <c r="WJY27" s="44"/>
      <c r="WJZ27" s="44"/>
      <c r="WKA27" s="44"/>
      <c r="WKB27" s="44"/>
      <c r="WKC27" s="44"/>
      <c r="WKD27" s="44"/>
      <c r="WKE27" s="44"/>
      <c r="WKF27" s="44"/>
      <c r="WKG27" s="44"/>
      <c r="WKH27" s="44"/>
      <c r="WKI27" s="43"/>
      <c r="WKJ27" s="44"/>
      <c r="WKK27" s="44"/>
      <c r="WKL27" s="44"/>
      <c r="WKM27" s="44"/>
      <c r="WKN27" s="44"/>
      <c r="WKO27" s="44"/>
      <c r="WKP27" s="44"/>
      <c r="WKQ27" s="44"/>
      <c r="WKR27" s="44"/>
      <c r="WKS27" s="44"/>
      <c r="WKT27" s="44"/>
      <c r="WKU27" s="44"/>
      <c r="WKV27" s="44"/>
      <c r="WKW27" s="44"/>
      <c r="WKX27" s="43"/>
      <c r="WKY27" s="44"/>
      <c r="WKZ27" s="44"/>
      <c r="WLA27" s="44"/>
      <c r="WLB27" s="44"/>
      <c r="WLC27" s="44"/>
      <c r="WLD27" s="44"/>
      <c r="WLE27" s="44"/>
      <c r="WLF27" s="44"/>
      <c r="WLG27" s="44"/>
      <c r="WLH27" s="44"/>
      <c r="WLI27" s="44"/>
      <c r="WLJ27" s="44"/>
      <c r="WLK27" s="44"/>
      <c r="WLL27" s="44"/>
      <c r="WLM27" s="43"/>
      <c r="WLN27" s="44"/>
      <c r="WLO27" s="44"/>
      <c r="WLP27" s="44"/>
      <c r="WLQ27" s="44"/>
      <c r="WLR27" s="44"/>
      <c r="WLS27" s="44"/>
      <c r="WLT27" s="44"/>
      <c r="WLU27" s="44"/>
      <c r="WLV27" s="44"/>
      <c r="WLW27" s="44"/>
      <c r="WLX27" s="44"/>
      <c r="WLY27" s="44"/>
      <c r="WLZ27" s="44"/>
      <c r="WMA27" s="44"/>
      <c r="WMB27" s="43"/>
      <c r="WMC27" s="44"/>
      <c r="WMD27" s="44"/>
      <c r="WME27" s="44"/>
      <c r="WMF27" s="44"/>
      <c r="WMG27" s="44"/>
      <c r="WMH27" s="44"/>
      <c r="WMI27" s="44"/>
      <c r="WMJ27" s="44"/>
      <c r="WMK27" s="44"/>
      <c r="WML27" s="44"/>
      <c r="WMM27" s="44"/>
      <c r="WMN27" s="44"/>
      <c r="WMO27" s="44"/>
      <c r="WMP27" s="44"/>
      <c r="WMQ27" s="43"/>
      <c r="WMR27" s="44"/>
      <c r="WMS27" s="44"/>
      <c r="WMT27" s="44"/>
      <c r="WMU27" s="44"/>
      <c r="WMV27" s="44"/>
      <c r="WMW27" s="44"/>
      <c r="WMX27" s="44"/>
      <c r="WMY27" s="44"/>
      <c r="WMZ27" s="44"/>
      <c r="WNA27" s="44"/>
      <c r="WNB27" s="44"/>
      <c r="WNC27" s="44"/>
      <c r="WND27" s="44"/>
      <c r="WNE27" s="44"/>
      <c r="WNF27" s="43"/>
      <c r="WNG27" s="44"/>
      <c r="WNH27" s="44"/>
      <c r="WNI27" s="44"/>
      <c r="WNJ27" s="44"/>
      <c r="WNK27" s="44"/>
      <c r="WNL27" s="44"/>
      <c r="WNM27" s="44"/>
      <c r="WNN27" s="44"/>
      <c r="WNO27" s="44"/>
      <c r="WNP27" s="44"/>
      <c r="WNQ27" s="44"/>
      <c r="WNR27" s="44"/>
      <c r="WNS27" s="44"/>
      <c r="WNT27" s="44"/>
      <c r="WNU27" s="43"/>
      <c r="WNV27" s="44"/>
      <c r="WNW27" s="44"/>
      <c r="WNX27" s="44"/>
      <c r="WNY27" s="44"/>
      <c r="WNZ27" s="44"/>
      <c r="WOA27" s="44"/>
      <c r="WOB27" s="44"/>
      <c r="WOC27" s="44"/>
      <c r="WOD27" s="44"/>
      <c r="WOE27" s="44"/>
      <c r="WOF27" s="44"/>
      <c r="WOG27" s="44"/>
      <c r="WOH27" s="44"/>
      <c r="WOI27" s="44"/>
      <c r="WOJ27" s="43"/>
      <c r="WOK27" s="44"/>
      <c r="WOL27" s="44"/>
      <c r="WOM27" s="44"/>
      <c r="WON27" s="44"/>
      <c r="WOO27" s="44"/>
      <c r="WOP27" s="44"/>
      <c r="WOQ27" s="44"/>
      <c r="WOR27" s="44"/>
      <c r="WOS27" s="44"/>
      <c r="WOT27" s="44"/>
      <c r="WOU27" s="44"/>
      <c r="WOV27" s="44"/>
      <c r="WOW27" s="44"/>
      <c r="WOX27" s="44"/>
      <c r="WOY27" s="43"/>
      <c r="WOZ27" s="44"/>
      <c r="WPA27" s="44"/>
      <c r="WPB27" s="44"/>
      <c r="WPC27" s="44"/>
      <c r="WPD27" s="44"/>
      <c r="WPE27" s="44"/>
      <c r="WPF27" s="44"/>
      <c r="WPG27" s="44"/>
      <c r="WPH27" s="44"/>
      <c r="WPI27" s="44"/>
      <c r="WPJ27" s="44"/>
      <c r="WPK27" s="44"/>
      <c r="WPL27" s="44"/>
      <c r="WPM27" s="44"/>
      <c r="WPN27" s="43"/>
      <c r="WPO27" s="44"/>
      <c r="WPP27" s="44"/>
      <c r="WPQ27" s="44"/>
      <c r="WPR27" s="44"/>
      <c r="WPS27" s="44"/>
      <c r="WPT27" s="44"/>
      <c r="WPU27" s="44"/>
      <c r="WPV27" s="44"/>
      <c r="WPW27" s="44"/>
      <c r="WPX27" s="44"/>
      <c r="WPY27" s="44"/>
      <c r="WPZ27" s="44"/>
      <c r="WQA27" s="44"/>
      <c r="WQB27" s="44"/>
      <c r="WQC27" s="43"/>
      <c r="WQD27" s="44"/>
      <c r="WQE27" s="44"/>
      <c r="WQF27" s="44"/>
      <c r="WQG27" s="44"/>
      <c r="WQH27" s="44"/>
      <c r="WQI27" s="44"/>
      <c r="WQJ27" s="44"/>
      <c r="WQK27" s="44"/>
      <c r="WQL27" s="44"/>
      <c r="WQM27" s="44"/>
      <c r="WQN27" s="44"/>
      <c r="WQO27" s="44"/>
      <c r="WQP27" s="44"/>
      <c r="WQQ27" s="44"/>
      <c r="WQR27" s="43"/>
      <c r="WQS27" s="44"/>
      <c r="WQT27" s="44"/>
      <c r="WQU27" s="44"/>
      <c r="WQV27" s="44"/>
      <c r="WQW27" s="44"/>
      <c r="WQX27" s="44"/>
      <c r="WQY27" s="44"/>
      <c r="WQZ27" s="44"/>
      <c r="WRA27" s="44"/>
      <c r="WRB27" s="44"/>
      <c r="WRC27" s="44"/>
      <c r="WRD27" s="44"/>
      <c r="WRE27" s="44"/>
      <c r="WRF27" s="44"/>
      <c r="WRG27" s="43"/>
      <c r="WRH27" s="44"/>
      <c r="WRI27" s="44"/>
      <c r="WRJ27" s="44"/>
      <c r="WRK27" s="44"/>
      <c r="WRL27" s="44"/>
      <c r="WRM27" s="44"/>
      <c r="WRN27" s="44"/>
      <c r="WRO27" s="44"/>
      <c r="WRP27" s="44"/>
      <c r="WRQ27" s="44"/>
      <c r="WRR27" s="44"/>
      <c r="WRS27" s="44"/>
      <c r="WRT27" s="44"/>
      <c r="WRU27" s="44"/>
      <c r="WRV27" s="43"/>
      <c r="WRW27" s="44"/>
      <c r="WRX27" s="44"/>
      <c r="WRY27" s="44"/>
      <c r="WRZ27" s="44"/>
      <c r="WSA27" s="44"/>
      <c r="WSB27" s="44"/>
      <c r="WSC27" s="44"/>
      <c r="WSD27" s="44"/>
      <c r="WSE27" s="44"/>
      <c r="WSF27" s="44"/>
      <c r="WSG27" s="44"/>
      <c r="WSH27" s="44"/>
      <c r="WSI27" s="44"/>
      <c r="WSJ27" s="44"/>
      <c r="WSK27" s="43"/>
      <c r="WSL27" s="44"/>
      <c r="WSM27" s="44"/>
      <c r="WSN27" s="44"/>
      <c r="WSO27" s="44"/>
      <c r="WSP27" s="44"/>
      <c r="WSQ27" s="44"/>
      <c r="WSR27" s="44"/>
      <c r="WSS27" s="44"/>
      <c r="WST27" s="44"/>
      <c r="WSU27" s="44"/>
      <c r="WSV27" s="44"/>
      <c r="WSW27" s="44"/>
      <c r="WSX27" s="44"/>
      <c r="WSY27" s="44"/>
      <c r="WSZ27" s="43"/>
      <c r="WTA27" s="44"/>
      <c r="WTB27" s="44"/>
      <c r="WTC27" s="44"/>
      <c r="WTD27" s="44"/>
      <c r="WTE27" s="44"/>
      <c r="WTF27" s="44"/>
      <c r="WTG27" s="44"/>
      <c r="WTH27" s="44"/>
      <c r="WTI27" s="44"/>
      <c r="WTJ27" s="44"/>
      <c r="WTK27" s="44"/>
      <c r="WTL27" s="44"/>
      <c r="WTM27" s="44"/>
      <c r="WTN27" s="44"/>
      <c r="WTO27" s="43"/>
      <c r="WTP27" s="44"/>
      <c r="WTQ27" s="44"/>
      <c r="WTR27" s="44"/>
      <c r="WTS27" s="44"/>
      <c r="WTT27" s="44"/>
      <c r="WTU27" s="44"/>
      <c r="WTV27" s="44"/>
      <c r="WTW27" s="44"/>
      <c r="WTX27" s="44"/>
      <c r="WTY27" s="44"/>
      <c r="WTZ27" s="44"/>
      <c r="WUA27" s="44"/>
      <c r="WUB27" s="44"/>
      <c r="WUC27" s="44"/>
      <c r="WUD27" s="43"/>
      <c r="WUE27" s="44"/>
      <c r="WUF27" s="44"/>
      <c r="WUG27" s="44"/>
      <c r="WUH27" s="44"/>
      <c r="WUI27" s="44"/>
      <c r="WUJ27" s="44"/>
      <c r="WUK27" s="44"/>
      <c r="WUL27" s="44"/>
      <c r="WUM27" s="44"/>
      <c r="WUN27" s="44"/>
      <c r="WUO27" s="44"/>
      <c r="WUP27" s="44"/>
      <c r="WUQ27" s="44"/>
      <c r="WUR27" s="44"/>
      <c r="WUS27" s="43"/>
      <c r="WUT27" s="44"/>
      <c r="WUU27" s="44"/>
      <c r="WUV27" s="44"/>
      <c r="WUW27" s="44"/>
      <c r="WUX27" s="44"/>
      <c r="WUY27" s="44"/>
      <c r="WUZ27" s="44"/>
      <c r="WVA27" s="44"/>
      <c r="WVB27" s="44"/>
      <c r="WVC27" s="44"/>
      <c r="WVD27" s="44"/>
      <c r="WVE27" s="44"/>
      <c r="WVF27" s="44"/>
      <c r="WVG27" s="44"/>
      <c r="WVH27" s="43"/>
      <c r="WVI27" s="44"/>
      <c r="WVJ27" s="44"/>
      <c r="WVK27" s="44"/>
      <c r="WVL27" s="44"/>
      <c r="WVM27" s="44"/>
      <c r="WVN27" s="44"/>
      <c r="WVO27" s="44"/>
      <c r="WVP27" s="44"/>
      <c r="WVQ27" s="44"/>
      <c r="WVR27" s="44"/>
      <c r="WVS27" s="44"/>
      <c r="WVT27" s="44"/>
      <c r="WVU27" s="44"/>
      <c r="WVV27" s="44"/>
      <c r="WVW27" s="43"/>
      <c r="WVX27" s="44"/>
      <c r="WVY27" s="44"/>
      <c r="WVZ27" s="44"/>
      <c r="WWA27" s="44"/>
      <c r="WWB27" s="44"/>
      <c r="WWC27" s="44"/>
      <c r="WWD27" s="44"/>
      <c r="WWE27" s="44"/>
      <c r="WWF27" s="44"/>
      <c r="WWG27" s="44"/>
      <c r="WWH27" s="44"/>
      <c r="WWI27" s="44"/>
      <c r="WWJ27" s="44"/>
      <c r="WWK27" s="44"/>
      <c r="WWL27" s="43"/>
      <c r="WWM27" s="44"/>
      <c r="WWN27" s="44"/>
      <c r="WWO27" s="44"/>
      <c r="WWP27" s="44"/>
      <c r="WWQ27" s="44"/>
      <c r="WWR27" s="44"/>
      <c r="WWS27" s="44"/>
      <c r="WWT27" s="44"/>
      <c r="WWU27" s="44"/>
      <c r="WWV27" s="44"/>
      <c r="WWW27" s="44"/>
      <c r="WWX27" s="44"/>
      <c r="WWY27" s="44"/>
      <c r="WWZ27" s="44"/>
      <c r="WXA27" s="43"/>
      <c r="WXB27" s="44"/>
      <c r="WXC27" s="44"/>
      <c r="WXD27" s="44"/>
      <c r="WXE27" s="44"/>
      <c r="WXF27" s="44"/>
      <c r="WXG27" s="44"/>
      <c r="WXH27" s="44"/>
      <c r="WXI27" s="44"/>
      <c r="WXJ27" s="44"/>
      <c r="WXK27" s="44"/>
      <c r="WXL27" s="44"/>
      <c r="WXM27" s="44"/>
      <c r="WXN27" s="44"/>
      <c r="WXO27" s="44"/>
      <c r="WXP27" s="43"/>
      <c r="WXQ27" s="44"/>
      <c r="WXR27" s="44"/>
      <c r="WXS27" s="44"/>
      <c r="WXT27" s="44"/>
      <c r="WXU27" s="44"/>
      <c r="WXV27" s="44"/>
      <c r="WXW27" s="44"/>
      <c r="WXX27" s="44"/>
      <c r="WXY27" s="44"/>
      <c r="WXZ27" s="44"/>
      <c r="WYA27" s="44"/>
      <c r="WYB27" s="44"/>
      <c r="WYC27" s="44"/>
      <c r="WYD27" s="44"/>
      <c r="WYE27" s="43"/>
      <c r="WYF27" s="44"/>
      <c r="WYG27" s="44"/>
      <c r="WYH27" s="44"/>
      <c r="WYI27" s="44"/>
      <c r="WYJ27" s="44"/>
      <c r="WYK27" s="44"/>
      <c r="WYL27" s="44"/>
      <c r="WYM27" s="44"/>
      <c r="WYN27" s="44"/>
      <c r="WYO27" s="44"/>
      <c r="WYP27" s="44"/>
      <c r="WYQ27" s="44"/>
      <c r="WYR27" s="44"/>
      <c r="WYS27" s="44"/>
      <c r="WYT27" s="43"/>
      <c r="WYU27" s="44"/>
      <c r="WYV27" s="44"/>
      <c r="WYW27" s="44"/>
      <c r="WYX27" s="44"/>
      <c r="WYY27" s="44"/>
      <c r="WYZ27" s="44"/>
      <c r="WZA27" s="44"/>
      <c r="WZB27" s="44"/>
      <c r="WZC27" s="44"/>
      <c r="WZD27" s="44"/>
      <c r="WZE27" s="44"/>
      <c r="WZF27" s="44"/>
      <c r="WZG27" s="44"/>
      <c r="WZH27" s="44"/>
      <c r="WZI27" s="43"/>
      <c r="WZJ27" s="44"/>
      <c r="WZK27" s="44"/>
      <c r="WZL27" s="44"/>
      <c r="WZM27" s="44"/>
      <c r="WZN27" s="44"/>
      <c r="WZO27" s="44"/>
      <c r="WZP27" s="44"/>
      <c r="WZQ27" s="44"/>
      <c r="WZR27" s="44"/>
      <c r="WZS27" s="44"/>
      <c r="WZT27" s="44"/>
      <c r="WZU27" s="44"/>
      <c r="WZV27" s="44"/>
      <c r="WZW27" s="44"/>
      <c r="WZX27" s="43"/>
      <c r="WZY27" s="44"/>
      <c r="WZZ27" s="44"/>
      <c r="XAA27" s="44"/>
      <c r="XAB27" s="44"/>
      <c r="XAC27" s="44"/>
      <c r="XAD27" s="44"/>
      <c r="XAE27" s="44"/>
      <c r="XAF27" s="44"/>
      <c r="XAG27" s="44"/>
      <c r="XAH27" s="44"/>
      <c r="XAI27" s="44"/>
      <c r="XAJ27" s="44"/>
      <c r="XAK27" s="44"/>
      <c r="XAL27" s="44"/>
      <c r="XAM27" s="43"/>
      <c r="XAN27" s="44"/>
      <c r="XAO27" s="44"/>
      <c r="XAP27" s="44"/>
      <c r="XAQ27" s="44"/>
      <c r="XAR27" s="44"/>
      <c r="XAS27" s="44"/>
      <c r="XAT27" s="44"/>
      <c r="XAU27" s="44"/>
      <c r="XAV27" s="44"/>
      <c r="XAW27" s="44"/>
      <c r="XAX27" s="44"/>
      <c r="XAY27" s="44"/>
      <c r="XAZ27" s="44"/>
      <c r="XBA27" s="44"/>
      <c r="XBB27" s="43"/>
      <c r="XBC27" s="44"/>
      <c r="XBD27" s="44"/>
      <c r="XBE27" s="44"/>
      <c r="XBF27" s="44"/>
      <c r="XBG27" s="44"/>
      <c r="XBH27" s="44"/>
      <c r="XBI27" s="44"/>
      <c r="XBJ27" s="44"/>
      <c r="XBK27" s="44"/>
      <c r="XBL27" s="44"/>
      <c r="XBM27" s="44"/>
      <c r="XBN27" s="44"/>
      <c r="XBO27" s="44"/>
      <c r="XBP27" s="44"/>
      <c r="XBQ27" s="43"/>
      <c r="XBR27" s="44"/>
      <c r="XBS27" s="44"/>
      <c r="XBT27" s="44"/>
      <c r="XBU27" s="44"/>
      <c r="XBV27" s="44"/>
      <c r="XBW27" s="44"/>
      <c r="XBX27" s="44"/>
      <c r="XBY27" s="44"/>
      <c r="XBZ27" s="44"/>
      <c r="XCA27" s="44"/>
      <c r="XCB27" s="44"/>
      <c r="XCC27" s="44"/>
      <c r="XCD27" s="44"/>
      <c r="XCE27" s="44"/>
      <c r="XCF27" s="43"/>
      <c r="XCG27" s="44"/>
      <c r="XCH27" s="44"/>
      <c r="XCI27" s="44"/>
      <c r="XCJ27" s="44"/>
      <c r="XCK27" s="44"/>
      <c r="XCL27" s="44"/>
      <c r="XCM27" s="44"/>
      <c r="XCN27" s="44"/>
      <c r="XCO27" s="44"/>
      <c r="XCP27" s="44"/>
      <c r="XCQ27" s="44"/>
      <c r="XCR27" s="44"/>
      <c r="XCS27" s="44"/>
      <c r="XCT27" s="44"/>
      <c r="XCU27" s="43"/>
      <c r="XCV27" s="44"/>
      <c r="XCW27" s="44"/>
      <c r="XCX27" s="44"/>
      <c r="XCY27" s="44"/>
      <c r="XCZ27" s="44"/>
      <c r="XDA27" s="44"/>
      <c r="XDB27" s="44"/>
      <c r="XDC27" s="44"/>
      <c r="XDD27" s="44"/>
      <c r="XDE27" s="44"/>
      <c r="XDF27" s="44"/>
      <c r="XDG27" s="44"/>
      <c r="XDH27" s="44"/>
      <c r="XDI27" s="44"/>
      <c r="XDJ27" s="43"/>
      <c r="XDK27" s="44"/>
      <c r="XDL27" s="44"/>
      <c r="XDM27" s="44"/>
      <c r="XDN27" s="44"/>
      <c r="XDO27" s="44"/>
      <c r="XDP27" s="44"/>
      <c r="XDQ27" s="44"/>
      <c r="XDR27" s="44"/>
      <c r="XDS27" s="44"/>
      <c r="XDT27" s="44"/>
      <c r="XDU27" s="44"/>
      <c r="XDV27" s="44"/>
      <c r="XDW27" s="44"/>
      <c r="XDX27" s="44"/>
      <c r="XDY27" s="43"/>
      <c r="XDZ27" s="44"/>
      <c r="XEA27" s="44"/>
      <c r="XEB27" s="44"/>
      <c r="XEC27" s="44"/>
      <c r="XED27" s="44"/>
      <c r="XEE27" s="44"/>
      <c r="XEF27" s="44"/>
      <c r="XEG27" s="44"/>
      <c r="XEH27" s="44"/>
      <c r="XEI27" s="44"/>
      <c r="XEJ27" s="44"/>
      <c r="XEK27" s="44"/>
      <c r="XEL27" s="44"/>
      <c r="XEM27" s="44"/>
      <c r="XEN27" s="43"/>
      <c r="XEO27" s="44"/>
      <c r="XEP27" s="44"/>
      <c r="XEQ27" s="44"/>
    </row>
    <row r="28" spans="1:16371" ht="15.75">
      <c r="A28" s="289"/>
      <c r="B28" s="289" t="s">
        <v>315</v>
      </c>
      <c r="C28" s="694">
        <f>C17</f>
        <v>614.45999999999992</v>
      </c>
      <c r="D28" s="694">
        <f t="shared" ref="D28:N28" si="20">D17</f>
        <v>737.54100000000005</v>
      </c>
      <c r="E28" s="694">
        <f t="shared" si="20"/>
        <v>832.88499999999999</v>
      </c>
      <c r="F28" s="694">
        <f t="shared" si="20"/>
        <v>890.53700000000003</v>
      </c>
      <c r="G28" s="694">
        <f t="shared" si="20"/>
        <v>975.02300000000014</v>
      </c>
      <c r="H28" s="694">
        <f t="shared" si="20"/>
        <v>764.93999999999994</v>
      </c>
      <c r="I28" s="694">
        <f t="shared" si="20"/>
        <v>836.59517499308117</v>
      </c>
      <c r="J28" s="694">
        <f t="shared" si="20"/>
        <v>880.14741391778989</v>
      </c>
      <c r="K28" s="694">
        <f t="shared" si="20"/>
        <v>957.18085853292189</v>
      </c>
      <c r="L28" s="694">
        <f t="shared" si="20"/>
        <v>1027.0208931125928</v>
      </c>
      <c r="M28" s="694">
        <f t="shared" si="20"/>
        <v>1101.7908477974538</v>
      </c>
      <c r="N28" s="694">
        <f t="shared" si="20"/>
        <v>1179.4061105671699</v>
      </c>
      <c r="O28" s="694">
        <f t="shared" ref="O28:S28" si="21">O17</f>
        <v>1256.3448228734887</v>
      </c>
      <c r="P28" s="694">
        <f t="shared" si="21"/>
        <v>1335.3519816092435</v>
      </c>
      <c r="Q28" s="694">
        <f t="shared" si="21"/>
        <v>1419.5753426760034</v>
      </c>
      <c r="R28" s="694">
        <f t="shared" si="21"/>
        <v>1509.2933390024261</v>
      </c>
      <c r="S28" s="694">
        <f t="shared" si="21"/>
        <v>1604.9681982030379</v>
      </c>
      <c r="T28" s="289"/>
      <c r="U28" s="289"/>
      <c r="V28" s="289"/>
      <c r="W28" s="289"/>
      <c r="X28" s="289"/>
      <c r="Y28" s="289"/>
      <c r="Z28" s="289"/>
      <c r="AA28" s="289"/>
      <c r="AB28" s="289"/>
      <c r="AC28" s="289"/>
      <c r="AD28" s="289"/>
      <c r="AE28" s="289"/>
      <c r="AF28" s="289"/>
    </row>
    <row r="29" spans="1:16371" ht="15.75">
      <c r="A29" s="289"/>
      <c r="B29" s="289" t="s">
        <v>319</v>
      </c>
      <c r="C29" s="700">
        <f>-(Master!F44+Master!F45-Consolidation!E40)</f>
        <v>-346.37700000000001</v>
      </c>
      <c r="D29" s="700">
        <f>-(Master!G44+Master!G45-Consolidation!F40)</f>
        <v>-354.57300000000004</v>
      </c>
      <c r="E29" s="700">
        <f>-(Master!H44+Master!H45-Consolidation!G40)</f>
        <v>-322.60399999999998</v>
      </c>
      <c r="F29" s="700">
        <f>-(Master!I44+Master!I45-Consolidation!H40)</f>
        <v>-381.20599999999996</v>
      </c>
      <c r="G29" s="700">
        <f>-(Master!J44+Master!J45-Consolidation!I40)</f>
        <v>-340.95299999999997</v>
      </c>
      <c r="H29" s="700">
        <f>-(Master!K44+Master!K45-Consolidation!J40)</f>
        <v>-268.54199999999997</v>
      </c>
      <c r="I29" s="700">
        <f>-(Master!L44+Master!L45-Consolidation!K40)</f>
        <v>-266.77884345143036</v>
      </c>
      <c r="J29" s="700">
        <f>-(Master!M44+Master!M45-Consolidation!L40)</f>
        <v>-260.57996054397051</v>
      </c>
      <c r="K29" s="700">
        <f>-(Master!N44+Master!N45-Consolidation!M40)</f>
        <v>-265.60792249784583</v>
      </c>
      <c r="L29" s="700">
        <f>-(Master!O44+Master!O45-Consolidation!N40)</f>
        <v>-276.41055327844731</v>
      </c>
      <c r="M29" s="700">
        <f>-(Master!P44+Master!P45-Consolidation!O40)</f>
        <v>-285.05581489744304</v>
      </c>
      <c r="N29" s="700">
        <f>-(Master!Q44+Master!Q45-Consolidation!P40)</f>
        <v>-291.94051335164056</v>
      </c>
      <c r="O29" s="700">
        <f>-(Master!R44+Master!R45-Consolidation!Q40)</f>
        <v>-297.83721762699668</v>
      </c>
      <c r="P29" s="700">
        <f>-(Master!S44+Master!S45-Consolidation!R40)</f>
        <v>-301.95317530441042</v>
      </c>
      <c r="Q29" s="700">
        <f>-(Master!T44+Master!T45-Consolidation!S40)</f>
        <v>-305.07110139954762</v>
      </c>
      <c r="R29" s="700">
        <f>-(Master!U44+Master!U45-Consolidation!T40)</f>
        <v>-306.46374938903273</v>
      </c>
      <c r="S29" s="700">
        <f>-(Master!V44+Master!V45-Consolidation!U40)</f>
        <v>-306.95200496673721</v>
      </c>
      <c r="T29" s="289"/>
      <c r="U29" s="289"/>
      <c r="V29" s="289"/>
      <c r="W29" s="289"/>
      <c r="X29" s="289"/>
      <c r="Y29" s="289"/>
      <c r="Z29" s="289"/>
      <c r="AA29" s="289"/>
      <c r="AB29" s="289"/>
      <c r="AC29" s="289"/>
      <c r="AD29" s="289"/>
      <c r="AE29" s="289"/>
      <c r="AF29" s="289"/>
    </row>
    <row r="30" spans="1:16371" ht="15.75">
      <c r="A30" s="289"/>
      <c r="B30" s="290" t="s">
        <v>950</v>
      </c>
      <c r="C30" s="696">
        <f>SUM(C28:C29)</f>
        <v>268.08299999999991</v>
      </c>
      <c r="D30" s="696">
        <f t="shared" ref="D30:N30" si="22">SUM(D28:D29)</f>
        <v>382.96800000000002</v>
      </c>
      <c r="E30" s="696">
        <f t="shared" si="22"/>
        <v>510.28100000000001</v>
      </c>
      <c r="F30" s="696">
        <f t="shared" si="22"/>
        <v>509.33100000000007</v>
      </c>
      <c r="G30" s="696">
        <f t="shared" si="22"/>
        <v>634.07000000000016</v>
      </c>
      <c r="H30" s="696">
        <f t="shared" si="22"/>
        <v>496.39799999999997</v>
      </c>
      <c r="I30" s="696">
        <f t="shared" si="22"/>
        <v>569.81633154165081</v>
      </c>
      <c r="J30" s="696">
        <f t="shared" si="22"/>
        <v>619.56745337381938</v>
      </c>
      <c r="K30" s="696">
        <f t="shared" si="22"/>
        <v>691.57293603507605</v>
      </c>
      <c r="L30" s="696">
        <f t="shared" si="22"/>
        <v>750.61033983414552</v>
      </c>
      <c r="M30" s="696">
        <f t="shared" si="22"/>
        <v>816.73503290001076</v>
      </c>
      <c r="N30" s="696">
        <f t="shared" si="22"/>
        <v>887.46559721552933</v>
      </c>
      <c r="O30" s="696">
        <f t="shared" ref="O30:S30" si="23">SUM(O28:O29)</f>
        <v>958.50760524649206</v>
      </c>
      <c r="P30" s="696">
        <f t="shared" si="23"/>
        <v>1033.398806304833</v>
      </c>
      <c r="Q30" s="696">
        <f t="shared" si="23"/>
        <v>1114.5042412764558</v>
      </c>
      <c r="R30" s="696">
        <f t="shared" si="23"/>
        <v>1202.8295896133934</v>
      </c>
      <c r="S30" s="696">
        <f t="shared" si="23"/>
        <v>1298.0161932363008</v>
      </c>
      <c r="T30" s="289"/>
      <c r="U30" s="289"/>
      <c r="V30" s="289"/>
      <c r="W30" s="289"/>
      <c r="X30" s="289"/>
      <c r="Y30" s="289"/>
      <c r="Z30" s="289"/>
      <c r="AA30" s="289"/>
      <c r="AB30" s="289"/>
      <c r="AC30" s="289"/>
      <c r="AD30" s="289"/>
      <c r="AE30" s="289"/>
      <c r="AF30" s="289"/>
    </row>
    <row r="31" spans="1:16371" ht="15.75">
      <c r="A31" s="289"/>
      <c r="B31" s="289" t="s">
        <v>320</v>
      </c>
      <c r="C31" s="694">
        <f>-C23</f>
        <v>-85.232099999999974</v>
      </c>
      <c r="D31" s="694">
        <f t="shared" ref="D31:N31" si="24">-D23</f>
        <v>-123.10559999999998</v>
      </c>
      <c r="E31" s="694">
        <f t="shared" si="24"/>
        <v>-162.93209999999999</v>
      </c>
      <c r="F31" s="694">
        <f t="shared" si="24"/>
        <v>-168.46950000000001</v>
      </c>
      <c r="G31" s="694">
        <f t="shared" si="24"/>
        <v>-208.70610000000002</v>
      </c>
      <c r="H31" s="694">
        <f t="shared" si="24"/>
        <v>-169.3287</v>
      </c>
      <c r="I31" s="694">
        <f t="shared" si="24"/>
        <v>-190.09054906249526</v>
      </c>
      <c r="J31" s="694">
        <f t="shared" si="24"/>
        <v>-205.97316809214578</v>
      </c>
      <c r="K31" s="694">
        <f t="shared" si="24"/>
        <v>-228.57995949452283</v>
      </c>
      <c r="L31" s="694">
        <f t="shared" si="24"/>
        <v>-247.34658456844363</v>
      </c>
      <c r="M31" s="694">
        <f t="shared" si="24"/>
        <v>-268.29216661911323</v>
      </c>
      <c r="N31" s="694">
        <f t="shared" si="24"/>
        <v>-290.67491875122425</v>
      </c>
      <c r="O31" s="694">
        <f t="shared" ref="O31:S31" si="25">-O23</f>
        <v>-313.20928313984138</v>
      </c>
      <c r="P31" s="694">
        <f t="shared" si="25"/>
        <v>-336.95949353563839</v>
      </c>
      <c r="Q31" s="694">
        <f t="shared" si="25"/>
        <v>-362.63811660933465</v>
      </c>
      <c r="R31" s="694">
        <f t="shared" si="25"/>
        <v>-390.55006332173582</v>
      </c>
      <c r="S31" s="694">
        <f t="shared" si="25"/>
        <v>-420.59110373049384</v>
      </c>
      <c r="T31" s="289"/>
      <c r="U31" s="289"/>
      <c r="V31" s="289"/>
      <c r="W31" s="289"/>
      <c r="X31" s="289"/>
      <c r="Y31" s="289"/>
      <c r="Z31" s="289"/>
      <c r="AA31" s="289"/>
      <c r="AB31" s="289"/>
      <c r="AC31" s="289"/>
      <c r="AD31" s="289"/>
      <c r="AE31" s="289"/>
      <c r="AF31" s="289"/>
    </row>
    <row r="32" spans="1:16371" ht="15.75">
      <c r="A32" s="289"/>
      <c r="B32" s="289" t="s">
        <v>321</v>
      </c>
      <c r="C32" s="701">
        <f t="shared" ref="C32:N32" si="26">-C29</f>
        <v>346.37700000000001</v>
      </c>
      <c r="D32" s="701">
        <f t="shared" si="26"/>
        <v>354.57300000000004</v>
      </c>
      <c r="E32" s="701">
        <f t="shared" si="26"/>
        <v>322.60399999999998</v>
      </c>
      <c r="F32" s="701">
        <f t="shared" si="26"/>
        <v>381.20599999999996</v>
      </c>
      <c r="G32" s="701">
        <f t="shared" si="26"/>
        <v>340.95299999999997</v>
      </c>
      <c r="H32" s="701">
        <f t="shared" si="26"/>
        <v>268.54199999999997</v>
      </c>
      <c r="I32" s="701">
        <f t="shared" si="26"/>
        <v>266.77884345143036</v>
      </c>
      <c r="J32" s="701">
        <f t="shared" si="26"/>
        <v>260.57996054397051</v>
      </c>
      <c r="K32" s="701">
        <f t="shared" si="26"/>
        <v>265.60792249784583</v>
      </c>
      <c r="L32" s="701">
        <f t="shared" si="26"/>
        <v>276.41055327844731</v>
      </c>
      <c r="M32" s="701">
        <f t="shared" si="26"/>
        <v>285.05581489744304</v>
      </c>
      <c r="N32" s="701">
        <f t="shared" si="26"/>
        <v>291.94051335164056</v>
      </c>
      <c r="O32" s="701">
        <f t="shared" ref="O32:S32" si="27">-O29</f>
        <v>297.83721762699668</v>
      </c>
      <c r="P32" s="701">
        <f t="shared" si="27"/>
        <v>301.95317530441042</v>
      </c>
      <c r="Q32" s="701">
        <f t="shared" si="27"/>
        <v>305.07110139954762</v>
      </c>
      <c r="R32" s="701">
        <f t="shared" si="27"/>
        <v>306.46374938903273</v>
      </c>
      <c r="S32" s="701">
        <f t="shared" si="27"/>
        <v>306.95200496673721</v>
      </c>
      <c r="T32" s="289"/>
      <c r="U32" s="289"/>
      <c r="V32" s="289"/>
      <c r="W32" s="289"/>
      <c r="X32" s="289"/>
      <c r="Y32" s="289"/>
      <c r="Z32" s="289"/>
      <c r="AA32" s="289"/>
      <c r="AB32" s="289"/>
      <c r="AC32" s="289"/>
      <c r="AD32" s="289"/>
      <c r="AE32" s="289"/>
      <c r="AF32" s="289"/>
    </row>
    <row r="33" spans="1:32" ht="15.75">
      <c r="A33" s="289"/>
      <c r="B33" s="289" t="s">
        <v>316</v>
      </c>
      <c r="C33" s="700">
        <f t="shared" ref="C33:N33" si="28">C18</f>
        <v>-259</v>
      </c>
      <c r="D33" s="700">
        <f t="shared" si="28"/>
        <v>-229</v>
      </c>
      <c r="E33" s="700">
        <f t="shared" si="28"/>
        <v>-402</v>
      </c>
      <c r="F33" s="700">
        <f t="shared" si="28"/>
        <v>-634</v>
      </c>
      <c r="G33" s="700">
        <f t="shared" si="28"/>
        <v>-586</v>
      </c>
      <c r="H33" s="700">
        <f t="shared" si="28"/>
        <v>-257</v>
      </c>
      <c r="I33" s="700">
        <f t="shared" si="28"/>
        <v>-258.79166107797295</v>
      </c>
      <c r="J33" s="700">
        <f t="shared" si="28"/>
        <v>-269.40147831582021</v>
      </c>
      <c r="K33" s="700">
        <f t="shared" si="28"/>
        <v>-278.20707248888192</v>
      </c>
      <c r="L33" s="700">
        <f t="shared" si="28"/>
        <v>-295.05278547486472</v>
      </c>
      <c r="M33" s="700">
        <f t="shared" si="28"/>
        <v>-302.12273200606688</v>
      </c>
      <c r="N33" s="700">
        <f t="shared" si="28"/>
        <v>-319.91401698300626</v>
      </c>
      <c r="O33" s="700">
        <f t="shared" ref="O33:S33" si="29">O18</f>
        <v>-325.468458174923</v>
      </c>
      <c r="P33" s="700">
        <f t="shared" si="29"/>
        <v>-342.81725952249258</v>
      </c>
      <c r="Q33" s="700">
        <f t="shared" si="29"/>
        <v>-347.77282386819508</v>
      </c>
      <c r="R33" s="700">
        <f t="shared" si="29"/>
        <v>-366.41213083310117</v>
      </c>
      <c r="S33" s="700">
        <f t="shared" si="29"/>
        <v>-386.11284697475224</v>
      </c>
      <c r="T33" s="289"/>
      <c r="U33" s="289"/>
      <c r="V33" s="289"/>
      <c r="W33" s="289"/>
      <c r="X33" s="289"/>
      <c r="Y33" s="289"/>
      <c r="Z33" s="289"/>
      <c r="AA33" s="289"/>
      <c r="AB33" s="289"/>
      <c r="AC33" s="289"/>
      <c r="AD33" s="289"/>
      <c r="AE33" s="289"/>
      <c r="AF33" s="289"/>
    </row>
    <row r="34" spans="1:32" ht="15.75">
      <c r="A34" s="289"/>
      <c r="B34" s="290" t="s">
        <v>322</v>
      </c>
      <c r="C34" s="702">
        <f t="shared" ref="C34:N34" si="30">SUM(C30:C33)</f>
        <v>270.22789999999998</v>
      </c>
      <c r="D34" s="702">
        <f t="shared" si="30"/>
        <v>385.43540000000007</v>
      </c>
      <c r="E34" s="702">
        <f t="shared" si="30"/>
        <v>267.9529</v>
      </c>
      <c r="F34" s="702">
        <f>SUM(F30:F33)</f>
        <v>88.067500000000109</v>
      </c>
      <c r="G34" s="702">
        <f t="shared" si="30"/>
        <v>180.31690000000015</v>
      </c>
      <c r="H34" s="702">
        <f t="shared" si="30"/>
        <v>338.61130000000003</v>
      </c>
      <c r="I34" s="702">
        <f t="shared" si="30"/>
        <v>387.71296485261297</v>
      </c>
      <c r="J34" s="702">
        <f t="shared" si="30"/>
        <v>404.77276750982389</v>
      </c>
      <c r="K34" s="702">
        <f t="shared" si="30"/>
        <v>450.3938265495172</v>
      </c>
      <c r="L34" s="702">
        <f t="shared" si="30"/>
        <v>484.62152306928448</v>
      </c>
      <c r="M34" s="702">
        <f t="shared" si="30"/>
        <v>531.37594917227375</v>
      </c>
      <c r="N34" s="702">
        <f t="shared" si="30"/>
        <v>568.81717483293937</v>
      </c>
      <c r="O34" s="702">
        <f t="shared" ref="O34:S34" si="31">SUM(O30:O33)</f>
        <v>617.66708155872425</v>
      </c>
      <c r="P34" s="702">
        <f t="shared" si="31"/>
        <v>655.57522855111256</v>
      </c>
      <c r="Q34" s="702">
        <f t="shared" si="31"/>
        <v>709.16440219847368</v>
      </c>
      <c r="R34" s="702">
        <f t="shared" si="31"/>
        <v>752.33114484758903</v>
      </c>
      <c r="S34" s="702">
        <f t="shared" si="31"/>
        <v>798.26424749779176</v>
      </c>
      <c r="T34" s="289"/>
      <c r="U34" s="289"/>
      <c r="V34" s="289"/>
      <c r="W34" s="289"/>
      <c r="X34" s="289"/>
      <c r="Y34" s="289"/>
      <c r="Z34" s="289"/>
      <c r="AA34" s="289"/>
      <c r="AB34" s="289"/>
      <c r="AC34" s="289"/>
      <c r="AD34" s="289"/>
      <c r="AE34" s="289"/>
      <c r="AF34" s="289"/>
    </row>
    <row r="35" spans="1:32" ht="15.75">
      <c r="A35" s="289"/>
      <c r="B35" s="289" t="s">
        <v>99</v>
      </c>
      <c r="C35" s="703"/>
      <c r="D35" s="703">
        <f t="shared" ref="D35:S35" si="32">(D34/C34)-1</f>
        <v>0.42633458647312183</v>
      </c>
      <c r="E35" s="703">
        <f t="shared" si="32"/>
        <v>-0.30480464430615362</v>
      </c>
      <c r="F35" s="703">
        <f t="shared" si="32"/>
        <v>-0.67133216322719358</v>
      </c>
      <c r="G35" s="703">
        <f t="shared" si="32"/>
        <v>1.0474851676271033</v>
      </c>
      <c r="H35" s="703">
        <f t="shared" si="32"/>
        <v>0.87786779830398465</v>
      </c>
      <c r="I35" s="703">
        <f t="shared" si="32"/>
        <v>0.14500893754169741</v>
      </c>
      <c r="J35" s="703">
        <f t="shared" si="32"/>
        <v>4.4001114751723858E-2</v>
      </c>
      <c r="K35" s="703">
        <f t="shared" si="32"/>
        <v>0.1127078269626578</v>
      </c>
      <c r="L35" s="703">
        <f t="shared" si="32"/>
        <v>7.5995039234855621E-2</v>
      </c>
      <c r="M35" s="703">
        <f t="shared" si="32"/>
        <v>9.6476165166739847E-2</v>
      </c>
      <c r="N35" s="703">
        <f t="shared" si="32"/>
        <v>7.0460896318299548E-2</v>
      </c>
      <c r="O35" s="703">
        <f t="shared" si="32"/>
        <v>8.5879802662660376E-2</v>
      </c>
      <c r="P35" s="703">
        <f t="shared" si="32"/>
        <v>6.1373105551820295E-2</v>
      </c>
      <c r="Q35" s="703">
        <f t="shared" si="32"/>
        <v>8.1743743987701567E-2</v>
      </c>
      <c r="R35" s="703">
        <f t="shared" si="32"/>
        <v>6.0869866726663835E-2</v>
      </c>
      <c r="S35" s="703">
        <f t="shared" si="32"/>
        <v>6.1054368099446421E-2</v>
      </c>
      <c r="T35" s="289"/>
      <c r="U35" s="289"/>
      <c r="V35" s="289"/>
      <c r="W35" s="289"/>
      <c r="X35" s="289"/>
      <c r="Y35" s="289"/>
      <c r="Z35" s="289"/>
      <c r="AA35" s="289"/>
      <c r="AB35" s="289"/>
      <c r="AC35" s="289"/>
      <c r="AD35" s="289"/>
      <c r="AE35" s="289"/>
      <c r="AF35" s="289"/>
    </row>
    <row r="36" spans="1:32" ht="15.75">
      <c r="A36" s="289"/>
      <c r="B36" s="289"/>
      <c r="C36" s="693"/>
      <c r="D36" s="693"/>
      <c r="E36" s="693"/>
      <c r="F36" s="693"/>
      <c r="G36" s="693"/>
      <c r="H36" s="693"/>
      <c r="I36" s="693"/>
      <c r="J36" s="704"/>
      <c r="K36" s="704"/>
      <c r="L36" s="704"/>
      <c r="M36" s="704"/>
      <c r="N36" s="704"/>
      <c r="O36" s="704"/>
      <c r="P36" s="704"/>
      <c r="Q36" s="704"/>
      <c r="R36" s="704"/>
      <c r="S36" s="704"/>
      <c r="T36" s="289"/>
      <c r="U36" s="289"/>
      <c r="V36" s="289"/>
      <c r="W36" s="289"/>
      <c r="X36" s="289"/>
      <c r="Y36" s="289"/>
      <c r="Z36" s="289"/>
      <c r="AA36" s="289"/>
      <c r="AB36" s="289"/>
      <c r="AC36" s="289"/>
      <c r="AD36" s="289"/>
      <c r="AE36" s="289"/>
      <c r="AF36" s="289"/>
    </row>
    <row r="37" spans="1:32" ht="15.75">
      <c r="A37" s="289"/>
      <c r="B37" s="290" t="s">
        <v>139</v>
      </c>
      <c r="C37" s="294">
        <f>'Tower model'!E43</f>
        <v>0.1178511</v>
      </c>
      <c r="D37" s="693"/>
      <c r="E37" s="693"/>
      <c r="F37" s="693"/>
      <c r="G37" s="693"/>
      <c r="H37" s="693"/>
      <c r="I37" s="693"/>
      <c r="J37" s="693"/>
      <c r="K37" s="693"/>
      <c r="L37" s="693"/>
      <c r="M37" s="693"/>
      <c r="N37" s="693"/>
      <c r="O37" s="693"/>
      <c r="P37" s="693"/>
      <c r="Q37" s="693"/>
      <c r="R37" s="693"/>
      <c r="S37" s="693"/>
      <c r="T37" s="289"/>
      <c r="U37" s="289"/>
      <c r="V37" s="289"/>
      <c r="W37" s="289"/>
      <c r="X37" s="289"/>
      <c r="Y37" s="289"/>
      <c r="Z37" s="289"/>
      <c r="AA37" s="289"/>
      <c r="AB37" s="289"/>
      <c r="AC37" s="289"/>
      <c r="AD37" s="289"/>
      <c r="AE37" s="289"/>
      <c r="AF37" s="289"/>
    </row>
    <row r="38" spans="1:32" ht="15.75">
      <c r="A38" s="289"/>
      <c r="B38" s="290" t="s">
        <v>323</v>
      </c>
      <c r="C38" s="295">
        <v>2.5000000000000001E-2</v>
      </c>
      <c r="D38" s="693"/>
      <c r="E38" s="693"/>
      <c r="F38" s="693"/>
      <c r="G38" s="693"/>
      <c r="H38" s="693"/>
      <c r="I38" s="693"/>
      <c r="J38" s="693"/>
      <c r="K38" s="693"/>
      <c r="L38" s="693"/>
      <c r="M38" s="693"/>
      <c r="N38" s="693"/>
      <c r="O38" s="693"/>
      <c r="P38" s="693"/>
      <c r="Q38" s="693"/>
      <c r="R38" s="693"/>
      <c r="S38" s="693"/>
      <c r="T38" s="289"/>
      <c r="U38" s="289"/>
      <c r="V38" s="289"/>
      <c r="W38" s="289"/>
      <c r="X38" s="289"/>
      <c r="Y38" s="289"/>
      <c r="Z38" s="289"/>
      <c r="AA38" s="289"/>
      <c r="AB38" s="289"/>
      <c r="AC38" s="289"/>
      <c r="AD38" s="289"/>
      <c r="AE38" s="289"/>
      <c r="AF38" s="289"/>
    </row>
    <row r="39" spans="1:32" ht="15.75">
      <c r="A39" s="289"/>
      <c r="B39" s="289" t="s">
        <v>324</v>
      </c>
      <c r="C39" s="296">
        <f>1/(C37-C38)</f>
        <v>10.769931643243861</v>
      </c>
      <c r="D39" s="693"/>
      <c r="E39" s="693"/>
      <c r="F39" s="693"/>
      <c r="G39" s="693"/>
      <c r="H39" s="693"/>
      <c r="I39" s="693"/>
      <c r="J39" s="693"/>
      <c r="K39" s="693"/>
      <c r="L39" s="693"/>
      <c r="M39" s="693"/>
      <c r="N39" s="693"/>
      <c r="O39" s="693"/>
      <c r="P39" s="693"/>
      <c r="Q39" s="693"/>
      <c r="R39" s="693"/>
      <c r="S39" s="693"/>
      <c r="T39" s="289"/>
      <c r="U39" s="289"/>
      <c r="V39" s="289"/>
      <c r="W39" s="289"/>
      <c r="X39" s="289"/>
      <c r="Y39" s="289"/>
      <c r="Z39" s="289"/>
      <c r="AA39" s="289"/>
      <c r="AB39" s="289"/>
      <c r="AC39" s="289"/>
      <c r="AD39" s="289"/>
      <c r="AE39" s="289"/>
      <c r="AF39" s="289"/>
    </row>
    <row r="40" spans="1:32" ht="15.75">
      <c r="A40" s="289"/>
      <c r="B40" s="289"/>
      <c r="C40" s="296"/>
      <c r="D40" s="693"/>
      <c r="E40" s="693"/>
      <c r="F40" s="693"/>
      <c r="G40" s="693"/>
      <c r="H40" s="693"/>
      <c r="I40" s="693"/>
      <c r="J40" s="693"/>
      <c r="K40" s="693"/>
      <c r="L40" s="693"/>
      <c r="M40" s="693"/>
      <c r="N40" s="693"/>
      <c r="O40" s="693"/>
      <c r="P40" s="693"/>
      <c r="Q40" s="693"/>
      <c r="R40" s="693"/>
      <c r="S40" s="693"/>
      <c r="T40" s="289"/>
      <c r="U40" s="289"/>
      <c r="V40" s="289"/>
      <c r="W40" s="289"/>
      <c r="X40" s="289"/>
      <c r="Y40" s="289"/>
      <c r="Z40" s="289"/>
      <c r="AA40" s="289"/>
      <c r="AB40" s="289"/>
      <c r="AC40" s="289"/>
      <c r="AD40" s="289"/>
      <c r="AE40" s="289"/>
      <c r="AF40" s="289"/>
    </row>
    <row r="41" spans="1:32" ht="15.75">
      <c r="A41" s="289"/>
      <c r="B41" s="289" t="s">
        <v>374</v>
      </c>
      <c r="C41" s="297">
        <f>NPV(C37,J34:S34)</f>
        <v>3181.6532126417087</v>
      </c>
      <c r="D41" s="693"/>
      <c r="E41" s="706"/>
      <c r="F41" s="693"/>
      <c r="G41" s="693"/>
      <c r="H41" s="693"/>
      <c r="I41" s="693"/>
      <c r="J41" s="693"/>
      <c r="K41" s="693"/>
      <c r="L41" s="693"/>
      <c r="M41" s="693"/>
      <c r="N41" s="693"/>
      <c r="O41" s="693"/>
      <c r="P41" s="693"/>
      <c r="Q41" s="693"/>
      <c r="R41" s="693"/>
      <c r="S41" s="693"/>
      <c r="T41" s="289"/>
      <c r="U41" s="289"/>
      <c r="V41" s="289"/>
      <c r="W41" s="289"/>
      <c r="X41" s="289"/>
      <c r="Y41" s="289"/>
      <c r="Z41" s="289"/>
      <c r="AA41" s="289"/>
      <c r="AB41" s="289"/>
      <c r="AC41" s="289"/>
      <c r="AD41" s="289"/>
      <c r="AE41" s="289"/>
      <c r="AF41" s="289"/>
    </row>
    <row r="42" spans="1:32" ht="15.75">
      <c r="A42" s="289"/>
      <c r="B42" s="289" t="s">
        <v>375</v>
      </c>
      <c r="C42" s="297">
        <f>((S34)/(C37-C38))</f>
        <v>8597.2513787967164</v>
      </c>
      <c r="D42" s="693"/>
      <c r="E42" s="706"/>
      <c r="F42" s="693"/>
      <c r="G42" s="693"/>
      <c r="H42" s="693"/>
      <c r="I42" s="693"/>
      <c r="J42" s="693"/>
      <c r="K42" s="693"/>
      <c r="L42" s="693"/>
      <c r="M42" s="693"/>
      <c r="N42" s="693"/>
      <c r="O42" s="693"/>
      <c r="P42" s="693"/>
      <c r="Q42" s="693"/>
      <c r="R42" s="693"/>
      <c r="S42" s="693"/>
      <c r="T42" s="289"/>
      <c r="U42" s="289"/>
      <c r="V42" s="289"/>
      <c r="W42" s="289"/>
      <c r="X42" s="289"/>
      <c r="Y42" s="289"/>
      <c r="Z42" s="289"/>
      <c r="AA42" s="289"/>
      <c r="AB42" s="289"/>
      <c r="AC42" s="289"/>
      <c r="AD42" s="289"/>
      <c r="AE42" s="289"/>
      <c r="AF42" s="289"/>
    </row>
    <row r="43" spans="1:32" ht="15.75">
      <c r="A43" s="289"/>
      <c r="B43" s="289" t="s">
        <v>376</v>
      </c>
      <c r="C43" s="297">
        <f>C42/(1+C37)^10</f>
        <v>2821.7597890882425</v>
      </c>
      <c r="D43" s="693"/>
      <c r="E43" s="706"/>
      <c r="F43" s="693"/>
      <c r="G43" s="693"/>
      <c r="H43" s="693"/>
      <c r="I43" s="693"/>
      <c r="J43" s="693"/>
      <c r="K43" s="693"/>
      <c r="L43" s="693"/>
      <c r="M43" s="693"/>
      <c r="N43" s="693"/>
      <c r="O43" s="693"/>
      <c r="P43" s="693"/>
      <c r="Q43" s="693"/>
      <c r="R43" s="693"/>
      <c r="S43" s="693"/>
      <c r="T43" s="289"/>
      <c r="U43" s="289"/>
      <c r="V43" s="289"/>
      <c r="W43" s="289"/>
      <c r="X43" s="289"/>
      <c r="Y43" s="289"/>
      <c r="Z43" s="289"/>
      <c r="AA43" s="289"/>
      <c r="AB43" s="289"/>
      <c r="AC43" s="289"/>
      <c r="AD43" s="289"/>
      <c r="AE43" s="289"/>
      <c r="AF43" s="289"/>
    </row>
    <row r="44" spans="1:32" ht="15.75">
      <c r="A44" s="289"/>
      <c r="B44" s="290" t="s">
        <v>140</v>
      </c>
      <c r="C44" s="300">
        <f>C43+C41</f>
        <v>6003.4130017299512</v>
      </c>
      <c r="D44" s="693"/>
      <c r="E44" s="696"/>
      <c r="F44" s="707"/>
      <c r="G44" s="693"/>
      <c r="H44" s="693"/>
      <c r="I44" s="693"/>
      <c r="J44" s="693"/>
      <c r="K44" s="693"/>
      <c r="L44" s="693"/>
      <c r="M44" s="693"/>
      <c r="N44" s="693"/>
      <c r="O44" s="693"/>
      <c r="P44" s="693"/>
      <c r="Q44" s="693"/>
      <c r="R44" s="693"/>
      <c r="S44" s="693"/>
      <c r="T44" s="289"/>
      <c r="U44" s="289"/>
      <c r="V44" s="289"/>
      <c r="W44" s="289"/>
      <c r="X44" s="289"/>
      <c r="Y44" s="289"/>
      <c r="Z44" s="289"/>
      <c r="AA44" s="289"/>
      <c r="AB44" s="289"/>
      <c r="AC44" s="289"/>
      <c r="AD44" s="289"/>
      <c r="AE44" s="289"/>
      <c r="AF44" s="289"/>
    </row>
    <row r="45" spans="1:32" ht="15.75">
      <c r="A45" s="289"/>
      <c r="B45" s="290"/>
      <c r="C45" s="298"/>
      <c r="D45" s="693"/>
      <c r="E45" s="696"/>
      <c r="F45" s="707"/>
      <c r="G45" s="693"/>
      <c r="H45" s="693"/>
      <c r="I45" s="693"/>
      <c r="J45" s="693"/>
      <c r="K45" s="693"/>
      <c r="L45" s="693"/>
      <c r="M45" s="693"/>
      <c r="N45" s="693"/>
      <c r="O45" s="693"/>
      <c r="P45" s="693"/>
      <c r="Q45" s="693"/>
      <c r="R45" s="693"/>
      <c r="S45" s="693"/>
      <c r="T45" s="289"/>
      <c r="U45" s="289"/>
      <c r="V45" s="289"/>
      <c r="W45" s="289"/>
      <c r="X45" s="289"/>
      <c r="Y45" s="289"/>
      <c r="Z45" s="289"/>
      <c r="AA45" s="289"/>
      <c r="AB45" s="289"/>
      <c r="AC45" s="289"/>
      <c r="AD45" s="289"/>
      <c r="AE45" s="289"/>
      <c r="AF45" s="289"/>
    </row>
    <row r="46" spans="1:32" ht="15.75">
      <c r="A46" s="289"/>
      <c r="B46" s="289" t="s">
        <v>326</v>
      </c>
      <c r="C46" s="299">
        <f>-Master!L121+Consolidation!K45</f>
        <v>-2489.9069725287682</v>
      </c>
      <c r="D46" s="693"/>
      <c r="E46" s="694"/>
      <c r="F46" s="708"/>
      <c r="G46" s="693"/>
      <c r="H46" s="693"/>
      <c r="I46" s="693"/>
      <c r="J46" s="693"/>
      <c r="K46" s="693"/>
      <c r="L46" s="693"/>
      <c r="M46" s="693"/>
      <c r="N46" s="693"/>
      <c r="O46" s="693"/>
      <c r="P46" s="693"/>
      <c r="Q46" s="693"/>
      <c r="R46" s="693"/>
      <c r="S46" s="693"/>
      <c r="T46" s="289"/>
      <c r="U46" s="289"/>
      <c r="V46" s="289"/>
      <c r="W46" s="289"/>
      <c r="X46" s="289"/>
      <c r="Y46" s="289"/>
      <c r="Z46" s="289"/>
      <c r="AA46" s="289"/>
      <c r="AB46" s="289"/>
      <c r="AC46" s="289"/>
      <c r="AD46" s="289"/>
      <c r="AE46" s="289"/>
      <c r="AF46" s="289"/>
    </row>
    <row r="47" spans="1:32" ht="15.75">
      <c r="A47" s="289"/>
      <c r="B47" s="289" t="s">
        <v>781</v>
      </c>
      <c r="C47" s="308">
        <f>-85*I69*30%-73.556*50%*I69*49%</f>
        <v>-229.30062471839793</v>
      </c>
      <c r="D47" s="693"/>
      <c r="E47" s="694"/>
      <c r="F47" s="708"/>
      <c r="G47" s="693"/>
      <c r="H47" s="693"/>
      <c r="I47" s="693"/>
      <c r="J47" s="693"/>
      <c r="K47" s="693"/>
      <c r="L47" s="693"/>
      <c r="M47" s="693"/>
      <c r="N47" s="693"/>
      <c r="O47" s="693"/>
      <c r="P47" s="693"/>
      <c r="Q47" s="693"/>
      <c r="R47" s="693"/>
      <c r="S47" s="693"/>
      <c r="T47" s="289"/>
      <c r="U47" s="289"/>
      <c r="V47" s="289"/>
      <c r="W47" s="289"/>
      <c r="X47" s="289"/>
      <c r="Y47" s="289"/>
      <c r="Z47" s="289"/>
      <c r="AA47" s="289"/>
      <c r="AB47" s="289"/>
      <c r="AC47" s="289"/>
      <c r="AD47" s="289"/>
      <c r="AE47" s="289"/>
      <c r="AF47" s="289"/>
    </row>
    <row r="48" spans="1:32" ht="15.75">
      <c r="A48" s="289"/>
      <c r="B48" s="290" t="s">
        <v>327</v>
      </c>
      <c r="C48" s="300">
        <f>SUM(C44:C47)</f>
        <v>3284.2054044827851</v>
      </c>
      <c r="D48" s="693"/>
      <c r="E48" s="696"/>
      <c r="F48" s="301"/>
      <c r="G48" s="693"/>
      <c r="H48" s="693"/>
      <c r="I48" s="693"/>
      <c r="J48" s="693"/>
      <c r="K48" s="693"/>
      <c r="L48" s="693"/>
      <c r="M48" s="693"/>
      <c r="N48" s="693"/>
      <c r="O48" s="693"/>
      <c r="P48" s="693"/>
      <c r="Q48" s="693"/>
      <c r="R48" s="693"/>
      <c r="S48" s="693"/>
      <c r="T48" s="289"/>
      <c r="U48" s="289"/>
      <c r="V48" s="289"/>
      <c r="W48" s="289"/>
      <c r="X48" s="289"/>
      <c r="Y48" s="289"/>
      <c r="Z48" s="289"/>
      <c r="AA48" s="289"/>
      <c r="AB48" s="289"/>
      <c r="AC48" s="289"/>
      <c r="AD48" s="289"/>
      <c r="AE48" s="289"/>
      <c r="AF48" s="289"/>
    </row>
    <row r="49" spans="1:32" ht="15.75">
      <c r="A49" s="289"/>
      <c r="B49" s="289" t="s">
        <v>112</v>
      </c>
      <c r="C49" s="299">
        <f>Master!K63</f>
        <v>0</v>
      </c>
      <c r="D49" s="709"/>
      <c r="E49" s="694"/>
      <c r="F49" s="708"/>
      <c r="G49" s="693"/>
      <c r="H49" s="693"/>
      <c r="I49" s="693"/>
      <c r="J49" s="693"/>
      <c r="K49" s="693"/>
      <c r="L49" s="693"/>
      <c r="M49" s="274"/>
      <c r="N49" s="274"/>
      <c r="O49" s="274"/>
      <c r="P49" s="274"/>
      <c r="Q49" s="274"/>
      <c r="R49" s="274"/>
      <c r="S49" s="274"/>
      <c r="T49" s="289"/>
      <c r="U49" s="289"/>
      <c r="V49" s="289"/>
      <c r="W49" s="289"/>
      <c r="X49" s="289"/>
      <c r="Y49" s="289"/>
      <c r="Z49" s="289"/>
      <c r="AA49" s="289"/>
      <c r="AB49" s="289"/>
      <c r="AC49" s="289"/>
      <c r="AD49" s="289"/>
      <c r="AE49" s="289"/>
      <c r="AF49" s="289"/>
    </row>
    <row r="50" spans="1:32" ht="15.75">
      <c r="A50" s="289"/>
      <c r="B50" s="289" t="s">
        <v>676</v>
      </c>
      <c r="C50" s="302">
        <f>I59</f>
        <v>326.61138709677419</v>
      </c>
      <c r="D50" s="693"/>
      <c r="E50" s="694"/>
      <c r="F50" s="708"/>
      <c r="G50" s="693"/>
      <c r="H50" s="710"/>
      <c r="I50" s="693"/>
      <c r="J50" s="693"/>
      <c r="K50" s="693"/>
      <c r="L50" s="693"/>
      <c r="M50" s="693"/>
      <c r="N50" s="693"/>
      <c r="O50" s="693"/>
      <c r="P50" s="693"/>
      <c r="Q50" s="693"/>
      <c r="R50" s="693"/>
      <c r="S50" s="693"/>
      <c r="T50" s="289"/>
      <c r="U50" s="289"/>
      <c r="V50" s="289"/>
      <c r="W50" s="289"/>
      <c r="X50" s="289"/>
      <c r="Y50" s="289"/>
      <c r="Z50" s="289"/>
      <c r="AA50" s="289"/>
      <c r="AB50" s="289"/>
      <c r="AC50" s="289"/>
      <c r="AD50" s="289"/>
      <c r="AE50" s="289"/>
      <c r="AF50" s="289"/>
    </row>
    <row r="51" spans="1:32" ht="15.75">
      <c r="A51" s="289"/>
      <c r="B51" s="290" t="s">
        <v>340</v>
      </c>
      <c r="C51" s="692">
        <f>(C48+C49)/C50</f>
        <v>10.055391618999746</v>
      </c>
      <c r="D51" s="711"/>
      <c r="E51" s="712"/>
      <c r="F51" s="713"/>
      <c r="G51" s="693"/>
      <c r="H51" s="693"/>
      <c r="I51" s="693"/>
      <c r="J51" s="693"/>
      <c r="K51" s="693"/>
      <c r="L51" s="693"/>
      <c r="M51" s="693"/>
      <c r="N51" s="693"/>
      <c r="O51" s="693"/>
      <c r="P51" s="693"/>
      <c r="Q51" s="693"/>
      <c r="R51" s="693"/>
      <c r="S51" s="693"/>
      <c r="T51" s="289"/>
      <c r="U51" s="289"/>
      <c r="V51" s="289"/>
      <c r="W51" s="289"/>
      <c r="X51" s="289"/>
      <c r="Y51" s="652"/>
      <c r="Z51" s="289"/>
      <c r="AA51" s="289"/>
      <c r="AB51" s="289"/>
      <c r="AC51" s="289"/>
      <c r="AD51" s="289"/>
      <c r="AE51" s="289"/>
      <c r="AF51" s="289"/>
    </row>
    <row r="52" spans="1:32" ht="15.75">
      <c r="A52" s="289"/>
      <c r="B52" s="290"/>
      <c r="C52" s="303"/>
      <c r="D52" s="711"/>
      <c r="E52" s="712"/>
      <c r="F52" s="713"/>
      <c r="G52" s="693"/>
      <c r="H52" s="693"/>
      <c r="I52" s="693"/>
      <c r="J52" s="693"/>
      <c r="K52" s="693"/>
      <c r="L52" s="693"/>
      <c r="M52" s="693"/>
      <c r="N52" s="693"/>
      <c r="O52" s="693"/>
      <c r="P52" s="693"/>
      <c r="Q52" s="693"/>
      <c r="R52" s="693"/>
      <c r="S52" s="693"/>
      <c r="T52" s="289"/>
      <c r="U52" s="289"/>
      <c r="V52" s="289"/>
      <c r="W52" s="289"/>
      <c r="X52" s="289"/>
      <c r="Y52" s="289"/>
      <c r="Z52" s="289"/>
      <c r="AA52" s="289"/>
      <c r="AB52" s="289"/>
      <c r="AC52" s="289"/>
      <c r="AD52" s="289"/>
      <c r="AE52" s="289"/>
      <c r="AF52" s="289"/>
    </row>
    <row r="53" spans="1:32" ht="15.75">
      <c r="A53" s="289"/>
      <c r="B53" s="289" t="s">
        <v>341</v>
      </c>
      <c r="C53" s="304">
        <v>6.71</v>
      </c>
      <c r="D53" s="693"/>
      <c r="E53" s="693"/>
      <c r="F53" s="693"/>
      <c r="G53" s="693"/>
      <c r="H53" s="693"/>
      <c r="I53" s="693"/>
      <c r="J53" s="693"/>
      <c r="K53" s="693"/>
      <c r="L53" s="693"/>
      <c r="M53" s="693"/>
      <c r="N53" s="693"/>
      <c r="O53" s="693"/>
      <c r="P53" s="693"/>
      <c r="Q53" s="693"/>
      <c r="R53" s="693"/>
      <c r="S53" s="693"/>
      <c r="T53" s="289"/>
      <c r="U53" s="289"/>
      <c r="V53" s="289"/>
      <c r="W53" s="289"/>
      <c r="X53" s="289"/>
      <c r="Y53" s="289"/>
      <c r="Z53" s="289"/>
      <c r="AA53" s="289"/>
      <c r="AB53" s="289"/>
      <c r="AC53" s="289"/>
      <c r="AD53" s="289"/>
      <c r="AE53" s="289"/>
      <c r="AF53" s="289"/>
    </row>
    <row r="54" spans="1:32" ht="15.75">
      <c r="A54" s="289"/>
      <c r="B54" s="289" t="s">
        <v>328</v>
      </c>
      <c r="C54" s="305">
        <f>(C51/C53)-1</f>
        <v>0.49856805052157172</v>
      </c>
      <c r="D54" s="711"/>
      <c r="E54" s="714"/>
      <c r="F54" s="714"/>
      <c r="G54" s="693"/>
      <c r="H54" s="693"/>
      <c r="I54" s="693"/>
      <c r="J54" s="693"/>
      <c r="K54" s="693"/>
      <c r="L54" s="693"/>
      <c r="M54" s="693"/>
      <c r="N54" s="693"/>
      <c r="O54" s="693"/>
      <c r="P54" s="693"/>
      <c r="Q54" s="693"/>
      <c r="R54" s="693"/>
      <c r="S54" s="693"/>
      <c r="T54" s="289"/>
      <c r="U54" s="289"/>
      <c r="V54" s="289"/>
      <c r="W54" s="289"/>
      <c r="X54" s="289"/>
      <c r="Y54" s="289"/>
      <c r="Z54" s="289"/>
      <c r="AA54" s="289"/>
      <c r="AB54" s="289"/>
      <c r="AC54" s="289"/>
      <c r="AD54" s="289"/>
      <c r="AE54" s="289"/>
      <c r="AF54" s="289"/>
    </row>
    <row r="55" spans="1:32" ht="15.75">
      <c r="A55" s="289"/>
      <c r="B55" s="289"/>
      <c r="C55" s="693"/>
      <c r="D55" s="693"/>
      <c r="E55" s="693"/>
      <c r="F55" s="693"/>
      <c r="G55" s="693"/>
      <c r="H55" s="693"/>
      <c r="I55" s="693"/>
      <c r="J55" s="693"/>
      <c r="K55" s="693"/>
      <c r="L55" s="693"/>
      <c r="M55" s="693"/>
      <c r="N55" s="693"/>
      <c r="O55" s="693"/>
      <c r="P55" s="693"/>
      <c r="Q55" s="693"/>
      <c r="R55" s="693"/>
      <c r="S55" s="693"/>
      <c r="T55" s="289"/>
      <c r="U55" s="289"/>
      <c r="V55" s="289"/>
      <c r="W55" s="289"/>
      <c r="X55" s="289"/>
      <c r="Y55" s="289"/>
      <c r="Z55" s="289"/>
      <c r="AA55" s="289"/>
      <c r="AB55" s="289"/>
      <c r="AC55" s="289"/>
      <c r="AD55" s="289"/>
      <c r="AE55" s="289"/>
      <c r="AF55" s="289"/>
    </row>
    <row r="56" spans="1:32" ht="15.75">
      <c r="A56" s="289"/>
      <c r="B56" s="289"/>
      <c r="C56" s="693"/>
      <c r="D56" s="693"/>
      <c r="E56" s="693"/>
      <c r="F56" s="693"/>
      <c r="G56" s="693"/>
      <c r="H56" s="693"/>
      <c r="I56" s="693"/>
      <c r="J56" s="693"/>
      <c r="K56" s="693"/>
      <c r="L56" s="693"/>
      <c r="M56" s="693"/>
      <c r="N56" s="693"/>
      <c r="O56" s="693"/>
      <c r="P56" s="693"/>
      <c r="Q56" s="693"/>
      <c r="R56" s="693"/>
      <c r="S56" s="693"/>
      <c r="T56" s="289"/>
      <c r="U56" s="289"/>
      <c r="V56" s="289"/>
      <c r="W56" s="289"/>
      <c r="X56" s="289"/>
      <c r="Y56" s="289"/>
      <c r="Z56" s="289"/>
      <c r="AA56" s="289"/>
      <c r="AB56" s="289"/>
      <c r="AC56" s="289"/>
      <c r="AD56" s="289"/>
      <c r="AE56" s="289"/>
      <c r="AF56" s="289"/>
    </row>
    <row r="57" spans="1:32" ht="15.75">
      <c r="A57" s="289"/>
      <c r="B57" s="289"/>
      <c r="C57" s="693"/>
      <c r="D57" s="693"/>
      <c r="E57" s="693"/>
      <c r="F57" s="693"/>
      <c r="G57" s="693"/>
      <c r="H57" s="693"/>
      <c r="I57" s="693"/>
      <c r="J57" s="693"/>
      <c r="K57" s="693"/>
      <c r="L57" s="693"/>
      <c r="M57" s="693"/>
      <c r="N57" s="693"/>
      <c r="O57" s="693"/>
      <c r="P57" s="693"/>
      <c r="Q57" s="693"/>
      <c r="R57" s="693"/>
      <c r="S57" s="693"/>
      <c r="T57" s="289"/>
      <c r="U57" s="289"/>
      <c r="V57" s="289"/>
      <c r="W57" s="289"/>
      <c r="X57" s="289"/>
      <c r="Y57" s="289"/>
      <c r="Z57" s="289"/>
      <c r="AA57" s="289"/>
      <c r="AB57" s="289"/>
      <c r="AC57" s="289"/>
      <c r="AD57" s="289"/>
      <c r="AE57" s="289"/>
      <c r="AF57" s="289"/>
    </row>
    <row r="58" spans="1:32" ht="15.75">
      <c r="A58" s="289"/>
      <c r="B58" s="306" t="s">
        <v>398</v>
      </c>
      <c r="C58" s="292">
        <f>C$2</f>
        <v>2019</v>
      </c>
      <c r="D58" s="292">
        <f t="shared" ref="D58:S58" si="33">D$2</f>
        <v>2020</v>
      </c>
      <c r="E58" s="292">
        <f t="shared" si="33"/>
        <v>2021</v>
      </c>
      <c r="F58" s="292">
        <f t="shared" si="33"/>
        <v>2022</v>
      </c>
      <c r="G58" s="292">
        <f t="shared" si="33"/>
        <v>2023</v>
      </c>
      <c r="H58" s="292">
        <f t="shared" si="33"/>
        <v>2024</v>
      </c>
      <c r="I58" s="292" t="str">
        <f t="shared" si="33"/>
        <v>2025E</v>
      </c>
      <c r="J58" s="292" t="str">
        <f t="shared" si="33"/>
        <v>2026E</v>
      </c>
      <c r="K58" s="292" t="str">
        <f t="shared" si="33"/>
        <v>2027E</v>
      </c>
      <c r="L58" s="292" t="str">
        <f t="shared" si="33"/>
        <v>2028E</v>
      </c>
      <c r="M58" s="292" t="str">
        <f t="shared" si="33"/>
        <v>2029E</v>
      </c>
      <c r="N58" s="292" t="str">
        <f t="shared" si="33"/>
        <v>2030E</v>
      </c>
      <c r="O58" s="292" t="str">
        <f t="shared" si="33"/>
        <v>2031E</v>
      </c>
      <c r="P58" s="292" t="str">
        <f t="shared" si="33"/>
        <v>2032E</v>
      </c>
      <c r="Q58" s="292" t="str">
        <f t="shared" si="33"/>
        <v>2033E</v>
      </c>
      <c r="R58" s="292" t="str">
        <f t="shared" si="33"/>
        <v>2034E</v>
      </c>
      <c r="S58" s="292" t="str">
        <f t="shared" si="33"/>
        <v>2035E</v>
      </c>
      <c r="T58" s="289"/>
      <c r="U58" s="289"/>
      <c r="V58" s="289"/>
      <c r="W58" s="289"/>
      <c r="X58" s="289"/>
      <c r="Y58" s="289"/>
      <c r="Z58" s="289"/>
      <c r="AA58" s="289"/>
      <c r="AB58" s="289"/>
      <c r="AC58" s="289"/>
      <c r="AD58" s="289"/>
      <c r="AE58" s="289"/>
      <c r="AF58" s="289"/>
    </row>
    <row r="59" spans="1:32" ht="15.75">
      <c r="A59" s="289"/>
      <c r="B59" s="289" t="s">
        <v>141</v>
      </c>
      <c r="C59" s="694"/>
      <c r="D59" s="694">
        <f>Master!G280</f>
        <v>317.34899999999999</v>
      </c>
      <c r="E59" s="694">
        <f>Master!H280</f>
        <v>321.50799999999998</v>
      </c>
      <c r="F59" s="694">
        <f>Master!I279</f>
        <v>330.96300000000002</v>
      </c>
      <c r="G59" s="694">
        <f>Master!J279</f>
        <v>333.17599999999999</v>
      </c>
      <c r="H59" s="694">
        <f>Master!K279</f>
        <v>333.06299999999999</v>
      </c>
      <c r="I59" s="694">
        <f>Master!L279</f>
        <v>326.61138709677419</v>
      </c>
      <c r="J59" s="694">
        <f>Master!M279</f>
        <v>318.54687096774194</v>
      </c>
      <c r="K59" s="694">
        <f>Master!N279</f>
        <v>308.86945161290322</v>
      </c>
      <c r="L59" s="694">
        <f>Master!O279</f>
        <v>297.57912903225804</v>
      </c>
      <c r="M59" s="694">
        <f>Master!P279</f>
        <v>284.67590322580645</v>
      </c>
      <c r="N59" s="694">
        <f>Master!Q279</f>
        <v>270.1597741935484</v>
      </c>
      <c r="O59" s="694">
        <f>Master!R279</f>
        <v>254.03074193548389</v>
      </c>
      <c r="P59" s="694">
        <f>Master!S279</f>
        <v>236.28880645161291</v>
      </c>
      <c r="Q59" s="694">
        <f>Master!T279</f>
        <v>216.9339677419355</v>
      </c>
      <c r="R59" s="694">
        <f>Master!U279</f>
        <v>195.96622580645163</v>
      </c>
      <c r="S59" s="694">
        <f>Master!V279</f>
        <v>173.38558064516133</v>
      </c>
      <c r="T59" s="289"/>
      <c r="U59" s="289"/>
      <c r="V59" s="289"/>
      <c r="W59" s="289"/>
      <c r="Z59" s="289"/>
      <c r="AA59" s="289"/>
      <c r="AB59" s="289"/>
      <c r="AC59" s="289"/>
      <c r="AD59" s="289"/>
      <c r="AE59" s="289"/>
      <c r="AF59" s="289"/>
    </row>
    <row r="60" spans="1:32" ht="15.75">
      <c r="A60" s="289"/>
      <c r="B60" s="290" t="s">
        <v>142</v>
      </c>
      <c r="C60" s="696"/>
      <c r="D60" s="695">
        <f>C53*E59</f>
        <v>2157.3186799999999</v>
      </c>
      <c r="E60" s="695">
        <f>$C$53*E59</f>
        <v>2157.3186799999999</v>
      </c>
      <c r="F60" s="695">
        <f t="shared" ref="F60:N60" si="34">$C$53*F59</f>
        <v>2220.7617300000002</v>
      </c>
      <c r="G60" s="695">
        <f t="shared" si="34"/>
        <v>2235.61096</v>
      </c>
      <c r="H60" s="695">
        <f t="shared" si="34"/>
        <v>2234.8527300000001</v>
      </c>
      <c r="I60" s="695">
        <f t="shared" si="34"/>
        <v>2191.5624074193547</v>
      </c>
      <c r="J60" s="695">
        <f t="shared" si="34"/>
        <v>2137.4495041935484</v>
      </c>
      <c r="K60" s="695">
        <f t="shared" si="34"/>
        <v>2072.5140203225806</v>
      </c>
      <c r="L60" s="695">
        <f t="shared" si="34"/>
        <v>1996.7559558064513</v>
      </c>
      <c r="M60" s="695">
        <f t="shared" si="34"/>
        <v>1910.1753106451613</v>
      </c>
      <c r="N60" s="695">
        <f t="shared" si="34"/>
        <v>1812.7720848387098</v>
      </c>
      <c r="O60" s="695">
        <f t="shared" ref="O60:S60" si="35">$C$53*O59</f>
        <v>1704.5462783870969</v>
      </c>
      <c r="P60" s="695">
        <f t="shared" si="35"/>
        <v>1585.4978912903227</v>
      </c>
      <c r="Q60" s="695">
        <f t="shared" si="35"/>
        <v>1455.6269235483871</v>
      </c>
      <c r="R60" s="695">
        <f t="shared" si="35"/>
        <v>1314.9333751612905</v>
      </c>
      <c r="S60" s="695">
        <f t="shared" si="35"/>
        <v>1163.4172461290325</v>
      </c>
      <c r="T60" s="289"/>
      <c r="U60" s="289"/>
      <c r="V60" s="289"/>
      <c r="W60" s="289"/>
      <c r="X60" s="289"/>
      <c r="Y60" s="289"/>
      <c r="Z60" s="289"/>
      <c r="AA60" s="289"/>
      <c r="AB60" s="289"/>
      <c r="AC60" s="289"/>
      <c r="AD60" s="289"/>
      <c r="AE60" s="289"/>
      <c r="AF60" s="289"/>
    </row>
    <row r="61" spans="1:32" ht="15.75">
      <c r="A61" s="289"/>
      <c r="B61" s="289" t="s">
        <v>329</v>
      </c>
      <c r="C61" s="694"/>
      <c r="D61" s="694">
        <f>Master!G104-Consolidation!F45</f>
        <v>1617.7930000000001</v>
      </c>
      <c r="E61" s="694">
        <f>Master!H104-Consolidation!G45</f>
        <v>1692.6020000000003</v>
      </c>
      <c r="F61" s="694">
        <f>Master!I104-Consolidation!H45</f>
        <v>2830.3239999999996</v>
      </c>
      <c r="G61" s="694">
        <f>Master!J104-Consolidation!I45</f>
        <v>3217.0240000000003</v>
      </c>
      <c r="H61" s="694">
        <f>Master!K104-Consolidation!J45</f>
        <v>2769.9930000000004</v>
      </c>
      <c r="I61" s="694">
        <f>Master!L104-Consolidation!K45</f>
        <v>2489.9069725287682</v>
      </c>
      <c r="J61" s="694">
        <f>Master!M104-Consolidation!L45</f>
        <v>2356.1710740143267</v>
      </c>
      <c r="K61" s="694">
        <f>Master!N104-Consolidation!M45</f>
        <v>2226.7627204416794</v>
      </c>
      <c r="L61" s="694">
        <f>Master!O104-Consolidation!N45</f>
        <v>2121.7720527522024</v>
      </c>
      <c r="M61" s="694">
        <f>Master!P104-Consolidation!O45</f>
        <v>2000.1922416946804</v>
      </c>
      <c r="N61" s="694">
        <f>Master!Q104-Consolidation!P45</f>
        <v>1872.3462652914618</v>
      </c>
      <c r="O61" s="694">
        <f>Master!R104-Consolidation!Q45</f>
        <v>1723.5057034721121</v>
      </c>
      <c r="P61" s="694">
        <f>Master!S104-Consolidation!R45</f>
        <v>1574.219084995794</v>
      </c>
      <c r="Q61" s="694">
        <f>Master!T104-Consolidation!S45</f>
        <v>1398.4426184809051</v>
      </c>
      <c r="R61" s="694">
        <f>Master!U104-Consolidation!T45</f>
        <v>1207.1863981690822</v>
      </c>
      <c r="S61" s="694">
        <f>Master!V104-Consolidation!U45</f>
        <v>1013.5078314589555</v>
      </c>
      <c r="T61" s="289"/>
      <c r="U61" s="289"/>
      <c r="V61" s="289"/>
      <c r="W61" s="289"/>
      <c r="X61" s="289"/>
      <c r="Y61" s="289"/>
      <c r="Z61" s="289"/>
      <c r="AA61" s="289"/>
      <c r="AB61" s="289"/>
      <c r="AC61" s="289"/>
      <c r="AD61" s="289"/>
      <c r="AE61" s="289"/>
      <c r="AF61" s="289"/>
    </row>
    <row r="62" spans="1:32" ht="15.75">
      <c r="A62" s="289"/>
      <c r="B62" s="289" t="s">
        <v>330</v>
      </c>
      <c r="C62" s="694"/>
      <c r="D62" s="694">
        <v>0</v>
      </c>
      <c r="E62" s="694">
        <v>0</v>
      </c>
      <c r="F62" s="694">
        <v>0</v>
      </c>
      <c r="G62" s="694">
        <v>0</v>
      </c>
      <c r="H62" s="694">
        <v>0</v>
      </c>
      <c r="I62" s="694">
        <v>0</v>
      </c>
      <c r="J62" s="694">
        <v>0</v>
      </c>
      <c r="K62" s="694">
        <v>0</v>
      </c>
      <c r="L62" s="694">
        <v>0</v>
      </c>
      <c r="M62" s="694">
        <v>0</v>
      </c>
      <c r="N62" s="694">
        <v>0</v>
      </c>
      <c r="O62" s="694">
        <v>0</v>
      </c>
      <c r="P62" s="694">
        <v>0</v>
      </c>
      <c r="Q62" s="694">
        <v>0</v>
      </c>
      <c r="R62" s="694">
        <v>0</v>
      </c>
      <c r="S62" s="694">
        <v>0</v>
      </c>
      <c r="T62" s="289"/>
      <c r="U62" s="289"/>
      <c r="V62" s="289"/>
      <c r="W62" s="289"/>
      <c r="X62" s="289"/>
      <c r="Y62" s="289"/>
      <c r="Z62" s="289"/>
      <c r="AA62" s="289"/>
      <c r="AB62" s="289"/>
      <c r="AC62" s="289"/>
      <c r="AD62" s="289"/>
      <c r="AE62" s="289"/>
      <c r="AF62" s="289"/>
    </row>
    <row r="63" spans="1:32" ht="15.75">
      <c r="A63" s="289"/>
      <c r="B63" s="289" t="s">
        <v>331</v>
      </c>
      <c r="C63" s="694"/>
      <c r="D63" s="694">
        <v>0</v>
      </c>
      <c r="E63" s="694">
        <v>0</v>
      </c>
      <c r="F63" s="694">
        <v>0</v>
      </c>
      <c r="G63" s="694">
        <v>0</v>
      </c>
      <c r="H63" s="694">
        <v>0</v>
      </c>
      <c r="I63" s="694">
        <v>0</v>
      </c>
      <c r="J63" s="694">
        <v>0</v>
      </c>
      <c r="K63" s="694">
        <v>0</v>
      </c>
      <c r="L63" s="694">
        <v>0</v>
      </c>
      <c r="M63" s="694">
        <v>0</v>
      </c>
      <c r="N63" s="694">
        <v>0</v>
      </c>
      <c r="O63" s="694">
        <v>0</v>
      </c>
      <c r="P63" s="694">
        <v>0</v>
      </c>
      <c r="Q63" s="694">
        <v>0</v>
      </c>
      <c r="R63" s="694">
        <v>0</v>
      </c>
      <c r="S63" s="694">
        <v>0</v>
      </c>
      <c r="T63" s="289"/>
      <c r="U63" s="289"/>
      <c r="V63" s="289"/>
      <c r="W63" s="289"/>
      <c r="X63" s="289"/>
      <c r="Y63" s="289"/>
      <c r="Z63" s="289"/>
      <c r="AA63" s="289"/>
      <c r="AB63" s="289"/>
      <c r="AC63" s="289"/>
      <c r="AD63" s="289"/>
      <c r="AE63" s="289"/>
      <c r="AF63" s="289"/>
    </row>
    <row r="64" spans="1:32" ht="15.75">
      <c r="A64" s="289"/>
      <c r="B64" s="289" t="s">
        <v>332</v>
      </c>
      <c r="C64" s="694"/>
      <c r="D64" s="715">
        <v>0</v>
      </c>
      <c r="E64" s="715">
        <v>0</v>
      </c>
      <c r="F64" s="715">
        <v>0</v>
      </c>
      <c r="G64" s="715">
        <v>0</v>
      </c>
      <c r="H64" s="715">
        <v>0</v>
      </c>
      <c r="I64" s="715">
        <f>H64+Master!L117</f>
        <v>0</v>
      </c>
      <c r="J64" s="715">
        <f>I64+Master!M117</f>
        <v>-57.831694664433911</v>
      </c>
      <c r="K64" s="715">
        <f>J64+Master!N117</f>
        <v>-134.41930987430447</v>
      </c>
      <c r="L64" s="715">
        <f>K64+Master!O117</f>
        <v>-237.21953263649999</v>
      </c>
      <c r="M64" s="715">
        <f>L64+Master!P117</f>
        <v>-361.87084408078391</v>
      </c>
      <c r="N64" s="715">
        <f>M64+Master!Q117</f>
        <v>-510.88839854644209</v>
      </c>
      <c r="O64" s="715">
        <f>N64+Master!R117</f>
        <v>-685.9586401132309</v>
      </c>
      <c r="P64" s="715">
        <f>O64+Master!S117</f>
        <v>-887.24741673001677</v>
      </c>
      <c r="Q64" s="715">
        <f>P64+Master!T117</f>
        <v>-1116.0466307510198</v>
      </c>
      <c r="R64" s="715">
        <f>Q64+Master!U117</f>
        <v>-1374.4261633625542</v>
      </c>
      <c r="S64" s="715">
        <f>R64+Master!V117</f>
        <v>-1664.843484033318</v>
      </c>
      <c r="T64" s="289"/>
      <c r="U64" s="289"/>
      <c r="V64" s="289"/>
      <c r="W64" s="289"/>
      <c r="X64" s="289"/>
      <c r="Y64" s="289"/>
      <c r="Z64" s="289"/>
      <c r="AA64" s="289"/>
      <c r="AB64" s="289"/>
      <c r="AC64" s="289"/>
      <c r="AD64" s="289"/>
      <c r="AE64" s="289"/>
      <c r="AF64" s="289"/>
    </row>
    <row r="65" spans="1:32" ht="15.75">
      <c r="A65" s="289"/>
      <c r="B65" s="290" t="s">
        <v>325</v>
      </c>
      <c r="C65" s="696"/>
      <c r="D65" s="696">
        <f t="shared" ref="D65:N65" si="36">SUM(D60:D64)</f>
        <v>3775.11168</v>
      </c>
      <c r="E65" s="696">
        <f t="shared" si="36"/>
        <v>3849.9206800000002</v>
      </c>
      <c r="F65" s="696">
        <f t="shared" si="36"/>
        <v>5051.0857299999998</v>
      </c>
      <c r="G65" s="696">
        <f t="shared" si="36"/>
        <v>5452.6349600000003</v>
      </c>
      <c r="H65" s="696">
        <f t="shared" si="36"/>
        <v>5004.8457300000009</v>
      </c>
      <c r="I65" s="696">
        <f t="shared" si="36"/>
        <v>4681.4693799481229</v>
      </c>
      <c r="J65" s="696">
        <f t="shared" si="36"/>
        <v>4435.7888835434414</v>
      </c>
      <c r="K65" s="696">
        <f t="shared" si="36"/>
        <v>4164.857430889956</v>
      </c>
      <c r="L65" s="696">
        <f t="shared" si="36"/>
        <v>3881.3084759221538</v>
      </c>
      <c r="M65" s="696">
        <f t="shared" si="36"/>
        <v>3548.4967082590574</v>
      </c>
      <c r="N65" s="696">
        <f t="shared" si="36"/>
        <v>3174.2299515837294</v>
      </c>
      <c r="O65" s="696">
        <f t="shared" ref="O65:S65" si="37">SUM(O60:O64)</f>
        <v>2742.0933417459783</v>
      </c>
      <c r="P65" s="696">
        <f t="shared" si="37"/>
        <v>2272.4695595560997</v>
      </c>
      <c r="Q65" s="696">
        <f t="shared" si="37"/>
        <v>1738.0229112782724</v>
      </c>
      <c r="R65" s="696">
        <f t="shared" si="37"/>
        <v>1147.6936099678182</v>
      </c>
      <c r="S65" s="696">
        <f t="shared" si="37"/>
        <v>512.08159355467023</v>
      </c>
      <c r="T65" s="289"/>
      <c r="U65" s="289"/>
      <c r="V65" s="289"/>
      <c r="W65" s="289"/>
      <c r="X65" s="289"/>
      <c r="Y65" s="289"/>
      <c r="Z65" s="289"/>
      <c r="AA65" s="289"/>
      <c r="AB65" s="289"/>
      <c r="AC65" s="289"/>
      <c r="AD65" s="289"/>
      <c r="AE65" s="289"/>
      <c r="AF65" s="289"/>
    </row>
    <row r="66" spans="1:32" ht="15.75">
      <c r="A66" s="289"/>
      <c r="B66" s="289" t="s">
        <v>333</v>
      </c>
      <c r="C66" s="694"/>
      <c r="D66" s="694">
        <f>Consolidation!F45</f>
        <v>314.74699999999996</v>
      </c>
      <c r="E66" s="694">
        <f>Consolidation!G45</f>
        <v>376.101</v>
      </c>
      <c r="F66" s="694">
        <f>Consolidation!H45</f>
        <v>605.55799999999999</v>
      </c>
      <c r="G66" s="694">
        <f>Consolidation!I45</f>
        <v>601.99400000000003</v>
      </c>
      <c r="H66" s="694">
        <f>Consolidation!J45</f>
        <v>552.54399999999998</v>
      </c>
      <c r="I66" s="694">
        <f>Consolidation!K45</f>
        <v>580.1712</v>
      </c>
      <c r="J66" s="694">
        <f>Consolidation!L45</f>
        <v>609.17975999999999</v>
      </c>
      <c r="K66" s="694">
        <f>Consolidation!M45</f>
        <v>639.63874799999996</v>
      </c>
      <c r="L66" s="694">
        <f>Consolidation!N45</f>
        <v>671.62068539999996</v>
      </c>
      <c r="M66" s="694">
        <f>Consolidation!O45</f>
        <v>705.20171966999999</v>
      </c>
      <c r="N66" s="694">
        <f>Consolidation!P45</f>
        <v>740.46180565350005</v>
      </c>
      <c r="O66" s="694">
        <f>Consolidation!Q45</f>
        <v>777.48489593617512</v>
      </c>
      <c r="P66" s="694">
        <f>Consolidation!R45</f>
        <v>816.35914073298386</v>
      </c>
      <c r="Q66" s="694">
        <f>Consolidation!S45</f>
        <v>857.17709776963306</v>
      </c>
      <c r="R66" s="694">
        <f>Consolidation!T45</f>
        <v>900.03595265811475</v>
      </c>
      <c r="S66" s="694">
        <f>Consolidation!U45</f>
        <v>945.03775029102053</v>
      </c>
      <c r="T66" s="289"/>
      <c r="U66" s="289"/>
      <c r="V66" s="289"/>
      <c r="W66" s="289"/>
      <c r="X66" s="289"/>
      <c r="Y66" s="289"/>
      <c r="Z66" s="289"/>
      <c r="AA66" s="289"/>
      <c r="AB66" s="289"/>
      <c r="AC66" s="289"/>
      <c r="AD66" s="289"/>
      <c r="AE66" s="289"/>
      <c r="AF66" s="289"/>
    </row>
    <row r="67" spans="1:32" ht="15.75">
      <c r="A67" s="289"/>
      <c r="B67" s="290" t="s">
        <v>140</v>
      </c>
      <c r="C67" s="696"/>
      <c r="D67" s="695">
        <f t="shared" ref="D67:N67" si="38">SUM(D65,D66)</f>
        <v>4089.8586799999998</v>
      </c>
      <c r="E67" s="695">
        <f t="shared" si="38"/>
        <v>4226.0216799999998</v>
      </c>
      <c r="F67" s="695">
        <f t="shared" si="38"/>
        <v>5656.6437299999998</v>
      </c>
      <c r="G67" s="695">
        <f t="shared" si="38"/>
        <v>6054.62896</v>
      </c>
      <c r="H67" s="695">
        <f t="shared" si="38"/>
        <v>5557.3897300000008</v>
      </c>
      <c r="I67" s="695">
        <f t="shared" si="38"/>
        <v>5261.6405799481226</v>
      </c>
      <c r="J67" s="695">
        <f t="shared" si="38"/>
        <v>5044.9686435434414</v>
      </c>
      <c r="K67" s="695">
        <f t="shared" si="38"/>
        <v>4804.4961788899564</v>
      </c>
      <c r="L67" s="695">
        <f t="shared" si="38"/>
        <v>4552.929161322154</v>
      </c>
      <c r="M67" s="695">
        <f t="shared" si="38"/>
        <v>4253.6984279290573</v>
      </c>
      <c r="N67" s="695">
        <f t="shared" si="38"/>
        <v>3914.6917572372295</v>
      </c>
      <c r="O67" s="695">
        <f t="shared" ref="O67:S67" si="39">SUM(O65,O66)</f>
        <v>3519.5782376821535</v>
      </c>
      <c r="P67" s="695">
        <f t="shared" si="39"/>
        <v>3088.8287002890838</v>
      </c>
      <c r="Q67" s="695">
        <f t="shared" si="39"/>
        <v>2595.2000090479055</v>
      </c>
      <c r="R67" s="695">
        <f t="shared" si="39"/>
        <v>2047.7295626259329</v>
      </c>
      <c r="S67" s="695">
        <f t="shared" si="39"/>
        <v>1457.1193438456908</v>
      </c>
      <c r="T67" s="289"/>
      <c r="U67" s="289"/>
      <c r="V67" s="289"/>
      <c r="W67" s="289"/>
      <c r="X67" s="289"/>
      <c r="Y67" s="289"/>
      <c r="Z67" s="289"/>
      <c r="AA67" s="289"/>
      <c r="AB67" s="289"/>
      <c r="AC67" s="289"/>
      <c r="AD67" s="289"/>
      <c r="AE67" s="289"/>
      <c r="AF67" s="289"/>
    </row>
    <row r="68" spans="1:32" ht="15.75">
      <c r="A68" s="289"/>
      <c r="B68" s="289"/>
      <c r="C68" s="694"/>
      <c r="D68" s="693"/>
      <c r="E68" s="709"/>
      <c r="F68" s="709"/>
      <c r="G68" s="709"/>
      <c r="H68" s="709"/>
      <c r="I68" s="709"/>
      <c r="J68" s="709"/>
      <c r="K68" s="709"/>
      <c r="L68" s="709"/>
      <c r="M68" s="709"/>
      <c r="N68" s="709"/>
      <c r="O68" s="709"/>
      <c r="P68" s="709"/>
      <c r="Q68" s="709"/>
      <c r="R68" s="709"/>
      <c r="S68" s="709"/>
      <c r="T68" s="289"/>
      <c r="U68" s="289"/>
      <c r="V68" s="289"/>
      <c r="W68" s="289"/>
      <c r="X68" s="289"/>
      <c r="Y68" s="289"/>
      <c r="Z68" s="289"/>
      <c r="AA68" s="289"/>
      <c r="AB68" s="289"/>
      <c r="AC68" s="289"/>
      <c r="AD68" s="289"/>
      <c r="AE68" s="289"/>
      <c r="AF68" s="289"/>
    </row>
    <row r="69" spans="1:32" ht="15.75">
      <c r="A69" s="289"/>
      <c r="B69" s="289" t="s">
        <v>334</v>
      </c>
      <c r="C69" s="694"/>
      <c r="D69" s="705">
        <f t="shared" ref="D69:N69" si="40">D67/ D7</f>
        <v>4.9936370806848229</v>
      </c>
      <c r="E69" s="705">
        <f t="shared" si="40"/>
        <v>4.5617874861290417</v>
      </c>
      <c r="F69" s="705">
        <f t="shared" si="40"/>
        <v>5.4845069935019479</v>
      </c>
      <c r="G69" s="705">
        <f t="shared" si="40"/>
        <v>5.3460855161209144</v>
      </c>
      <c r="H69" s="705">
        <f t="shared" si="40"/>
        <v>5.9862829588712936</v>
      </c>
      <c r="I69" s="705">
        <f t="shared" si="40"/>
        <v>5.2687085683351231</v>
      </c>
      <c r="J69" s="705">
        <f t="shared" si="40"/>
        <v>4.7988073565882488</v>
      </c>
      <c r="K69" s="705">
        <f t="shared" si="40"/>
        <v>4.226009420748662</v>
      </c>
      <c r="L69" s="705">
        <f t="shared" si="40"/>
        <v>3.7450703334302546</v>
      </c>
      <c r="M69" s="705">
        <f t="shared" si="40"/>
        <v>3.2722843059030877</v>
      </c>
      <c r="N69" s="705">
        <f t="shared" si="40"/>
        <v>2.8215241032211162</v>
      </c>
      <c r="O69" s="705">
        <f t="shared" ref="O69:S69" si="41">O67/ O7</f>
        <v>2.3865122280397792</v>
      </c>
      <c r="P69" s="705">
        <f t="shared" si="41"/>
        <v>1.9740608835576436</v>
      </c>
      <c r="Q69" s="705">
        <f t="shared" si="41"/>
        <v>1.5629977409873879</v>
      </c>
      <c r="R69" s="705">
        <f t="shared" si="41"/>
        <v>1.1620576920136714</v>
      </c>
      <c r="S69" s="705">
        <f t="shared" si="41"/>
        <v>0.77900975894412783</v>
      </c>
      <c r="T69" s="289"/>
      <c r="U69" s="289"/>
      <c r="V69" s="289"/>
      <c r="W69" s="289"/>
      <c r="X69" s="289"/>
      <c r="Y69" s="289"/>
      <c r="Z69" s="289"/>
      <c r="AA69" s="289"/>
      <c r="AB69" s="289"/>
      <c r="AC69" s="289"/>
      <c r="AD69" s="289"/>
      <c r="AE69" s="289"/>
      <c r="AF69" s="289"/>
    </row>
    <row r="70" spans="1:32" ht="15.75">
      <c r="A70" s="289"/>
      <c r="B70" s="290" t="s">
        <v>335</v>
      </c>
      <c r="C70" s="696"/>
      <c r="D70" s="716">
        <f t="shared" ref="D70:N70" si="42">D65/D17</f>
        <v>5.1185109437983787</v>
      </c>
      <c r="E70" s="716">
        <f t="shared" si="42"/>
        <v>4.6223916627145405</v>
      </c>
      <c r="F70" s="716">
        <f t="shared" si="42"/>
        <v>5.6719549328102028</v>
      </c>
      <c r="G70" s="716">
        <f t="shared" si="42"/>
        <v>5.59231419156266</v>
      </c>
      <c r="H70" s="716">
        <f t="shared" si="42"/>
        <v>6.5427951604047392</v>
      </c>
      <c r="I70" s="716">
        <f>I65/I17</f>
        <v>5.5958598852627137</v>
      </c>
      <c r="J70" s="716">
        <f t="shared" si="42"/>
        <v>5.0398249354599205</v>
      </c>
      <c r="K70" s="716">
        <f t="shared" si="42"/>
        <v>4.3511708302164163</v>
      </c>
      <c r="L70" s="716">
        <f t="shared" si="42"/>
        <v>3.7791913503911978</v>
      </c>
      <c r="M70" s="716">
        <f t="shared" si="42"/>
        <v>3.2206627195648938</v>
      </c>
      <c r="N70" s="716">
        <f t="shared" si="42"/>
        <v>2.6913799438068535</v>
      </c>
      <c r="O70" s="716">
        <f t="shared" ref="O70:S70" si="43">O65/O17</f>
        <v>2.1825961247440913</v>
      </c>
      <c r="P70" s="716">
        <f t="shared" si="43"/>
        <v>1.7017757047228315</v>
      </c>
      <c r="Q70" s="716">
        <f t="shared" si="43"/>
        <v>1.224325936798798</v>
      </c>
      <c r="R70" s="716">
        <f t="shared" si="43"/>
        <v>0.76041785934495099</v>
      </c>
      <c r="S70" s="716">
        <f t="shared" si="43"/>
        <v>0.31906027429578321</v>
      </c>
      <c r="T70" s="289"/>
      <c r="U70" s="289"/>
      <c r="V70" s="289"/>
      <c r="W70" s="289"/>
      <c r="X70" s="289"/>
      <c r="Y70" s="289"/>
      <c r="Z70" s="289"/>
      <c r="AA70" s="289"/>
      <c r="AB70" s="289"/>
      <c r="AC70" s="289"/>
      <c r="AD70" s="289"/>
      <c r="AE70" s="289"/>
      <c r="AF70" s="289"/>
    </row>
    <row r="71" spans="1:32" ht="15.75">
      <c r="A71" s="289"/>
      <c r="B71" s="307"/>
      <c r="C71" s="717"/>
      <c r="D71" s="718"/>
      <c r="E71" s="718"/>
      <c r="F71" s="718"/>
      <c r="G71" s="718"/>
      <c r="H71" s="718"/>
      <c r="I71" s="718"/>
      <c r="J71" s="718"/>
      <c r="K71" s="718"/>
      <c r="L71" s="718"/>
      <c r="M71" s="718"/>
      <c r="N71" s="718"/>
      <c r="O71" s="718"/>
      <c r="P71" s="718"/>
      <c r="Q71" s="718"/>
      <c r="R71" s="718"/>
      <c r="S71" s="718"/>
      <c r="T71" s="289"/>
      <c r="U71" s="289"/>
      <c r="V71" s="289"/>
      <c r="W71" s="289"/>
      <c r="X71" s="289"/>
      <c r="Y71" s="289"/>
      <c r="Z71" s="289"/>
      <c r="AA71" s="289"/>
      <c r="AB71" s="289"/>
      <c r="AC71" s="289"/>
      <c r="AD71" s="289"/>
      <c r="AE71" s="289"/>
      <c r="AF71" s="289"/>
    </row>
    <row r="72" spans="1:32" ht="15.75">
      <c r="A72" s="289"/>
      <c r="B72" s="289"/>
      <c r="C72" s="694"/>
      <c r="D72" s="719"/>
      <c r="E72" s="719"/>
      <c r="F72" s="719"/>
      <c r="G72" s="719"/>
      <c r="H72" s="719"/>
      <c r="I72" s="719"/>
      <c r="J72" s="719"/>
      <c r="K72" s="719"/>
      <c r="L72" s="719"/>
      <c r="M72" s="719"/>
      <c r="N72" s="719"/>
      <c r="O72" s="719"/>
      <c r="P72" s="719"/>
      <c r="Q72" s="719"/>
      <c r="R72" s="719"/>
      <c r="S72" s="719"/>
      <c r="T72" s="289"/>
      <c r="U72" s="289"/>
      <c r="V72" s="289"/>
      <c r="W72" s="289"/>
      <c r="X72" s="289"/>
      <c r="Y72" s="289"/>
      <c r="Z72" s="289"/>
      <c r="AA72" s="289"/>
      <c r="AB72" s="289"/>
      <c r="AC72" s="289"/>
      <c r="AD72" s="289"/>
      <c r="AE72" s="289"/>
      <c r="AF72" s="289"/>
    </row>
    <row r="73" spans="1:32" ht="15.75">
      <c r="A73" s="289"/>
      <c r="B73" s="289" t="s">
        <v>336</v>
      </c>
      <c r="C73" s="694"/>
      <c r="D73" s="705">
        <f t="shared" ref="D73:N73" si="44">D65/D19</f>
        <v>7.4234165583502598</v>
      </c>
      <c r="E73" s="705">
        <f t="shared" si="44"/>
        <v>8.934914605985357</v>
      </c>
      <c r="F73" s="705">
        <f t="shared" si="44"/>
        <v>19.689501826247284</v>
      </c>
      <c r="G73" s="705">
        <f t="shared" si="44"/>
        <v>14.016227729465863</v>
      </c>
      <c r="H73" s="705">
        <f t="shared" si="44"/>
        <v>9.8532222900342585</v>
      </c>
      <c r="I73" s="705">
        <f t="shared" si="44"/>
        <v>8.1021822595491031</v>
      </c>
      <c r="J73" s="705">
        <f t="shared" si="44"/>
        <v>7.262903647768681</v>
      </c>
      <c r="K73" s="705">
        <f t="shared" si="44"/>
        <v>6.1340474647128902</v>
      </c>
      <c r="L73" s="705">
        <f t="shared" si="44"/>
        <v>5.3025650098994808</v>
      </c>
      <c r="M73" s="705">
        <f t="shared" si="44"/>
        <v>4.4374617896917243</v>
      </c>
      <c r="N73" s="705">
        <f t="shared" si="44"/>
        <v>3.6931461909636529</v>
      </c>
      <c r="O73" s="705">
        <f t="shared" ref="O73:S73" si="45">O65/O19</f>
        <v>2.9457116387673206</v>
      </c>
      <c r="P73" s="705">
        <f t="shared" si="45"/>
        <v>2.2895617745023111</v>
      </c>
      <c r="Q73" s="705">
        <f t="shared" si="45"/>
        <v>1.6215887542525249</v>
      </c>
      <c r="R73" s="705">
        <f t="shared" si="45"/>
        <v>1.0042107629070232</v>
      </c>
      <c r="S73" s="705">
        <f t="shared" si="45"/>
        <v>0.42013319549249767</v>
      </c>
      <c r="T73" s="289"/>
      <c r="U73" s="289"/>
      <c r="V73" s="289"/>
      <c r="W73" s="289"/>
      <c r="X73" s="289"/>
      <c r="Y73" s="289"/>
      <c r="Z73" s="289"/>
      <c r="AA73" s="289"/>
      <c r="AB73" s="289"/>
      <c r="AC73" s="289"/>
      <c r="AD73" s="289"/>
      <c r="AE73" s="289"/>
      <c r="AF73" s="289"/>
    </row>
    <row r="74" spans="1:32" ht="15.75">
      <c r="A74" s="289"/>
      <c r="B74" s="289" t="s">
        <v>337</v>
      </c>
      <c r="C74" s="694"/>
      <c r="D74" s="705">
        <f t="shared" ref="D74:N74" si="46">D65/D20</f>
        <v>10.604880797643229</v>
      </c>
      <c r="E74" s="705">
        <f t="shared" si="46"/>
        <v>12.764163722836225</v>
      </c>
      <c r="F74" s="705">
        <f t="shared" si="46"/>
        <v>28.127859751781834</v>
      </c>
      <c r="G74" s="705">
        <f t="shared" si="46"/>
        <v>20.023182470665521</v>
      </c>
      <c r="H74" s="705">
        <f t="shared" si="46"/>
        <v>14.076031842906085</v>
      </c>
      <c r="I74" s="705">
        <f t="shared" si="46"/>
        <v>11.574546085070148</v>
      </c>
      <c r="J74" s="705">
        <f t="shared" si="46"/>
        <v>10.375576639669545</v>
      </c>
      <c r="K74" s="705">
        <f t="shared" si="46"/>
        <v>8.7629249495898431</v>
      </c>
      <c r="L74" s="705">
        <f t="shared" si="46"/>
        <v>7.5750928712849728</v>
      </c>
      <c r="M74" s="705">
        <f t="shared" si="46"/>
        <v>6.3392311281310363</v>
      </c>
      <c r="N74" s="705">
        <f t="shared" si="46"/>
        <v>5.2759231299480751</v>
      </c>
      <c r="O74" s="705">
        <f t="shared" ref="O74:S74" si="47">O65/O20</f>
        <v>4.2081594839533158</v>
      </c>
      <c r="P74" s="705">
        <f t="shared" si="47"/>
        <v>3.2708025350033019</v>
      </c>
      <c r="Q74" s="705">
        <f t="shared" si="47"/>
        <v>2.3165553632178928</v>
      </c>
      <c r="R74" s="705">
        <f t="shared" si="47"/>
        <v>1.4345868041528904</v>
      </c>
      <c r="S74" s="705">
        <f t="shared" si="47"/>
        <v>0.6001902792749968</v>
      </c>
      <c r="T74" s="289"/>
      <c r="U74" s="289"/>
      <c r="V74" s="289"/>
      <c r="W74" s="289"/>
      <c r="X74" s="289"/>
      <c r="Y74" s="289"/>
      <c r="Z74" s="289"/>
      <c r="AA74" s="289"/>
      <c r="AB74" s="289"/>
      <c r="AC74" s="289"/>
      <c r="AD74" s="289"/>
      <c r="AE74" s="289"/>
      <c r="AF74" s="289"/>
    </row>
    <row r="75" spans="1:32" ht="15.75">
      <c r="A75" s="289"/>
      <c r="B75" s="289" t="s">
        <v>338</v>
      </c>
      <c r="C75" s="694"/>
      <c r="D75" s="705">
        <f t="shared" ref="D75:N75" si="48">D60/D12</f>
        <v>-8.8315164466277771</v>
      </c>
      <c r="E75" s="705">
        <f t="shared" si="48"/>
        <v>16.773460949344944</v>
      </c>
      <c r="F75" s="705">
        <f t="shared" si="48"/>
        <v>-10.11064043961647</v>
      </c>
      <c r="G75" s="705">
        <f t="shared" si="48"/>
        <v>-1.226240048092772</v>
      </c>
      <c r="H75" s="705">
        <f t="shared" si="48"/>
        <v>-1.4335913091058612</v>
      </c>
      <c r="I75" s="705">
        <f t="shared" si="48"/>
        <v>10.841891115763296</v>
      </c>
      <c r="J75" s="705">
        <f t="shared" si="48"/>
        <v>8.9190379681666077</v>
      </c>
      <c r="K75" s="705">
        <f t="shared" si="48"/>
        <v>7.0958173721231406</v>
      </c>
      <c r="L75" s="705">
        <f t="shared" si="48"/>
        <v>5.9466617776048176</v>
      </c>
      <c r="M75" s="705">
        <f t="shared" si="48"/>
        <v>4.9678155821551346</v>
      </c>
      <c r="N75" s="705">
        <f t="shared" si="48"/>
        <v>4.1518731123058048</v>
      </c>
      <c r="O75" s="705">
        <f t="shared" ref="O75:S75" si="49">O60/O12</f>
        <v>3.4854051310371235</v>
      </c>
      <c r="P75" s="705">
        <f t="shared" si="49"/>
        <v>2.9141248397227586</v>
      </c>
      <c r="Q75" s="705">
        <f t="shared" si="49"/>
        <v>2.4130383336526502</v>
      </c>
      <c r="R75" s="705">
        <f t="shared" si="49"/>
        <v>1.9704995907414307</v>
      </c>
      <c r="S75" s="705">
        <f t="shared" si="49"/>
        <v>1.58087321806865</v>
      </c>
      <c r="T75" s="289"/>
      <c r="U75" s="289"/>
      <c r="V75" s="289"/>
      <c r="W75" s="289"/>
      <c r="X75" s="289"/>
      <c r="Y75" s="289"/>
      <c r="Z75" s="289"/>
      <c r="AA75" s="289"/>
      <c r="AB75" s="289"/>
      <c r="AC75" s="289"/>
      <c r="AD75" s="289"/>
      <c r="AE75" s="289"/>
      <c r="AF75" s="289"/>
    </row>
    <row r="76" spans="1:32" ht="15.75">
      <c r="A76" s="289"/>
      <c r="B76" s="289" t="s">
        <v>143</v>
      </c>
      <c r="C76" s="694"/>
      <c r="D76" s="705">
        <f>D60/Master!G315</f>
        <v>20.179395923559731</v>
      </c>
      <c r="E76" s="705">
        <f>E60/Master!H315</f>
        <v>35.793643377412067</v>
      </c>
      <c r="F76" s="705">
        <f>F60/Master!I315</f>
        <v>-14.959661367463783</v>
      </c>
      <c r="G76" s="705">
        <f>G60/Master!J315</f>
        <v>-9.0607041505732884</v>
      </c>
      <c r="H76" s="705">
        <f>H60/Master!K315</f>
        <v>-55.023949428796392</v>
      </c>
      <c r="I76" s="705">
        <f>I60/Master!L315</f>
        <v>185.18688870650891</v>
      </c>
      <c r="J76" s="705">
        <f>J60/Master!M315</f>
        <v>63.974944753648309</v>
      </c>
      <c r="K76" s="705">
        <f>K60/Master!N315</f>
        <v>22.542060609434117</v>
      </c>
      <c r="L76" s="705">
        <f>L60/Master!O315</f>
        <v>16.860257885836742</v>
      </c>
      <c r="M76" s="705">
        <f>M60/Master!P315</f>
        <v>12.215958999688286</v>
      </c>
      <c r="N76" s="705">
        <f>N60/Master!Q315</f>
        <v>9.736914096214468</v>
      </c>
      <c r="O76" s="705">
        <f>O60/Master!R315</f>
        <v>7.3277036401194193</v>
      </c>
      <c r="P76" s="705">
        <f>P60/Master!S315</f>
        <v>6.1327725874361967</v>
      </c>
      <c r="Q76" s="705">
        <f>Q60/Master!T315</f>
        <v>4.6778764211123036</v>
      </c>
      <c r="R76" s="705">
        <f>R60/Master!U315</f>
        <v>3.712000095578571</v>
      </c>
      <c r="S76" s="705">
        <f>S60/Master!V315</f>
        <v>3.0137924677365504</v>
      </c>
      <c r="T76" s="289"/>
      <c r="U76" s="289"/>
      <c r="V76" s="289"/>
      <c r="W76" s="289"/>
      <c r="X76" s="289"/>
      <c r="Y76" s="289"/>
      <c r="Z76" s="289"/>
      <c r="AA76" s="289"/>
      <c r="AB76" s="289"/>
      <c r="AC76" s="289"/>
      <c r="AD76" s="289"/>
      <c r="AE76" s="289"/>
      <c r="AF76" s="289"/>
    </row>
    <row r="77" spans="1:32" ht="15.75">
      <c r="A77" s="289"/>
      <c r="B77" s="289" t="s">
        <v>339</v>
      </c>
      <c r="C77" s="708"/>
      <c r="D77" s="720">
        <f t="shared" ref="D77:N77" si="50">1/D76</f>
        <v>4.9555497289811623E-2</v>
      </c>
      <c r="E77" s="720">
        <f t="shared" si="50"/>
        <v>2.7937921531370563E-2</v>
      </c>
      <c r="F77" s="720">
        <f t="shared" si="50"/>
        <v>-6.6846432912908718E-2</v>
      </c>
      <c r="G77" s="720">
        <f t="shared" si="50"/>
        <v>-0.11036669814859014</v>
      </c>
      <c r="H77" s="720">
        <f t="shared" si="50"/>
        <v>-1.8173904461257322E-2</v>
      </c>
      <c r="I77" s="720">
        <f t="shared" si="50"/>
        <v>5.399950325775154E-3</v>
      </c>
      <c r="J77" s="720">
        <f t="shared" si="50"/>
        <v>1.5631119399176548E-2</v>
      </c>
      <c r="K77" s="720">
        <f t="shared" si="50"/>
        <v>4.4361516780834505E-2</v>
      </c>
      <c r="L77" s="720">
        <f t="shared" si="50"/>
        <v>5.9311073814596757E-2</v>
      </c>
      <c r="M77" s="720">
        <f t="shared" si="50"/>
        <v>8.1860130672140999E-2</v>
      </c>
      <c r="N77" s="720">
        <f t="shared" si="50"/>
        <v>0.10270194335891096</v>
      </c>
      <c r="O77" s="720">
        <f t="shared" ref="O77:S77" si="51">1/O76</f>
        <v>0.1364684011679958</v>
      </c>
      <c r="P77" s="720">
        <f t="shared" si="51"/>
        <v>0.16305838603059136</v>
      </c>
      <c r="Q77" s="720">
        <f t="shared" si="51"/>
        <v>0.21377221413690539</v>
      </c>
      <c r="R77" s="720">
        <f t="shared" si="51"/>
        <v>0.26939654478757091</v>
      </c>
      <c r="S77" s="720">
        <f t="shared" si="51"/>
        <v>0.33180785030995524</v>
      </c>
      <c r="T77" s="289"/>
      <c r="U77" s="289"/>
      <c r="V77" s="289"/>
      <c r="W77" s="289"/>
      <c r="X77" s="289"/>
      <c r="Y77" s="289"/>
      <c r="Z77" s="289"/>
      <c r="AA77" s="289"/>
      <c r="AB77" s="289"/>
      <c r="AC77" s="289"/>
      <c r="AD77" s="289"/>
      <c r="AE77" s="289"/>
      <c r="AF77" s="289"/>
    </row>
    <row r="78" spans="1:32" ht="15.75">
      <c r="A78" s="289"/>
      <c r="B78" s="289" t="s">
        <v>1156</v>
      </c>
      <c r="C78" s="289"/>
      <c r="D78" s="289"/>
      <c r="E78" s="289"/>
      <c r="F78" s="289"/>
      <c r="G78" s="289"/>
      <c r="H78" s="289"/>
      <c r="I78" s="1069">
        <f>Consolidation!K128/Valuation!I60</f>
        <v>0.18270318081052966</v>
      </c>
      <c r="J78" s="1069">
        <f>Consolidation!L128/Valuation!J60</f>
        <v>0.19019743837976508</v>
      </c>
      <c r="K78" s="1069">
        <f>Consolidation!M128/Valuation!K60</f>
        <v>0.22316585454039434</v>
      </c>
      <c r="L78" s="1069">
        <f>Consolidation!N128/Valuation!L60</f>
        <v>0.25798594094963501</v>
      </c>
      <c r="M78" s="1069">
        <f>Consolidation!O128/Valuation!M60</f>
        <v>0.29848920998073769</v>
      </c>
      <c r="N78" s="1069">
        <f>Consolidation!P128/Valuation!N60</f>
        <v>0.34548698765316005</v>
      </c>
      <c r="O78" s="1069">
        <f>Consolidation!Q128/Valuation!O60</f>
        <v>0.40105299148429202</v>
      </c>
      <c r="P78" s="1069">
        <f>Consolidation!R128/Valuation!P60</f>
        <v>0.46933925381087122</v>
      </c>
      <c r="Q78" s="1069">
        <f>Consolidation!S128/Valuation!Q60</f>
        <v>0.55499828775994697</v>
      </c>
      <c r="R78" s="1069">
        <f>Consolidation!T128/Valuation!R60</f>
        <v>0.66533176128826066</v>
      </c>
      <c r="S78" s="1069">
        <f>Consolidation!U128/Valuation!S60</f>
        <v>0.81276389397506854</v>
      </c>
      <c r="T78" s="289"/>
      <c r="U78" s="289"/>
      <c r="V78" s="289"/>
      <c r="W78" s="289"/>
      <c r="X78" s="289"/>
      <c r="Y78" s="289"/>
      <c r="Z78" s="289"/>
      <c r="AA78" s="289"/>
      <c r="AB78" s="289"/>
      <c r="AC78" s="289"/>
      <c r="AD78" s="289"/>
      <c r="AE78" s="289"/>
      <c r="AF78" s="289"/>
    </row>
    <row r="79" spans="1:32" ht="15.75">
      <c r="A79" s="289"/>
      <c r="B79" s="289"/>
      <c r="C79" s="289"/>
      <c r="D79" s="289"/>
      <c r="E79" s="289"/>
      <c r="F79" s="289"/>
      <c r="G79" s="289"/>
      <c r="H79" s="289"/>
      <c r="I79" s="289"/>
      <c r="J79" s="289"/>
      <c r="K79" s="289"/>
      <c r="L79" s="289"/>
      <c r="M79" s="289"/>
      <c r="N79" s="289"/>
      <c r="O79" s="289"/>
      <c r="P79" s="289"/>
      <c r="Q79" s="289"/>
      <c r="R79" s="289"/>
      <c r="S79" s="289"/>
      <c r="T79" s="289"/>
      <c r="U79" s="289"/>
      <c r="V79" s="289"/>
      <c r="W79" s="289"/>
      <c r="X79" s="289"/>
      <c r="Y79" s="289"/>
      <c r="Z79" s="289"/>
      <c r="AA79" s="289"/>
      <c r="AB79" s="289"/>
      <c r="AC79" s="289"/>
      <c r="AD79" s="289"/>
      <c r="AE79" s="289"/>
      <c r="AF79" s="289"/>
    </row>
    <row r="80" spans="1:32" ht="15.75">
      <c r="A80" s="289"/>
      <c r="B80" s="289" t="s">
        <v>1157</v>
      </c>
      <c r="C80" s="693"/>
      <c r="D80" s="693"/>
      <c r="E80" s="289"/>
      <c r="F80" s="289"/>
      <c r="G80" s="257"/>
      <c r="H80" s="289"/>
      <c r="I80" s="289">
        <f t="shared" ref="I80:N80" si="52">I15+I18</f>
        <v>739.86683591510814</v>
      </c>
      <c r="J80" s="289">
        <f t="shared" si="52"/>
        <v>781.89486860196962</v>
      </c>
      <c r="K80" s="289">
        <f t="shared" si="52"/>
        <v>858.68016569403994</v>
      </c>
      <c r="L80" s="289">
        <f t="shared" si="52"/>
        <v>920.65980627022805</v>
      </c>
      <c r="M80" s="289">
        <f t="shared" si="52"/>
        <v>997.79439935551204</v>
      </c>
      <c r="N80" s="289">
        <f t="shared" si="52"/>
        <v>1067.524691326495</v>
      </c>
      <c r="O80" s="289">
        <f t="shared" ref="O80:S80" si="53">O15+O18</f>
        <v>1149.3105923280136</v>
      </c>
      <c r="P80" s="289">
        <f t="shared" si="53"/>
        <v>1221.8906610976712</v>
      </c>
      <c r="Q80" s="289">
        <f t="shared" si="53"/>
        <v>1312.6262547692747</v>
      </c>
      <c r="R80" s="289">
        <f t="shared" si="53"/>
        <v>1395.7461309288647</v>
      </c>
      <c r="S80" s="289">
        <f t="shared" si="53"/>
        <v>1484.3635201258021</v>
      </c>
      <c r="T80" s="289"/>
      <c r="U80" s="289"/>
      <c r="V80" s="289"/>
      <c r="W80" s="289"/>
      <c r="X80" s="289"/>
      <c r="Y80" s="289"/>
      <c r="Z80" s="289"/>
      <c r="AA80" s="289"/>
      <c r="AB80" s="289"/>
      <c r="AC80" s="289"/>
      <c r="AD80" s="289"/>
      <c r="AE80" s="289"/>
      <c r="AF80" s="289"/>
    </row>
    <row r="81" spans="1:32" ht="15.75">
      <c r="A81" s="289"/>
      <c r="B81" s="289" t="s">
        <v>1135</v>
      </c>
      <c r="C81" s="693"/>
      <c r="D81" s="693"/>
      <c r="E81" s="289"/>
      <c r="F81" s="289"/>
      <c r="G81" s="289"/>
      <c r="H81" s="289"/>
      <c r="I81" s="960">
        <f t="shared" ref="I81:N81" si="54">I67/I80</f>
        <v>7.1116048517571882</v>
      </c>
      <c r="J81" s="960">
        <f t="shared" si="54"/>
        <v>6.4522339845558276</v>
      </c>
      <c r="K81" s="960">
        <f t="shared" si="54"/>
        <v>5.5952103831426649</v>
      </c>
      <c r="L81" s="960">
        <f t="shared" si="54"/>
        <v>4.9452893786760992</v>
      </c>
      <c r="M81" s="960">
        <f t="shared" si="54"/>
        <v>4.2631011265212297</v>
      </c>
      <c r="N81" s="960">
        <f t="shared" si="54"/>
        <v>3.667073735196583</v>
      </c>
      <c r="O81" s="960">
        <f t="shared" ref="O81:S81" si="55">O67/O80</f>
        <v>3.0623386412483917</v>
      </c>
      <c r="P81" s="960">
        <f t="shared" si="55"/>
        <v>2.5279092464085702</v>
      </c>
      <c r="Q81" s="960">
        <f t="shared" si="55"/>
        <v>1.9771050591274921</v>
      </c>
      <c r="R81" s="960">
        <f t="shared" si="55"/>
        <v>1.4671217904528062</v>
      </c>
      <c r="S81" s="960">
        <f t="shared" si="55"/>
        <v>0.98164588666406838</v>
      </c>
      <c r="T81" s="289"/>
      <c r="U81" s="289"/>
      <c r="V81" s="289"/>
      <c r="W81" s="289"/>
      <c r="X81" s="289"/>
      <c r="Y81" s="289"/>
      <c r="Z81" s="289"/>
      <c r="AA81" s="289"/>
      <c r="AB81" s="289"/>
      <c r="AC81" s="289"/>
      <c r="AD81" s="289"/>
      <c r="AE81" s="289"/>
      <c r="AF81" s="289"/>
    </row>
    <row r="82" spans="1:32" ht="15.75">
      <c r="A82" s="289"/>
      <c r="B82" s="289" t="s">
        <v>1136</v>
      </c>
      <c r="C82" s="693"/>
      <c r="D82" s="693"/>
      <c r="E82" s="289"/>
      <c r="F82" s="289"/>
      <c r="G82" s="289"/>
      <c r="H82" s="289"/>
      <c r="I82" s="960">
        <f>I81/(1-Master!L238)</f>
        <v>10.585273771576958</v>
      </c>
      <c r="J82" s="960">
        <f>J81/(1-Master!M238)</f>
        <v>9.6038326915647669</v>
      </c>
      <c r="K82" s="960">
        <f>K81/(1-Master!N238)</f>
        <v>8.3281952456203907</v>
      </c>
      <c r="L82" s="960">
        <f>L81/(1-Master!O238)</f>
        <v>7.3608198211440108</v>
      </c>
      <c r="M82" s="960">
        <f>M81/(1-Master!P238)</f>
        <v>6.3454161867549868</v>
      </c>
      <c r="N82" s="960">
        <f>N81/(1-Master!Q238)</f>
        <v>5.4582587526673318</v>
      </c>
      <c r="O82" s="960">
        <f>O81/(1-Master!R238)</f>
        <v>4.55814033183856</v>
      </c>
      <c r="P82" s="960">
        <f>P81/(1-Master!S238)</f>
        <v>3.7626684835173028</v>
      </c>
      <c r="Q82" s="960">
        <f>Q81/(1-Master!T238)</f>
        <v>2.9428235626538304</v>
      </c>
      <c r="R82" s="960">
        <f>R81/(1-Master!U238)</f>
        <v>2.1837385698323604</v>
      </c>
      <c r="S82" s="960">
        <f>S81/(1-Master!V238)</f>
        <v>1.4611315833322893</v>
      </c>
      <c r="T82" s="289"/>
      <c r="U82" s="289"/>
      <c r="V82" s="289"/>
      <c r="W82" s="289"/>
      <c r="X82" s="289"/>
      <c r="Y82" s="289"/>
      <c r="Z82" s="289"/>
      <c r="AA82" s="289"/>
      <c r="AB82" s="289"/>
      <c r="AC82" s="289"/>
      <c r="AD82" s="289"/>
      <c r="AE82" s="289"/>
      <c r="AF82" s="289"/>
    </row>
    <row r="83" spans="1:32" ht="15.75">
      <c r="A83" s="289"/>
      <c r="B83" s="289"/>
      <c r="C83" s="693"/>
      <c r="D83" s="693"/>
      <c r="E83" s="693"/>
      <c r="F83" s="693"/>
      <c r="G83" s="693"/>
      <c r="H83" s="693"/>
      <c r="I83" s="693"/>
      <c r="J83" s="694"/>
      <c r="K83" s="694"/>
      <c r="L83" s="694"/>
      <c r="M83" s="694"/>
      <c r="N83" s="694"/>
      <c r="O83" s="694"/>
      <c r="P83" s="694"/>
      <c r="Q83" s="694"/>
      <c r="R83" s="694"/>
      <c r="S83" s="694"/>
      <c r="T83" s="289"/>
      <c r="U83" s="289"/>
      <c r="V83" s="289"/>
      <c r="W83" s="289"/>
      <c r="X83" s="289"/>
      <c r="Y83" s="289"/>
      <c r="Z83" s="289"/>
      <c r="AA83" s="289"/>
      <c r="AB83" s="289"/>
      <c r="AC83" s="289"/>
      <c r="AD83" s="289"/>
      <c r="AE83" s="289"/>
      <c r="AF83" s="289"/>
    </row>
    <row r="84" spans="1:32" ht="15.75">
      <c r="A84" s="289"/>
      <c r="B84" s="289"/>
      <c r="C84" s="693"/>
      <c r="D84" s="693"/>
      <c r="E84" s="693"/>
      <c r="F84" s="693"/>
      <c r="G84" s="693"/>
      <c r="H84" s="693"/>
      <c r="I84" s="693"/>
      <c r="J84" s="694"/>
      <c r="K84" s="694"/>
      <c r="L84" s="694"/>
      <c r="M84" s="694"/>
      <c r="N84" s="694"/>
      <c r="O84" s="694"/>
      <c r="P84" s="694"/>
      <c r="Q84" s="694"/>
      <c r="R84" s="694"/>
      <c r="S84" s="694"/>
      <c r="T84" s="289"/>
      <c r="U84" s="289"/>
      <c r="V84" s="289"/>
      <c r="W84" s="289"/>
      <c r="X84" s="289"/>
      <c r="Y84" s="289"/>
      <c r="Z84" s="289"/>
      <c r="AA84" s="289"/>
      <c r="AB84" s="289"/>
      <c r="AC84" s="289"/>
      <c r="AD84" s="289"/>
      <c r="AE84" s="289"/>
      <c r="AF84" s="289"/>
    </row>
    <row r="85" spans="1:32" ht="15.75">
      <c r="A85" s="289"/>
      <c r="B85" s="289" t="s">
        <v>993</v>
      </c>
      <c r="C85" s="693"/>
      <c r="D85" s="693"/>
      <c r="E85" s="693"/>
      <c r="F85" s="693"/>
      <c r="G85" s="693"/>
      <c r="H85" s="693"/>
      <c r="I85" s="289">
        <v>50</v>
      </c>
      <c r="J85" s="289"/>
      <c r="K85" s="694"/>
      <c r="L85" s="694"/>
      <c r="M85" s="694"/>
      <c r="N85" s="694"/>
      <c r="O85" s="694"/>
      <c r="P85" s="694"/>
      <c r="Q85" s="694"/>
      <c r="R85" s="694"/>
      <c r="S85" s="694"/>
      <c r="T85" s="289"/>
      <c r="U85" s="289"/>
      <c r="V85" s="289"/>
      <c r="W85" s="289"/>
      <c r="X85" s="289"/>
      <c r="Y85" s="289"/>
      <c r="Z85" s="289"/>
      <c r="AA85" s="289"/>
      <c r="AB85" s="289"/>
      <c r="AC85" s="289"/>
      <c r="AD85" s="289"/>
      <c r="AE85" s="289"/>
      <c r="AF85" s="289"/>
    </row>
    <row r="86" spans="1:32" ht="15.75">
      <c r="A86" s="289"/>
      <c r="B86" s="289" t="s">
        <v>994</v>
      </c>
      <c r="C86" s="693"/>
      <c r="D86" s="693"/>
      <c r="E86" s="693"/>
      <c r="F86" s="693"/>
      <c r="G86" s="693"/>
      <c r="H86" s="693"/>
      <c r="I86" s="652">
        <f>I85/H60</f>
        <v>2.237283885815599E-2</v>
      </c>
      <c r="J86" s="694"/>
      <c r="K86" s="693"/>
      <c r="L86" s="693"/>
      <c r="M86" s="693"/>
      <c r="N86" s="693"/>
      <c r="O86" s="693"/>
      <c r="P86" s="693"/>
      <c r="Q86" s="693"/>
      <c r="R86" s="693"/>
      <c r="S86" s="693"/>
      <c r="T86" s="289"/>
      <c r="U86" s="289"/>
      <c r="V86" s="289"/>
      <c r="W86" s="289"/>
      <c r="X86" s="289"/>
      <c r="Y86" s="289"/>
      <c r="Z86" s="289"/>
      <c r="AA86" s="289"/>
      <c r="AB86" s="289"/>
      <c r="AC86" s="289"/>
      <c r="AD86" s="289"/>
      <c r="AE86" s="289"/>
      <c r="AF86" s="289"/>
    </row>
    <row r="87" spans="1:32" ht="15.75">
      <c r="A87" s="289"/>
      <c r="B87" s="289"/>
      <c r="C87" s="693"/>
      <c r="D87" s="693"/>
      <c r="E87" s="693"/>
      <c r="F87" s="693"/>
      <c r="G87" s="693"/>
      <c r="H87" s="693"/>
      <c r="I87" s="693"/>
      <c r="J87" s="693"/>
      <c r="K87" s="693"/>
      <c r="L87" s="693"/>
      <c r="M87" s="693"/>
      <c r="N87" s="693"/>
      <c r="O87" s="693"/>
      <c r="P87" s="693"/>
      <c r="Q87" s="693"/>
      <c r="R87" s="693"/>
      <c r="S87" s="693"/>
      <c r="T87" s="289"/>
      <c r="U87" s="289"/>
      <c r="V87" s="289"/>
      <c r="W87" s="289"/>
      <c r="X87" s="289"/>
      <c r="Y87" s="289"/>
      <c r="Z87" s="289"/>
      <c r="AA87" s="289"/>
      <c r="AB87" s="289"/>
      <c r="AC87" s="289"/>
      <c r="AD87" s="289"/>
      <c r="AE87" s="289"/>
      <c r="AF87" s="289"/>
    </row>
    <row r="88" spans="1:32" ht="15.75">
      <c r="A88" s="289"/>
      <c r="B88" s="289"/>
      <c r="C88" s="693"/>
      <c r="D88" s="693"/>
      <c r="E88" s="693"/>
      <c r="F88" s="693"/>
      <c r="G88" s="693"/>
      <c r="H88" s="693"/>
      <c r="I88" s="693"/>
      <c r="J88" s="693"/>
      <c r="K88" s="693"/>
      <c r="L88" s="693"/>
      <c r="M88" s="693"/>
      <c r="N88" s="693"/>
      <c r="O88" s="693"/>
      <c r="P88" s="693"/>
      <c r="Q88" s="693"/>
      <c r="R88" s="693"/>
      <c r="S88" s="693"/>
      <c r="T88" s="289"/>
      <c r="U88" s="289"/>
      <c r="V88" s="289"/>
      <c r="W88" s="289"/>
      <c r="X88" s="289"/>
      <c r="Y88" s="289"/>
      <c r="Z88" s="289"/>
      <c r="AA88" s="289"/>
      <c r="AB88" s="289"/>
      <c r="AC88" s="289"/>
      <c r="AD88" s="289"/>
      <c r="AE88" s="289"/>
      <c r="AF88" s="289"/>
    </row>
    <row r="89" spans="1:32" ht="15.75">
      <c r="A89" s="289"/>
      <c r="B89" s="289"/>
      <c r="C89" s="693"/>
      <c r="D89" s="693"/>
      <c r="E89" s="693"/>
      <c r="F89" s="693"/>
      <c r="G89" s="693"/>
      <c r="H89" s="693"/>
      <c r="I89" s="693"/>
      <c r="J89" s="693"/>
      <c r="K89" s="693"/>
      <c r="L89" s="693"/>
      <c r="M89" s="693"/>
      <c r="N89" s="693"/>
      <c r="O89" s="693"/>
      <c r="P89" s="693"/>
      <c r="Q89" s="693"/>
      <c r="R89" s="693"/>
      <c r="S89" s="693"/>
      <c r="T89" s="289"/>
      <c r="U89" s="289"/>
      <c r="V89" s="289"/>
      <c r="W89" s="289"/>
      <c r="Y89" s="289"/>
      <c r="Z89" s="289"/>
      <c r="AA89" s="289"/>
      <c r="AB89" s="289"/>
      <c r="AC89" s="289"/>
      <c r="AD89" s="289"/>
      <c r="AE89" s="289"/>
      <c r="AF89" s="289"/>
    </row>
    <row r="90" spans="1:32" ht="15.75">
      <c r="A90" s="289"/>
      <c r="B90" s="289"/>
      <c r="C90" s="693"/>
      <c r="D90" s="693"/>
      <c r="E90" s="693"/>
      <c r="F90" s="693"/>
      <c r="G90" s="693"/>
      <c r="H90" s="693"/>
      <c r="I90" s="693"/>
      <c r="J90" s="693"/>
      <c r="K90" s="693"/>
      <c r="L90" s="693"/>
      <c r="M90" s="693"/>
      <c r="N90" s="693"/>
      <c r="O90" s="693"/>
      <c r="P90" s="693"/>
      <c r="Q90" s="693"/>
      <c r="R90" s="693"/>
      <c r="S90" s="693"/>
      <c r="T90" s="289"/>
      <c r="U90" s="289"/>
      <c r="V90" s="289"/>
      <c r="W90" s="289"/>
      <c r="Y90" s="289"/>
      <c r="Z90" s="289"/>
      <c r="AA90" s="289"/>
      <c r="AB90" s="289"/>
      <c r="AC90" s="289"/>
      <c r="AD90" s="289"/>
      <c r="AE90" s="289"/>
      <c r="AF90" s="289"/>
    </row>
    <row r="91" spans="1:32" ht="15.75">
      <c r="A91" s="289"/>
      <c r="B91" s="289"/>
      <c r="C91" s="693"/>
      <c r="D91" s="693"/>
      <c r="E91" s="693"/>
      <c r="F91" s="693"/>
      <c r="G91" s="693"/>
      <c r="H91" s="693"/>
      <c r="I91" s="693"/>
      <c r="J91" s="693"/>
      <c r="K91" s="693"/>
      <c r="L91" s="693"/>
      <c r="M91" s="693"/>
      <c r="N91" s="693"/>
      <c r="O91" s="693"/>
      <c r="P91" s="693"/>
      <c r="Q91" s="693"/>
      <c r="R91" s="693"/>
      <c r="S91" s="693"/>
      <c r="T91" s="289"/>
      <c r="U91" s="289"/>
      <c r="V91" s="289"/>
      <c r="W91" s="289"/>
      <c r="Y91" s="289"/>
      <c r="Z91" s="289"/>
      <c r="AA91" s="289"/>
      <c r="AB91" s="289"/>
      <c r="AC91" s="289"/>
      <c r="AD91" s="289"/>
      <c r="AE91" s="289"/>
      <c r="AF91" s="289"/>
    </row>
    <row r="92" spans="1:32" ht="15.75">
      <c r="A92" s="289"/>
      <c r="B92" s="289"/>
      <c r="C92" s="289"/>
      <c r="D92" s="289"/>
      <c r="E92" s="289"/>
      <c r="F92" s="289"/>
      <c r="G92" s="289"/>
      <c r="H92" s="289"/>
      <c r="I92" s="289"/>
      <c r="J92" s="289"/>
      <c r="K92" s="289"/>
      <c r="L92" s="289"/>
      <c r="M92" s="289"/>
      <c r="N92" s="289"/>
      <c r="O92" s="289"/>
      <c r="P92" s="289"/>
      <c r="Q92" s="289"/>
      <c r="R92" s="289"/>
      <c r="S92" s="289"/>
      <c r="T92" s="289"/>
      <c r="U92" s="289"/>
      <c r="V92" s="289"/>
      <c r="W92" s="289"/>
      <c r="Y92" s="289"/>
      <c r="Z92" s="289"/>
      <c r="AA92" s="289"/>
      <c r="AB92" s="289"/>
      <c r="AC92" s="289"/>
      <c r="AD92" s="289"/>
      <c r="AE92" s="289"/>
      <c r="AF92" s="289"/>
    </row>
    <row r="93" spans="1:32" ht="15.75">
      <c r="A93" s="289"/>
      <c r="B93" s="289"/>
      <c r="C93" s="289"/>
      <c r="D93" s="289"/>
      <c r="E93" s="289"/>
      <c r="F93" s="289"/>
      <c r="G93" s="289"/>
      <c r="H93" s="289"/>
      <c r="I93" s="289"/>
      <c r="J93" s="289"/>
      <c r="K93" s="289"/>
      <c r="L93" s="289"/>
      <c r="M93" s="289"/>
      <c r="N93" s="289"/>
      <c r="O93" s="289"/>
      <c r="P93" s="289"/>
      <c r="Q93" s="289"/>
      <c r="R93" s="289"/>
      <c r="S93" s="289"/>
      <c r="T93" s="289"/>
      <c r="U93" s="289"/>
      <c r="V93" s="289"/>
      <c r="W93" s="289"/>
      <c r="Y93" s="289"/>
      <c r="Z93" s="289"/>
      <c r="AA93" s="289"/>
      <c r="AB93" s="289"/>
      <c r="AC93" s="289"/>
      <c r="AD93" s="289"/>
      <c r="AE93" s="289"/>
      <c r="AF93" s="289"/>
    </row>
    <row r="94" spans="1:32" ht="15.75">
      <c r="A94" s="289"/>
      <c r="B94" s="289"/>
      <c r="C94" s="289"/>
      <c r="D94" s="289"/>
      <c r="E94" s="289"/>
      <c r="F94" s="289"/>
      <c r="G94" s="289"/>
      <c r="H94" s="289"/>
      <c r="I94" s="289"/>
      <c r="J94" s="289"/>
      <c r="K94" s="289"/>
      <c r="L94" s="289"/>
      <c r="M94" s="289"/>
      <c r="N94" s="289"/>
      <c r="O94" s="289"/>
      <c r="P94" s="289"/>
      <c r="Q94" s="289"/>
      <c r="R94" s="289"/>
      <c r="S94" s="289"/>
      <c r="T94" s="289"/>
      <c r="U94" s="289"/>
      <c r="V94" s="289"/>
      <c r="W94" s="289"/>
      <c r="Y94" s="289"/>
      <c r="Z94" s="289"/>
      <c r="AA94" s="289"/>
      <c r="AB94" s="289"/>
      <c r="AC94" s="289"/>
      <c r="AD94" s="289"/>
      <c r="AE94" s="289"/>
      <c r="AF94" s="289"/>
    </row>
    <row r="95" spans="1:32" ht="15.75">
      <c r="A95" s="289"/>
      <c r="B95" s="289"/>
      <c r="C95" s="693"/>
      <c r="D95" s="693"/>
      <c r="E95" s="289"/>
      <c r="F95" s="289"/>
      <c r="G95" s="289"/>
      <c r="H95" s="289"/>
      <c r="I95" s="693"/>
      <c r="J95" s="693"/>
      <c r="K95" s="693"/>
      <c r="L95" s="693"/>
      <c r="M95" s="693"/>
      <c r="N95" s="693"/>
      <c r="O95" s="693"/>
      <c r="P95" s="693"/>
      <c r="Q95" s="693"/>
      <c r="R95" s="693"/>
      <c r="S95" s="693"/>
      <c r="T95" s="289"/>
      <c r="Y95" s="289"/>
      <c r="Z95" s="289"/>
      <c r="AA95" s="289"/>
      <c r="AB95" s="289"/>
      <c r="AC95" s="289"/>
      <c r="AD95" s="289"/>
      <c r="AE95" s="289"/>
      <c r="AF95" s="289"/>
    </row>
    <row r="96" spans="1:32" ht="15.75">
      <c r="A96" s="289"/>
      <c r="B96" s="289"/>
      <c r="C96" s="693"/>
      <c r="D96" s="693"/>
      <c r="E96" s="289"/>
      <c r="F96" s="289"/>
      <c r="G96" s="289"/>
      <c r="H96" s="289"/>
      <c r="I96" s="693"/>
      <c r="J96" s="693"/>
      <c r="K96" s="693"/>
      <c r="L96" s="693"/>
      <c r="M96" s="693"/>
      <c r="N96" s="693"/>
      <c r="O96" s="693"/>
      <c r="P96" s="693"/>
      <c r="Q96" s="693"/>
      <c r="R96" s="693"/>
      <c r="S96" s="693"/>
      <c r="T96" s="289"/>
      <c r="Y96" s="289"/>
      <c r="Z96" s="289"/>
      <c r="AA96" s="289"/>
      <c r="AB96" s="289"/>
      <c r="AC96" s="289"/>
      <c r="AD96" s="289"/>
      <c r="AE96" s="289"/>
      <c r="AF96" s="289"/>
    </row>
    <row r="97" spans="1:32" ht="15.75">
      <c r="A97" s="289"/>
      <c r="B97" s="289"/>
      <c r="C97" s="693"/>
      <c r="D97" s="693"/>
      <c r="E97" s="289"/>
      <c r="F97" s="289"/>
      <c r="G97" s="289"/>
      <c r="H97" s="257"/>
      <c r="I97" s="693"/>
      <c r="J97" s="693"/>
      <c r="K97" s="693"/>
      <c r="L97" s="693"/>
      <c r="M97" s="693"/>
      <c r="N97" s="693"/>
      <c r="O97" s="693"/>
      <c r="P97" s="693"/>
      <c r="Q97" s="693"/>
      <c r="R97" s="693"/>
      <c r="S97" s="693"/>
      <c r="T97" s="289"/>
      <c r="U97" s="289"/>
      <c r="V97" s="289"/>
      <c r="W97" s="289"/>
      <c r="X97" s="289"/>
      <c r="Y97" s="289"/>
      <c r="Z97" s="289"/>
      <c r="AA97" s="289"/>
      <c r="AB97" s="289"/>
      <c r="AC97" s="289"/>
      <c r="AD97" s="289"/>
      <c r="AE97" s="289"/>
      <c r="AF97" s="289"/>
    </row>
    <row r="98" spans="1:32" ht="15.75">
      <c r="A98" s="289"/>
      <c r="B98" s="289"/>
      <c r="C98" s="693"/>
      <c r="D98" s="693"/>
      <c r="E98" s="289"/>
      <c r="F98" s="289"/>
      <c r="G98" s="289"/>
      <c r="H98" s="289"/>
      <c r="I98" s="693"/>
      <c r="J98" s="693"/>
      <c r="K98" s="693"/>
      <c r="L98" s="693"/>
      <c r="M98" s="693"/>
      <c r="N98" s="693"/>
      <c r="O98" s="693"/>
      <c r="P98" s="693"/>
      <c r="Q98" s="693"/>
      <c r="R98" s="693"/>
      <c r="S98" s="693"/>
      <c r="T98" s="289"/>
      <c r="U98" s="289"/>
      <c r="V98" s="289"/>
      <c r="W98" s="289"/>
      <c r="X98" s="289"/>
      <c r="Y98" s="289"/>
      <c r="Z98" s="289"/>
      <c r="AA98" s="289"/>
      <c r="AB98" s="289"/>
      <c r="AC98" s="289"/>
      <c r="AD98" s="289"/>
      <c r="AE98" s="289"/>
      <c r="AF98" s="289"/>
    </row>
    <row r="99" spans="1:32" ht="15.75">
      <c r="A99" s="289"/>
      <c r="B99" s="289"/>
      <c r="C99" s="693"/>
      <c r="D99" s="693"/>
      <c r="E99" s="289"/>
      <c r="F99" s="289"/>
      <c r="G99" s="289"/>
      <c r="H99" s="289"/>
      <c r="I99" s="693"/>
      <c r="J99" s="693"/>
      <c r="K99" s="693"/>
      <c r="L99" s="693"/>
      <c r="M99" s="693"/>
      <c r="N99" s="693"/>
      <c r="O99" s="693"/>
      <c r="P99" s="693"/>
      <c r="Q99" s="693"/>
      <c r="R99" s="693"/>
      <c r="S99" s="693"/>
      <c r="T99" s="289"/>
      <c r="U99" s="289"/>
      <c r="V99" s="289"/>
      <c r="W99" s="289"/>
      <c r="X99" s="289"/>
      <c r="Y99" s="289"/>
      <c r="Z99" s="289"/>
      <c r="AA99" s="289"/>
      <c r="AB99" s="289"/>
      <c r="AC99" s="289"/>
      <c r="AD99" s="289"/>
      <c r="AE99" s="289"/>
      <c r="AF99" s="289"/>
    </row>
    <row r="100" spans="1:32" ht="15.75">
      <c r="A100" s="289"/>
      <c r="B100" s="289"/>
      <c r="C100" s="693"/>
      <c r="D100" s="693"/>
      <c r="E100" s="693"/>
      <c r="F100" s="693"/>
      <c r="G100" s="693"/>
      <c r="H100" s="693"/>
      <c r="I100" s="693"/>
      <c r="J100" s="693"/>
      <c r="K100" s="693"/>
      <c r="L100" s="693"/>
      <c r="M100" s="693"/>
      <c r="N100" s="693"/>
      <c r="O100" s="693"/>
      <c r="P100" s="693"/>
      <c r="Q100" s="693"/>
      <c r="R100" s="693"/>
      <c r="S100" s="693"/>
      <c r="T100" s="289"/>
      <c r="U100" s="289"/>
      <c r="V100" s="289"/>
      <c r="W100" s="289"/>
      <c r="X100" s="289"/>
      <c r="Y100" s="289"/>
      <c r="Z100" s="289"/>
      <c r="AA100" s="289"/>
      <c r="AB100" s="289"/>
      <c r="AC100" s="289"/>
      <c r="AD100" s="289"/>
      <c r="AE100" s="289"/>
      <c r="AF100" s="289"/>
    </row>
    <row r="101" spans="1:32" ht="15.75">
      <c r="A101" s="289"/>
      <c r="B101" s="289"/>
      <c r="C101" s="693"/>
      <c r="D101" s="693"/>
      <c r="E101" s="693"/>
      <c r="F101" s="693"/>
      <c r="G101" s="693"/>
      <c r="H101" s="693"/>
      <c r="I101" s="693"/>
      <c r="J101" s="693"/>
      <c r="K101" s="693"/>
      <c r="L101" s="693"/>
      <c r="M101" s="693"/>
      <c r="N101" s="693"/>
      <c r="O101" s="693"/>
      <c r="P101" s="693"/>
      <c r="Q101" s="693"/>
      <c r="R101" s="693"/>
      <c r="S101" s="693"/>
      <c r="T101" s="289"/>
      <c r="U101" s="289"/>
      <c r="V101" s="289"/>
      <c r="W101" s="289"/>
      <c r="X101" s="289"/>
      <c r="Y101" s="289"/>
      <c r="Z101" s="289"/>
      <c r="AA101" s="289"/>
      <c r="AB101" s="289"/>
      <c r="AC101" s="289"/>
      <c r="AD101" s="289"/>
      <c r="AE101" s="289"/>
      <c r="AF101" s="289"/>
    </row>
    <row r="102" spans="1:32" ht="15.75">
      <c r="A102" s="289"/>
      <c r="B102" s="289"/>
      <c r="C102" s="289"/>
      <c r="D102" s="289"/>
      <c r="E102" s="289"/>
      <c r="F102" s="289"/>
      <c r="G102" s="289"/>
      <c r="H102" s="289"/>
      <c r="I102" s="289"/>
      <c r="J102" s="289"/>
      <c r="K102" s="289"/>
      <c r="L102" s="289"/>
      <c r="M102" s="289"/>
      <c r="N102" s="289"/>
      <c r="O102" s="289"/>
      <c r="P102" s="289"/>
      <c r="Q102" s="289"/>
      <c r="R102" s="289"/>
      <c r="S102" s="289"/>
      <c r="T102" s="289"/>
      <c r="U102" s="289"/>
      <c r="V102" s="289"/>
      <c r="W102" s="289"/>
      <c r="X102" s="289"/>
      <c r="Y102" s="289"/>
      <c r="Z102" s="289"/>
      <c r="AA102" s="289"/>
      <c r="AB102" s="289"/>
      <c r="AC102" s="289"/>
      <c r="AD102" s="289"/>
      <c r="AE102" s="289"/>
      <c r="AF102" s="289"/>
    </row>
    <row r="103" spans="1:32" ht="15.75">
      <c r="A103" s="289"/>
      <c r="B103" s="289"/>
      <c r="C103" s="289"/>
      <c r="D103" s="289"/>
      <c r="E103" s="289"/>
      <c r="F103" s="289"/>
      <c r="G103" s="289"/>
      <c r="H103" s="289"/>
      <c r="I103" s="289"/>
      <c r="J103" s="289"/>
      <c r="K103" s="289"/>
      <c r="L103" s="289"/>
      <c r="M103" s="289"/>
      <c r="N103" s="289"/>
      <c r="O103" s="289"/>
      <c r="P103" s="289"/>
      <c r="Q103" s="289"/>
      <c r="R103" s="289"/>
      <c r="S103" s="289"/>
      <c r="T103" s="289"/>
      <c r="U103" s="289"/>
      <c r="V103" s="289"/>
      <c r="W103" s="289"/>
      <c r="X103" s="289"/>
      <c r="Y103" s="289"/>
      <c r="Z103" s="289"/>
      <c r="AA103" s="289"/>
      <c r="AB103" s="289"/>
      <c r="AC103" s="289"/>
      <c r="AD103" s="289"/>
      <c r="AE103" s="289"/>
      <c r="AF103" s="289"/>
    </row>
    <row r="104" spans="1:32" ht="15.75">
      <c r="A104" s="289"/>
      <c r="B104" s="289"/>
      <c r="C104" s="289"/>
      <c r="D104" s="289"/>
      <c r="E104" s="289"/>
      <c r="F104" s="289"/>
      <c r="G104" s="289"/>
      <c r="H104" s="289"/>
      <c r="I104" s="289"/>
      <c r="J104" s="289"/>
      <c r="K104" s="289"/>
      <c r="L104" s="289"/>
      <c r="M104" s="289"/>
      <c r="N104" s="289"/>
      <c r="O104" s="289"/>
      <c r="P104" s="289"/>
      <c r="Q104" s="289"/>
      <c r="R104" s="289"/>
      <c r="S104" s="289"/>
      <c r="T104" s="289"/>
      <c r="U104" s="289"/>
      <c r="V104" s="289"/>
      <c r="W104" s="289"/>
      <c r="X104" s="289"/>
      <c r="Y104" s="289"/>
      <c r="Z104" s="289"/>
      <c r="AA104" s="289"/>
      <c r="AB104" s="289"/>
      <c r="AC104" s="289"/>
      <c r="AD104" s="289"/>
      <c r="AE104" s="289"/>
      <c r="AF104" s="289"/>
    </row>
    <row r="105" spans="1:32" ht="15.75">
      <c r="A105" s="289"/>
      <c r="B105" s="289"/>
      <c r="C105" s="289"/>
      <c r="D105" s="289"/>
      <c r="E105" s="289"/>
      <c r="F105" s="289"/>
      <c r="G105" s="289"/>
      <c r="H105" s="289"/>
      <c r="I105" s="289"/>
      <c r="J105" s="289"/>
      <c r="K105" s="289"/>
      <c r="L105" s="289"/>
      <c r="M105" s="289"/>
      <c r="N105" s="289"/>
      <c r="O105" s="289"/>
      <c r="P105" s="289"/>
      <c r="Q105" s="289"/>
      <c r="R105" s="289"/>
      <c r="S105" s="289"/>
      <c r="T105" s="289"/>
      <c r="U105" s="289"/>
      <c r="V105" s="289"/>
      <c r="W105" s="289"/>
      <c r="X105" s="289"/>
      <c r="Y105" s="289"/>
      <c r="Z105" s="289"/>
      <c r="AA105" s="289"/>
      <c r="AB105" s="289"/>
      <c r="AC105" s="289"/>
      <c r="AD105" s="289"/>
      <c r="AE105" s="289"/>
      <c r="AF105" s="289"/>
    </row>
    <row r="106" spans="1:32" ht="15.75">
      <c r="A106" s="289"/>
      <c r="B106" s="289"/>
      <c r="C106" s="289"/>
      <c r="D106" s="289"/>
      <c r="E106" s="289"/>
      <c r="F106" s="289"/>
      <c r="G106" s="289"/>
      <c r="H106" s="289"/>
      <c r="I106" s="289"/>
      <c r="J106" s="289"/>
      <c r="K106" s="289"/>
      <c r="L106" s="289"/>
      <c r="M106" s="289"/>
      <c r="N106" s="289"/>
      <c r="O106" s="289"/>
      <c r="P106" s="289"/>
      <c r="Q106" s="289"/>
      <c r="R106" s="289"/>
      <c r="S106" s="289"/>
      <c r="T106" s="289"/>
      <c r="U106" s="289"/>
      <c r="V106" s="289"/>
      <c r="W106" s="289"/>
      <c r="X106" s="289"/>
      <c r="Y106" s="289"/>
      <c r="Z106" s="289"/>
      <c r="AA106" s="289"/>
      <c r="AB106" s="289"/>
      <c r="AC106" s="289"/>
      <c r="AD106" s="289"/>
      <c r="AE106" s="289"/>
      <c r="AF106" s="289"/>
    </row>
    <row r="107" spans="1:32" ht="15.75">
      <c r="A107" s="289"/>
      <c r="B107" s="289"/>
      <c r="C107" s="289"/>
      <c r="D107" s="289"/>
      <c r="E107" s="289"/>
      <c r="F107" s="289"/>
      <c r="G107" s="289"/>
      <c r="H107" s="289"/>
      <c r="I107" s="289"/>
      <c r="J107" s="289"/>
      <c r="K107" s="289"/>
      <c r="L107" s="289"/>
      <c r="M107" s="289"/>
      <c r="N107" s="289"/>
      <c r="O107" s="289"/>
      <c r="P107" s="289"/>
      <c r="Q107" s="289"/>
      <c r="R107" s="289"/>
      <c r="S107" s="289"/>
      <c r="T107" s="289"/>
      <c r="U107" s="289"/>
      <c r="V107" s="289"/>
      <c r="W107" s="289"/>
      <c r="X107" s="289"/>
      <c r="Y107" s="289"/>
      <c r="Z107" s="289"/>
      <c r="AA107" s="289"/>
      <c r="AB107" s="289"/>
      <c r="AC107" s="289"/>
      <c r="AD107" s="289"/>
      <c r="AE107" s="289"/>
      <c r="AF107" s="289"/>
    </row>
    <row r="108" spans="1:32" ht="15.75">
      <c r="A108" s="289"/>
      <c r="B108" s="289"/>
      <c r="C108" s="289"/>
      <c r="D108" s="289"/>
      <c r="E108" s="289"/>
      <c r="F108" s="289"/>
      <c r="G108" s="289"/>
      <c r="H108" s="289"/>
      <c r="I108" s="289"/>
      <c r="J108" s="289"/>
      <c r="K108" s="289"/>
      <c r="L108" s="289"/>
      <c r="M108" s="289"/>
      <c r="N108" s="289"/>
      <c r="O108" s="289"/>
      <c r="P108" s="289"/>
      <c r="Q108" s="289"/>
      <c r="R108" s="289"/>
      <c r="S108" s="289"/>
      <c r="T108" s="289"/>
      <c r="U108" s="289"/>
      <c r="V108" s="289"/>
      <c r="W108" s="289"/>
      <c r="X108" s="289"/>
      <c r="Y108" s="289"/>
      <c r="Z108" s="289"/>
      <c r="AA108" s="289"/>
      <c r="AB108" s="289"/>
      <c r="AC108" s="289"/>
      <c r="AD108" s="289"/>
      <c r="AE108" s="289"/>
      <c r="AF108" s="289"/>
    </row>
    <row r="109" spans="1:32" ht="15.75">
      <c r="A109" s="289"/>
      <c r="B109" s="289"/>
      <c r="C109" s="289"/>
      <c r="D109" s="289"/>
      <c r="E109" s="289"/>
      <c r="F109" s="289"/>
      <c r="G109" s="289"/>
      <c r="H109" s="289"/>
      <c r="I109" s="289"/>
      <c r="J109" s="289"/>
      <c r="K109" s="289"/>
      <c r="L109" s="289"/>
      <c r="M109" s="289"/>
      <c r="N109" s="289"/>
      <c r="O109" s="289"/>
      <c r="P109" s="289"/>
      <c r="Q109" s="289"/>
      <c r="R109" s="289"/>
      <c r="S109" s="289"/>
      <c r="T109" s="289"/>
      <c r="U109" s="289"/>
      <c r="V109" s="289"/>
      <c r="W109" s="289"/>
      <c r="X109" s="289"/>
      <c r="Y109" s="289"/>
      <c r="Z109" s="289"/>
      <c r="AA109" s="289"/>
      <c r="AB109" s="289"/>
      <c r="AC109" s="289"/>
      <c r="AD109" s="289"/>
      <c r="AE109" s="289"/>
      <c r="AF109" s="289"/>
    </row>
    <row r="110" spans="1:32" ht="15.75">
      <c r="A110" s="289"/>
      <c r="B110" s="289"/>
      <c r="C110" s="289"/>
      <c r="D110" s="289"/>
      <c r="E110" s="289"/>
      <c r="F110" s="289"/>
      <c r="G110" s="289"/>
      <c r="H110" s="289"/>
      <c r="I110" s="289"/>
      <c r="J110" s="289"/>
      <c r="K110" s="289"/>
      <c r="L110" s="289"/>
      <c r="M110" s="289"/>
      <c r="N110" s="289"/>
      <c r="O110" s="289"/>
      <c r="P110" s="289"/>
      <c r="Q110" s="289"/>
      <c r="R110" s="289"/>
      <c r="S110" s="289"/>
      <c r="T110" s="289"/>
      <c r="U110" s="289"/>
      <c r="V110" s="289"/>
      <c r="W110" s="289"/>
      <c r="X110" s="289"/>
      <c r="Y110" s="289"/>
      <c r="Z110" s="289"/>
      <c r="AA110" s="289"/>
      <c r="AB110" s="289"/>
      <c r="AC110" s="289"/>
      <c r="AD110" s="289"/>
      <c r="AE110" s="289"/>
      <c r="AF110" s="289"/>
    </row>
    <row r="111" spans="1:32" ht="15.75">
      <c r="A111" s="289"/>
      <c r="B111" s="289"/>
      <c r="C111" s="289"/>
      <c r="D111" s="289"/>
      <c r="E111" s="289"/>
      <c r="F111" s="289"/>
      <c r="G111" s="289"/>
      <c r="H111" s="289"/>
      <c r="I111" s="289"/>
      <c r="J111" s="289"/>
      <c r="K111" s="289"/>
      <c r="L111" s="289"/>
      <c r="M111" s="289"/>
      <c r="N111" s="289"/>
      <c r="O111" s="289"/>
      <c r="P111" s="289"/>
      <c r="Q111" s="289"/>
      <c r="R111" s="289"/>
      <c r="S111" s="289"/>
      <c r="T111" s="289"/>
      <c r="U111" s="289"/>
      <c r="V111" s="289"/>
      <c r="W111" s="289"/>
      <c r="X111" s="289"/>
      <c r="Y111" s="289"/>
      <c r="Z111" s="289"/>
      <c r="AA111" s="289"/>
      <c r="AB111" s="289"/>
      <c r="AC111" s="289"/>
      <c r="AD111" s="289"/>
      <c r="AE111" s="289"/>
      <c r="AF111" s="289"/>
    </row>
    <row r="112" spans="1:32" ht="15.75">
      <c r="A112" s="289"/>
      <c r="B112" s="289"/>
      <c r="C112" s="289"/>
      <c r="D112" s="289"/>
      <c r="E112" s="289"/>
      <c r="F112" s="289"/>
      <c r="G112" s="289"/>
      <c r="H112" s="289"/>
      <c r="I112" s="289"/>
      <c r="J112" s="289"/>
      <c r="K112" s="289"/>
      <c r="L112" s="289"/>
      <c r="M112" s="289"/>
      <c r="N112" s="289"/>
      <c r="O112" s="289"/>
      <c r="P112" s="289"/>
      <c r="Q112" s="289"/>
      <c r="R112" s="289"/>
      <c r="S112" s="289"/>
      <c r="T112" s="289"/>
      <c r="U112" s="289"/>
      <c r="V112" s="289"/>
      <c r="W112" s="289"/>
      <c r="X112" s="289"/>
      <c r="Y112" s="289"/>
      <c r="Z112" s="289"/>
      <c r="AA112" s="289"/>
      <c r="AB112" s="289"/>
      <c r="AC112" s="289"/>
      <c r="AD112" s="289"/>
      <c r="AE112" s="289"/>
      <c r="AF112" s="289"/>
    </row>
    <row r="113" spans="1:32" ht="15.75">
      <c r="A113" s="289"/>
      <c r="B113" s="289"/>
      <c r="C113" s="289"/>
      <c r="D113" s="289"/>
      <c r="E113" s="289"/>
      <c r="F113" s="289"/>
      <c r="G113" s="289"/>
      <c r="H113" s="289"/>
      <c r="I113" s="289"/>
      <c r="J113" s="289"/>
      <c r="K113" s="289"/>
      <c r="L113" s="289"/>
      <c r="M113" s="289"/>
      <c r="N113" s="289"/>
      <c r="O113" s="289"/>
      <c r="P113" s="289"/>
      <c r="Q113" s="289"/>
      <c r="R113" s="289"/>
      <c r="S113" s="289"/>
      <c r="T113" s="289"/>
      <c r="U113" s="289"/>
      <c r="V113" s="289"/>
      <c r="W113" s="289"/>
      <c r="X113" s="289"/>
      <c r="Y113" s="289"/>
      <c r="Z113" s="289"/>
      <c r="AA113" s="289"/>
      <c r="AB113" s="289"/>
      <c r="AC113" s="289"/>
      <c r="AD113" s="289"/>
      <c r="AE113" s="289"/>
      <c r="AF113" s="289"/>
    </row>
    <row r="114" spans="1:32" ht="15.75">
      <c r="A114" s="289"/>
      <c r="B114" s="289"/>
      <c r="C114" s="289"/>
      <c r="D114" s="289"/>
      <c r="E114" s="289"/>
      <c r="F114" s="289"/>
      <c r="G114" s="289"/>
      <c r="H114" s="289"/>
      <c r="I114" s="289"/>
      <c r="J114" s="289"/>
      <c r="K114" s="289"/>
      <c r="L114" s="289"/>
      <c r="M114" s="289"/>
      <c r="N114" s="289"/>
      <c r="O114" s="289"/>
      <c r="P114" s="289"/>
      <c r="Q114" s="289"/>
      <c r="R114" s="289"/>
      <c r="S114" s="289"/>
      <c r="T114" s="289"/>
      <c r="U114" s="289"/>
      <c r="V114" s="289"/>
      <c r="W114" s="289"/>
      <c r="X114" s="289"/>
      <c r="Y114" s="289"/>
      <c r="Z114" s="289"/>
      <c r="AA114" s="289"/>
      <c r="AB114" s="289"/>
      <c r="AC114" s="289"/>
      <c r="AD114" s="289"/>
      <c r="AE114" s="289"/>
      <c r="AF114" s="289"/>
    </row>
    <row r="115" spans="1:32" ht="15.75">
      <c r="A115" s="289"/>
      <c r="B115" s="289"/>
      <c r="C115" s="289"/>
      <c r="D115" s="289"/>
      <c r="E115" s="289"/>
      <c r="F115" s="289"/>
      <c r="G115" s="289"/>
      <c r="H115" s="289"/>
      <c r="I115" s="289"/>
      <c r="J115" s="289"/>
      <c r="K115" s="289"/>
      <c r="L115" s="289"/>
      <c r="M115" s="289"/>
      <c r="N115" s="289"/>
      <c r="O115" s="289"/>
      <c r="P115" s="289"/>
      <c r="Q115" s="289"/>
      <c r="R115" s="289"/>
      <c r="S115" s="289"/>
      <c r="T115" s="289"/>
      <c r="U115" s="289"/>
      <c r="V115" s="289"/>
      <c r="W115" s="289"/>
      <c r="X115" s="289"/>
      <c r="Y115" s="289"/>
      <c r="Z115" s="289"/>
      <c r="AA115" s="289"/>
      <c r="AB115" s="289"/>
      <c r="AC115" s="289"/>
      <c r="AD115" s="289"/>
      <c r="AE115" s="289"/>
      <c r="AF115" s="289"/>
    </row>
    <row r="116" spans="1:32" ht="15.75">
      <c r="A116" s="289"/>
      <c r="B116" s="289"/>
      <c r="C116" s="289"/>
      <c r="D116" s="289"/>
      <c r="E116" s="289"/>
      <c r="F116" s="289"/>
      <c r="G116" s="289"/>
      <c r="H116" s="289"/>
      <c r="I116" s="289"/>
      <c r="J116" s="289"/>
      <c r="K116" s="289"/>
      <c r="L116" s="289"/>
      <c r="M116" s="289"/>
      <c r="N116" s="289"/>
      <c r="O116" s="289"/>
      <c r="P116" s="289"/>
      <c r="Q116" s="289"/>
      <c r="R116" s="289"/>
      <c r="S116" s="289"/>
      <c r="T116" s="289"/>
      <c r="U116" s="289"/>
      <c r="V116" s="289"/>
      <c r="W116" s="289"/>
      <c r="X116" s="289"/>
      <c r="Y116" s="289"/>
      <c r="Z116" s="289"/>
      <c r="AA116" s="289"/>
      <c r="AB116" s="289"/>
      <c r="AC116" s="289"/>
      <c r="AD116" s="289"/>
      <c r="AE116" s="289"/>
      <c r="AF116" s="289"/>
    </row>
    <row r="117" spans="1:32" ht="15.75">
      <c r="A117" s="289"/>
      <c r="B117" s="289"/>
      <c r="C117" s="289"/>
      <c r="D117" s="289"/>
      <c r="E117" s="289"/>
      <c r="F117" s="289"/>
      <c r="G117" s="289"/>
      <c r="H117" s="289"/>
      <c r="I117" s="289"/>
      <c r="J117" s="289"/>
      <c r="K117" s="289"/>
      <c r="L117" s="289"/>
      <c r="M117" s="289"/>
      <c r="N117" s="289"/>
      <c r="O117" s="289"/>
      <c r="P117" s="289"/>
      <c r="Q117" s="289"/>
      <c r="R117" s="289"/>
      <c r="S117" s="289"/>
      <c r="T117" s="289"/>
      <c r="U117" s="289"/>
      <c r="V117" s="289"/>
      <c r="W117" s="289"/>
      <c r="X117" s="289"/>
      <c r="Y117" s="289"/>
      <c r="Z117" s="289"/>
      <c r="AA117" s="289"/>
      <c r="AB117" s="289"/>
      <c r="AC117" s="289"/>
      <c r="AD117" s="289"/>
      <c r="AE117" s="289"/>
      <c r="AF117" s="289"/>
    </row>
    <row r="118" spans="1:32" ht="15.75">
      <c r="A118" s="289"/>
      <c r="B118" s="289"/>
      <c r="C118" s="289"/>
      <c r="D118" s="289"/>
      <c r="E118" s="289"/>
      <c r="F118" s="289"/>
      <c r="G118" s="289"/>
      <c r="H118" s="289"/>
      <c r="I118" s="289"/>
      <c r="J118" s="289"/>
      <c r="K118" s="289"/>
      <c r="L118" s="289"/>
      <c r="M118" s="289"/>
      <c r="N118" s="289"/>
      <c r="O118" s="289"/>
      <c r="P118" s="289"/>
      <c r="Q118" s="289"/>
      <c r="R118" s="289"/>
      <c r="S118" s="289"/>
      <c r="T118" s="289"/>
      <c r="U118" s="289"/>
      <c r="V118" s="289"/>
      <c r="W118" s="289"/>
      <c r="X118" s="289"/>
      <c r="Y118" s="289"/>
      <c r="Z118" s="289"/>
      <c r="AA118" s="289"/>
      <c r="AB118" s="289"/>
      <c r="AC118" s="289"/>
      <c r="AD118" s="289"/>
      <c r="AE118" s="289"/>
      <c r="AF118" s="289"/>
    </row>
    <row r="119" spans="1:32" ht="15.75">
      <c r="A119" s="289"/>
      <c r="B119" s="289"/>
      <c r="C119" s="289"/>
      <c r="D119" s="289"/>
      <c r="E119" s="289"/>
      <c r="F119" s="289"/>
      <c r="G119" s="289"/>
      <c r="H119" s="289"/>
      <c r="I119" s="289"/>
      <c r="J119" s="289"/>
      <c r="K119" s="289"/>
      <c r="L119" s="289"/>
      <c r="M119" s="289"/>
      <c r="N119" s="289"/>
      <c r="O119" s="289"/>
      <c r="P119" s="289"/>
      <c r="Q119" s="289"/>
      <c r="R119" s="289"/>
      <c r="S119" s="289"/>
      <c r="T119" s="289"/>
      <c r="U119" s="289"/>
      <c r="V119" s="289"/>
      <c r="W119" s="289"/>
      <c r="X119" s="289"/>
      <c r="Y119" s="289"/>
      <c r="Z119" s="289"/>
      <c r="AA119" s="289"/>
      <c r="AB119" s="289"/>
      <c r="AC119" s="289"/>
      <c r="AD119" s="289"/>
      <c r="AE119" s="289"/>
      <c r="AF119" s="289"/>
    </row>
    <row r="120" spans="1:32" ht="15.75">
      <c r="A120" s="289"/>
      <c r="B120" s="289"/>
      <c r="C120" s="289"/>
      <c r="D120" s="289"/>
      <c r="E120" s="289"/>
      <c r="F120" s="289"/>
      <c r="G120" s="289"/>
      <c r="H120" s="289"/>
      <c r="I120" s="289"/>
      <c r="J120" s="289"/>
      <c r="K120" s="289"/>
      <c r="L120" s="289"/>
      <c r="M120" s="289"/>
      <c r="N120" s="289"/>
      <c r="O120" s="289"/>
      <c r="P120" s="289"/>
      <c r="Q120" s="289"/>
      <c r="R120" s="289"/>
      <c r="S120" s="289"/>
      <c r="T120" s="289"/>
      <c r="U120" s="289"/>
      <c r="V120" s="289"/>
      <c r="W120" s="289"/>
      <c r="X120" s="289"/>
      <c r="Y120" s="289"/>
      <c r="Z120" s="289"/>
      <c r="AA120" s="289"/>
      <c r="AB120" s="289"/>
      <c r="AC120" s="289"/>
      <c r="AD120" s="289"/>
      <c r="AE120" s="289"/>
      <c r="AF120" s="289"/>
    </row>
    <row r="121" spans="1:32" ht="15.75">
      <c r="A121" s="289"/>
      <c r="B121" s="289"/>
      <c r="C121" s="289"/>
      <c r="D121" s="289"/>
      <c r="E121" s="289"/>
      <c r="F121" s="289"/>
      <c r="G121" s="289"/>
      <c r="H121" s="289"/>
      <c r="I121" s="289"/>
      <c r="J121" s="289"/>
      <c r="K121" s="289"/>
      <c r="L121" s="289"/>
      <c r="M121" s="289"/>
      <c r="N121" s="289"/>
      <c r="O121" s="289"/>
      <c r="P121" s="289"/>
      <c r="Q121" s="289"/>
      <c r="R121" s="289"/>
      <c r="S121" s="289"/>
      <c r="T121" s="289"/>
      <c r="U121" s="289"/>
      <c r="V121" s="289"/>
      <c r="W121" s="289"/>
      <c r="X121" s="289"/>
      <c r="Y121" s="289"/>
      <c r="Z121" s="289"/>
      <c r="AA121" s="289"/>
      <c r="AB121" s="289"/>
      <c r="AC121" s="289"/>
      <c r="AD121" s="289"/>
      <c r="AE121" s="289"/>
      <c r="AF121" s="289"/>
    </row>
    <row r="122" spans="1:32" ht="15.75">
      <c r="A122" s="289"/>
      <c r="B122" s="289"/>
      <c r="C122" s="289"/>
      <c r="D122" s="289"/>
      <c r="E122" s="289"/>
      <c r="F122" s="289"/>
      <c r="G122" s="289"/>
      <c r="H122" s="289"/>
      <c r="I122" s="289"/>
      <c r="J122" s="289"/>
      <c r="K122" s="289"/>
      <c r="L122" s="289"/>
      <c r="M122" s="289"/>
      <c r="N122" s="289"/>
      <c r="O122" s="289"/>
      <c r="P122" s="289"/>
      <c r="Q122" s="289"/>
      <c r="R122" s="289"/>
      <c r="S122" s="289"/>
      <c r="T122" s="289"/>
      <c r="U122" s="289"/>
      <c r="V122" s="289"/>
      <c r="W122" s="289"/>
      <c r="X122" s="289"/>
      <c r="Y122" s="289"/>
      <c r="Z122" s="289"/>
      <c r="AA122" s="289"/>
      <c r="AB122" s="289"/>
      <c r="AC122" s="289"/>
      <c r="AD122" s="289"/>
      <c r="AE122" s="289"/>
      <c r="AF122" s="289"/>
    </row>
    <row r="123" spans="1:32" ht="15.75">
      <c r="A123" s="289"/>
      <c r="B123" s="289"/>
      <c r="C123" s="289"/>
      <c r="D123" s="289"/>
      <c r="E123" s="289"/>
      <c r="F123" s="289"/>
      <c r="G123" s="289"/>
      <c r="H123" s="289"/>
      <c r="I123" s="289"/>
      <c r="J123" s="289"/>
      <c r="K123" s="289"/>
      <c r="L123" s="289"/>
      <c r="M123" s="289"/>
      <c r="N123" s="289"/>
      <c r="O123" s="289"/>
      <c r="P123" s="289"/>
      <c r="Q123" s="289"/>
      <c r="R123" s="289"/>
      <c r="S123" s="289"/>
      <c r="T123" s="289"/>
      <c r="U123" s="289"/>
      <c r="V123" s="289"/>
      <c r="W123" s="289"/>
      <c r="X123" s="289"/>
      <c r="Y123" s="289"/>
      <c r="Z123" s="289"/>
      <c r="AA123" s="289"/>
      <c r="AB123" s="289"/>
      <c r="AC123" s="289"/>
      <c r="AD123" s="289"/>
      <c r="AE123" s="289"/>
      <c r="AF123" s="289"/>
    </row>
    <row r="124" spans="1:32" ht="15.75">
      <c r="A124" s="289"/>
      <c r="B124" s="289"/>
      <c r="C124" s="289"/>
      <c r="D124" s="289"/>
      <c r="E124" s="289"/>
      <c r="F124" s="289"/>
      <c r="G124" s="289"/>
      <c r="H124" s="289"/>
      <c r="I124" s="289"/>
      <c r="J124" s="289"/>
      <c r="K124" s="289"/>
      <c r="L124" s="289"/>
      <c r="M124" s="289"/>
      <c r="N124" s="289"/>
      <c r="O124" s="289"/>
      <c r="P124" s="289"/>
      <c r="Q124" s="289"/>
      <c r="R124" s="289"/>
      <c r="S124" s="289"/>
      <c r="T124" s="289"/>
      <c r="U124" s="289"/>
      <c r="V124" s="289"/>
      <c r="W124" s="289"/>
      <c r="X124" s="289"/>
      <c r="Y124" s="289"/>
      <c r="Z124" s="289"/>
      <c r="AA124" s="289"/>
      <c r="AB124" s="289"/>
      <c r="AC124" s="289"/>
      <c r="AD124" s="289"/>
      <c r="AE124" s="289"/>
      <c r="AF124" s="289"/>
    </row>
    <row r="125" spans="1:32" ht="15.75">
      <c r="A125" s="289"/>
      <c r="B125" s="289"/>
      <c r="C125" s="289"/>
      <c r="D125" s="289"/>
      <c r="E125" s="289"/>
      <c r="F125" s="289"/>
      <c r="G125" s="289"/>
      <c r="H125" s="289"/>
      <c r="I125" s="289"/>
      <c r="J125" s="289"/>
      <c r="K125" s="289"/>
      <c r="L125" s="289"/>
      <c r="M125" s="289"/>
      <c r="N125" s="289"/>
      <c r="O125" s="289"/>
      <c r="P125" s="289"/>
      <c r="Q125" s="289"/>
      <c r="R125" s="289"/>
      <c r="S125" s="289"/>
      <c r="T125" s="289"/>
      <c r="U125" s="289"/>
      <c r="V125" s="289"/>
      <c r="W125" s="289"/>
      <c r="X125" s="289"/>
      <c r="Y125" s="289"/>
      <c r="Z125" s="289"/>
      <c r="AA125" s="289"/>
      <c r="AB125" s="289"/>
      <c r="AC125" s="289"/>
      <c r="AD125" s="289"/>
      <c r="AE125" s="289"/>
      <c r="AF125" s="289"/>
    </row>
    <row r="126" spans="1:32" ht="15.75">
      <c r="A126" s="289"/>
      <c r="B126" s="289"/>
      <c r="C126" s="289"/>
      <c r="D126" s="289"/>
      <c r="E126" s="289"/>
      <c r="F126" s="289"/>
      <c r="G126" s="289"/>
      <c r="H126" s="289"/>
      <c r="I126" s="289"/>
      <c r="J126" s="289"/>
      <c r="K126" s="289"/>
      <c r="L126" s="289"/>
      <c r="M126" s="289"/>
      <c r="N126" s="289"/>
      <c r="O126" s="289"/>
      <c r="P126" s="289"/>
      <c r="Q126" s="289"/>
      <c r="R126" s="289"/>
      <c r="S126" s="289"/>
      <c r="T126" s="289"/>
      <c r="U126" s="289"/>
      <c r="V126" s="289"/>
      <c r="W126" s="289"/>
      <c r="X126" s="289"/>
      <c r="Y126" s="289"/>
      <c r="Z126" s="289"/>
      <c r="AA126" s="289"/>
      <c r="AB126" s="289"/>
      <c r="AC126" s="289"/>
      <c r="AD126" s="289"/>
      <c r="AE126" s="289"/>
      <c r="AF126" s="289"/>
    </row>
    <row r="127" spans="1:32" ht="15.75">
      <c r="A127" s="289"/>
      <c r="B127" s="289"/>
      <c r="C127" s="289"/>
      <c r="D127" s="289"/>
      <c r="E127" s="289"/>
      <c r="F127" s="289"/>
      <c r="G127" s="289"/>
      <c r="H127" s="289"/>
      <c r="I127" s="289"/>
      <c r="J127" s="289"/>
      <c r="K127" s="289"/>
      <c r="L127" s="289"/>
      <c r="M127" s="289"/>
      <c r="N127" s="289"/>
      <c r="O127" s="289"/>
      <c r="P127" s="289"/>
      <c r="Q127" s="289"/>
      <c r="R127" s="289"/>
      <c r="S127" s="289"/>
      <c r="T127" s="289"/>
      <c r="U127" s="289"/>
      <c r="V127" s="289"/>
      <c r="W127" s="289"/>
      <c r="X127" s="289"/>
      <c r="Y127" s="289"/>
      <c r="Z127" s="289"/>
      <c r="AA127" s="289"/>
      <c r="AB127" s="289"/>
      <c r="AC127" s="289"/>
      <c r="AD127" s="289"/>
      <c r="AE127" s="289"/>
      <c r="AF127" s="289"/>
    </row>
    <row r="128" spans="1:32" ht="15.75">
      <c r="A128" s="289"/>
      <c r="B128" s="289"/>
      <c r="C128" s="289"/>
      <c r="D128" s="289"/>
      <c r="E128" s="289"/>
      <c r="F128" s="289"/>
      <c r="G128" s="289"/>
      <c r="H128" s="289"/>
      <c r="I128" s="289"/>
      <c r="J128" s="289"/>
      <c r="K128" s="289"/>
      <c r="L128" s="289"/>
      <c r="M128" s="289"/>
      <c r="N128" s="289"/>
      <c r="O128" s="289"/>
      <c r="P128" s="289"/>
      <c r="Q128" s="289"/>
      <c r="R128" s="289"/>
      <c r="S128" s="289"/>
      <c r="T128" s="289"/>
      <c r="U128" s="289"/>
      <c r="V128" s="289"/>
      <c r="W128" s="289"/>
      <c r="X128" s="289"/>
      <c r="Y128" s="289"/>
      <c r="Z128" s="289"/>
      <c r="AA128" s="289"/>
      <c r="AB128" s="289"/>
      <c r="AC128" s="289"/>
      <c r="AD128" s="289"/>
      <c r="AE128" s="289"/>
      <c r="AF128" s="289"/>
    </row>
    <row r="129" spans="1:32" ht="15.75">
      <c r="A129" s="289"/>
      <c r="B129" s="289"/>
      <c r="C129" s="289"/>
      <c r="D129" s="289"/>
      <c r="E129" s="289"/>
      <c r="F129" s="289"/>
      <c r="G129" s="289"/>
      <c r="H129" s="289"/>
      <c r="I129" s="289"/>
      <c r="J129" s="289"/>
      <c r="K129" s="289"/>
      <c r="L129" s="289"/>
      <c r="M129" s="289"/>
      <c r="N129" s="289"/>
      <c r="O129" s="289"/>
      <c r="P129" s="289"/>
      <c r="Q129" s="289"/>
      <c r="R129" s="289"/>
      <c r="S129" s="289"/>
      <c r="T129" s="289"/>
      <c r="U129" s="289"/>
      <c r="V129" s="289"/>
      <c r="W129" s="289"/>
      <c r="X129" s="289"/>
      <c r="Y129" s="289"/>
      <c r="Z129" s="289"/>
      <c r="AA129" s="289"/>
      <c r="AB129" s="289"/>
      <c r="AC129" s="289"/>
      <c r="AD129" s="289"/>
      <c r="AE129" s="289"/>
      <c r="AF129" s="289"/>
    </row>
    <row r="130" spans="1:32" ht="15.75">
      <c r="A130" s="289"/>
      <c r="B130" s="289"/>
      <c r="C130" s="289"/>
      <c r="D130" s="289"/>
      <c r="E130" s="289"/>
      <c r="F130" s="289"/>
      <c r="G130" s="289"/>
      <c r="H130" s="289"/>
      <c r="I130" s="289"/>
      <c r="J130" s="289"/>
      <c r="K130" s="289"/>
      <c r="L130" s="289"/>
      <c r="M130" s="289"/>
      <c r="N130" s="289"/>
      <c r="O130" s="289"/>
      <c r="P130" s="289"/>
      <c r="Q130" s="289"/>
      <c r="R130" s="289"/>
      <c r="S130" s="289"/>
      <c r="T130" s="289"/>
      <c r="U130" s="289"/>
      <c r="V130" s="289"/>
      <c r="W130" s="289"/>
      <c r="X130" s="289"/>
      <c r="Y130" s="289"/>
      <c r="Z130" s="289"/>
      <c r="AA130" s="289"/>
      <c r="AB130" s="289"/>
      <c r="AC130" s="289"/>
      <c r="AD130" s="289"/>
      <c r="AE130" s="289"/>
      <c r="AF130" s="289"/>
    </row>
    <row r="131" spans="1:32" ht="15.75">
      <c r="A131" s="289"/>
      <c r="B131" s="289"/>
      <c r="C131" s="289"/>
      <c r="D131" s="289"/>
      <c r="E131" s="289"/>
      <c r="F131" s="289"/>
      <c r="G131" s="289"/>
      <c r="H131" s="289"/>
      <c r="I131" s="289"/>
      <c r="J131" s="289"/>
      <c r="K131" s="289"/>
      <c r="L131" s="289"/>
      <c r="M131" s="289"/>
      <c r="N131" s="289"/>
      <c r="O131" s="289"/>
      <c r="P131" s="289"/>
      <c r="Q131" s="289"/>
      <c r="R131" s="289"/>
      <c r="S131" s="289"/>
      <c r="T131" s="289"/>
      <c r="U131" s="289"/>
      <c r="V131" s="289"/>
      <c r="W131" s="289"/>
      <c r="X131" s="289"/>
      <c r="Y131" s="289"/>
      <c r="Z131" s="289"/>
      <c r="AA131" s="289"/>
      <c r="AB131" s="289"/>
      <c r="AC131" s="289"/>
      <c r="AD131" s="289"/>
      <c r="AE131" s="289"/>
      <c r="AF131" s="289"/>
    </row>
    <row r="132" spans="1:32" ht="15.75">
      <c r="A132" s="289"/>
      <c r="B132" s="289"/>
      <c r="C132" s="289"/>
      <c r="D132" s="289"/>
      <c r="E132" s="289"/>
      <c r="F132" s="289"/>
      <c r="G132" s="289"/>
      <c r="H132" s="289"/>
      <c r="I132" s="289"/>
      <c r="J132" s="289"/>
      <c r="K132" s="289"/>
      <c r="L132" s="289"/>
      <c r="M132" s="289"/>
      <c r="N132" s="289"/>
      <c r="O132" s="289"/>
      <c r="P132" s="289"/>
      <c r="Q132" s="289"/>
      <c r="R132" s="289"/>
      <c r="S132" s="289"/>
      <c r="T132" s="289"/>
      <c r="U132" s="289"/>
      <c r="V132" s="289"/>
      <c r="W132" s="289"/>
      <c r="X132" s="289"/>
      <c r="Y132" s="289"/>
      <c r="Z132" s="289"/>
      <c r="AA132" s="289"/>
      <c r="AB132" s="289"/>
      <c r="AC132" s="289"/>
      <c r="AD132" s="289"/>
      <c r="AE132" s="289"/>
      <c r="AF132" s="289"/>
    </row>
    <row r="133" spans="1:32" ht="15.75">
      <c r="A133" s="289"/>
      <c r="B133" s="289"/>
      <c r="C133" s="289"/>
      <c r="D133" s="289"/>
      <c r="E133" s="289"/>
      <c r="F133" s="289"/>
      <c r="G133" s="289"/>
      <c r="H133" s="289"/>
      <c r="I133" s="289"/>
      <c r="J133" s="289"/>
      <c r="K133" s="289"/>
      <c r="L133" s="289"/>
      <c r="M133" s="289"/>
      <c r="N133" s="289"/>
      <c r="O133" s="289"/>
      <c r="P133" s="289"/>
      <c r="Q133" s="289"/>
      <c r="R133" s="289"/>
      <c r="S133" s="289"/>
      <c r="T133" s="289"/>
      <c r="U133" s="289"/>
      <c r="V133" s="289"/>
      <c r="W133" s="289"/>
      <c r="X133" s="289"/>
      <c r="Y133" s="289"/>
      <c r="Z133" s="289"/>
      <c r="AA133" s="289"/>
      <c r="AB133" s="289"/>
      <c r="AC133" s="289"/>
      <c r="AD133" s="289"/>
      <c r="AE133" s="289"/>
      <c r="AF133" s="289"/>
    </row>
    <row r="134" spans="1:32" ht="15.7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row>
    <row r="135" spans="1:32" ht="15.75">
      <c r="A135" s="289"/>
      <c r="B135" s="289"/>
      <c r="C135" s="289"/>
      <c r="D135" s="289"/>
      <c r="E135" s="289"/>
      <c r="F135" s="289"/>
      <c r="G135" s="289"/>
      <c r="H135" s="289"/>
      <c r="I135" s="289"/>
      <c r="J135" s="289"/>
      <c r="K135" s="289"/>
      <c r="L135" s="289"/>
      <c r="M135" s="289"/>
      <c r="N135" s="289"/>
      <c r="O135" s="289"/>
      <c r="P135" s="289"/>
      <c r="Q135" s="289"/>
      <c r="R135" s="289"/>
      <c r="S135" s="289"/>
      <c r="T135" s="289"/>
      <c r="U135" s="289"/>
      <c r="V135" s="289"/>
      <c r="W135" s="289"/>
      <c r="X135" s="289"/>
      <c r="Y135" s="289"/>
      <c r="Z135" s="289"/>
      <c r="AA135" s="289"/>
      <c r="AB135" s="289"/>
      <c r="AC135" s="289"/>
      <c r="AD135" s="289"/>
      <c r="AE135" s="289"/>
      <c r="AF135" s="289"/>
    </row>
    <row r="136" spans="1:32" ht="15.75">
      <c r="A136" s="289"/>
      <c r="B136" s="289"/>
      <c r="C136" s="289"/>
      <c r="D136" s="289"/>
      <c r="E136" s="289"/>
      <c r="F136" s="289"/>
      <c r="G136" s="289"/>
      <c r="H136" s="289"/>
      <c r="I136" s="289"/>
      <c r="J136" s="289"/>
      <c r="K136" s="289"/>
      <c r="L136" s="289"/>
      <c r="M136" s="289"/>
      <c r="N136" s="289"/>
      <c r="O136" s="289"/>
      <c r="P136" s="289"/>
      <c r="Q136" s="289"/>
      <c r="R136" s="289"/>
      <c r="S136" s="289"/>
      <c r="T136" s="289"/>
      <c r="U136" s="289"/>
      <c r="V136" s="289"/>
      <c r="W136" s="289"/>
      <c r="X136" s="289"/>
      <c r="Y136" s="289"/>
      <c r="Z136" s="289"/>
      <c r="AA136" s="289"/>
      <c r="AB136" s="289"/>
      <c r="AC136" s="289"/>
      <c r="AD136" s="289"/>
      <c r="AE136" s="289"/>
      <c r="AF136" s="289"/>
    </row>
    <row r="137" spans="1:32" ht="15.75">
      <c r="A137" s="289"/>
      <c r="B137" s="289"/>
      <c r="C137" s="289"/>
      <c r="D137" s="289"/>
      <c r="E137" s="289"/>
      <c r="F137" s="289"/>
      <c r="G137" s="289"/>
      <c r="H137" s="289"/>
      <c r="I137" s="289"/>
      <c r="J137" s="289"/>
      <c r="K137" s="289"/>
      <c r="L137" s="289"/>
      <c r="M137" s="289"/>
      <c r="N137" s="289"/>
      <c r="O137" s="289"/>
      <c r="P137" s="289"/>
      <c r="Q137" s="289"/>
      <c r="R137" s="289"/>
      <c r="S137" s="289"/>
      <c r="T137" s="289"/>
      <c r="U137" s="289"/>
      <c r="V137" s="289"/>
      <c r="W137" s="289"/>
      <c r="X137" s="289"/>
      <c r="Y137" s="289"/>
      <c r="Z137" s="289"/>
      <c r="AA137" s="289"/>
      <c r="AB137" s="289"/>
      <c r="AC137" s="289"/>
      <c r="AD137" s="289"/>
      <c r="AE137" s="289"/>
      <c r="AF137" s="289"/>
    </row>
    <row r="138" spans="1:32" ht="15.75">
      <c r="A138" s="289"/>
      <c r="B138" s="289"/>
      <c r="C138" s="289"/>
      <c r="D138" s="289"/>
      <c r="E138" s="289"/>
      <c r="F138" s="289"/>
      <c r="G138" s="289"/>
      <c r="H138" s="289"/>
      <c r="I138" s="289"/>
      <c r="J138" s="289"/>
      <c r="K138" s="289"/>
      <c r="L138" s="289"/>
      <c r="M138" s="289"/>
      <c r="N138" s="289"/>
      <c r="O138" s="289"/>
      <c r="P138" s="289"/>
      <c r="Q138" s="289"/>
      <c r="R138" s="289"/>
      <c r="S138" s="289"/>
      <c r="T138" s="289"/>
      <c r="U138" s="289"/>
      <c r="V138" s="289"/>
      <c r="W138" s="289"/>
      <c r="X138" s="289"/>
      <c r="Y138" s="289"/>
      <c r="Z138" s="289"/>
      <c r="AA138" s="289"/>
      <c r="AB138" s="289"/>
      <c r="AC138" s="289"/>
      <c r="AD138" s="289"/>
      <c r="AE138" s="289"/>
      <c r="AF138" s="289"/>
    </row>
    <row r="139" spans="1:32" ht="15.75">
      <c r="A139" s="289"/>
      <c r="B139" s="289"/>
      <c r="C139" s="289"/>
      <c r="D139" s="289"/>
      <c r="E139" s="289"/>
      <c r="F139" s="289"/>
      <c r="G139" s="289"/>
      <c r="H139" s="289"/>
      <c r="I139" s="289"/>
      <c r="J139" s="289"/>
      <c r="K139" s="289"/>
      <c r="L139" s="289"/>
      <c r="M139" s="289"/>
      <c r="N139" s="289"/>
      <c r="O139" s="289"/>
      <c r="P139" s="289"/>
      <c r="Q139" s="289"/>
      <c r="R139" s="289"/>
      <c r="S139" s="289"/>
      <c r="T139" s="289"/>
      <c r="U139" s="289"/>
      <c r="V139" s="289"/>
      <c r="W139" s="289"/>
      <c r="X139" s="289"/>
      <c r="Y139" s="289"/>
      <c r="Z139" s="289"/>
      <c r="AA139" s="289"/>
      <c r="AB139" s="289"/>
      <c r="AC139" s="289"/>
      <c r="AD139" s="289"/>
      <c r="AE139" s="289"/>
      <c r="AF139" s="289"/>
    </row>
    <row r="140" spans="1:32" ht="15.75">
      <c r="A140" s="289"/>
      <c r="B140" s="289"/>
      <c r="C140" s="289"/>
      <c r="D140" s="289"/>
      <c r="E140" s="289"/>
      <c r="F140" s="289"/>
      <c r="G140" s="289"/>
      <c r="H140" s="289"/>
      <c r="I140" s="289"/>
      <c r="J140" s="289"/>
      <c r="K140" s="289"/>
      <c r="L140" s="289"/>
      <c r="M140" s="289"/>
      <c r="N140" s="289"/>
      <c r="O140" s="289"/>
      <c r="P140" s="289"/>
      <c r="Q140" s="289"/>
      <c r="R140" s="289"/>
      <c r="S140" s="289"/>
      <c r="T140" s="289"/>
      <c r="U140" s="289"/>
      <c r="V140" s="289"/>
      <c r="W140" s="289"/>
      <c r="X140" s="289"/>
      <c r="Y140" s="289"/>
      <c r="Z140" s="289"/>
      <c r="AA140" s="289"/>
      <c r="AB140" s="289"/>
      <c r="AC140" s="289"/>
      <c r="AD140" s="289"/>
      <c r="AE140" s="289"/>
      <c r="AF140" s="289"/>
    </row>
    <row r="141" spans="1:32" ht="15.75">
      <c r="A141" s="289"/>
      <c r="B141" s="289"/>
      <c r="C141" s="289"/>
      <c r="D141" s="289"/>
      <c r="E141" s="289"/>
      <c r="F141" s="289"/>
      <c r="G141" s="289"/>
      <c r="H141" s="289"/>
      <c r="I141" s="289"/>
      <c r="J141" s="289"/>
      <c r="K141" s="289"/>
      <c r="L141" s="289"/>
      <c r="M141" s="289"/>
      <c r="N141" s="289"/>
      <c r="O141" s="289"/>
      <c r="P141" s="289"/>
      <c r="Q141" s="289"/>
      <c r="R141" s="289"/>
      <c r="S141" s="289"/>
      <c r="T141" s="289"/>
      <c r="U141" s="289"/>
      <c r="V141" s="289"/>
      <c r="W141" s="289"/>
      <c r="X141" s="289"/>
      <c r="Y141" s="289"/>
      <c r="Z141" s="289"/>
      <c r="AA141" s="289"/>
      <c r="AB141" s="289"/>
      <c r="AC141" s="289"/>
      <c r="AD141" s="289"/>
      <c r="AE141" s="289"/>
      <c r="AF141" s="289"/>
    </row>
    <row r="142" spans="1:32" ht="15.75">
      <c r="A142" s="289"/>
      <c r="B142" s="289"/>
      <c r="C142" s="289"/>
      <c r="D142" s="289"/>
      <c r="E142" s="289"/>
      <c r="F142" s="289"/>
      <c r="G142" s="289"/>
      <c r="H142" s="289"/>
      <c r="I142" s="289"/>
      <c r="J142" s="289"/>
      <c r="K142" s="289"/>
      <c r="L142" s="289"/>
      <c r="M142" s="289"/>
      <c r="N142" s="289"/>
      <c r="O142" s="289"/>
      <c r="P142" s="289"/>
      <c r="Q142" s="289"/>
      <c r="R142" s="289"/>
      <c r="S142" s="289"/>
      <c r="T142" s="289"/>
      <c r="U142" s="289"/>
      <c r="V142" s="289"/>
      <c r="W142" s="289"/>
      <c r="X142" s="289"/>
      <c r="Y142" s="289"/>
      <c r="Z142" s="289"/>
      <c r="AA142" s="289"/>
      <c r="AB142" s="289"/>
      <c r="AC142" s="289"/>
      <c r="AD142" s="289"/>
      <c r="AE142" s="289"/>
      <c r="AF142" s="289"/>
    </row>
    <row r="143" spans="1:32" ht="15.75">
      <c r="A143" s="289"/>
      <c r="B143" s="289"/>
      <c r="C143" s="289"/>
      <c r="D143" s="289"/>
      <c r="E143" s="289"/>
      <c r="F143" s="289"/>
      <c r="G143" s="289"/>
      <c r="H143" s="289"/>
      <c r="I143" s="289"/>
      <c r="J143" s="289"/>
      <c r="K143" s="289"/>
      <c r="L143" s="289"/>
      <c r="M143" s="289"/>
      <c r="N143" s="289"/>
      <c r="O143" s="289"/>
      <c r="P143" s="289"/>
      <c r="Q143" s="289"/>
      <c r="R143" s="289"/>
      <c r="S143" s="289"/>
      <c r="T143" s="289"/>
      <c r="U143" s="289"/>
      <c r="V143" s="289"/>
      <c r="W143" s="289"/>
      <c r="X143" s="289"/>
      <c r="Y143" s="289"/>
      <c r="Z143" s="289"/>
      <c r="AA143" s="289"/>
      <c r="AB143" s="289"/>
      <c r="AC143" s="289"/>
      <c r="AD143" s="289"/>
      <c r="AE143" s="289"/>
      <c r="AF143" s="289"/>
    </row>
    <row r="144" spans="1:32" ht="15.75">
      <c r="A144" s="289"/>
      <c r="B144" s="289"/>
      <c r="C144" s="289"/>
      <c r="D144" s="289"/>
      <c r="E144" s="289"/>
      <c r="F144" s="289"/>
      <c r="G144" s="289"/>
      <c r="H144" s="289"/>
      <c r="I144" s="289"/>
      <c r="J144" s="289"/>
      <c r="K144" s="289"/>
      <c r="L144" s="289"/>
      <c r="M144" s="289"/>
      <c r="N144" s="289"/>
      <c r="O144" s="289"/>
      <c r="P144" s="289"/>
      <c r="Q144" s="289"/>
      <c r="R144" s="289"/>
      <c r="S144" s="289"/>
      <c r="T144" s="289"/>
      <c r="U144" s="289"/>
      <c r="V144" s="289"/>
      <c r="W144" s="289"/>
      <c r="X144" s="289"/>
      <c r="Y144" s="289"/>
      <c r="Z144" s="289"/>
      <c r="AA144" s="289"/>
      <c r="AB144" s="289"/>
      <c r="AC144" s="289"/>
      <c r="AD144" s="289"/>
      <c r="AE144" s="289"/>
      <c r="AF144" s="289"/>
    </row>
    <row r="145" spans="1:32" ht="15.75">
      <c r="A145" s="289"/>
      <c r="B145" s="289"/>
      <c r="C145" s="289"/>
      <c r="D145" s="289"/>
      <c r="E145" s="289"/>
      <c r="F145" s="289"/>
      <c r="G145" s="289"/>
      <c r="H145" s="289"/>
      <c r="I145" s="289"/>
      <c r="J145" s="289"/>
      <c r="K145" s="289"/>
      <c r="L145" s="289"/>
      <c r="M145" s="289"/>
      <c r="N145" s="289"/>
      <c r="O145" s="289"/>
      <c r="P145" s="289"/>
      <c r="Q145" s="289"/>
      <c r="R145" s="289"/>
      <c r="S145" s="289"/>
      <c r="T145" s="289"/>
      <c r="U145" s="289"/>
      <c r="V145" s="289"/>
      <c r="W145" s="289"/>
      <c r="X145" s="289"/>
      <c r="Y145" s="289"/>
      <c r="Z145" s="289"/>
      <c r="AA145" s="289"/>
      <c r="AB145" s="289"/>
      <c r="AC145" s="289"/>
      <c r="AD145" s="289"/>
      <c r="AE145" s="289"/>
      <c r="AF145" s="289"/>
    </row>
    <row r="146" spans="1:32" ht="15.75">
      <c r="A146" s="289"/>
      <c r="B146" s="289"/>
      <c r="C146" s="289"/>
      <c r="D146" s="289"/>
      <c r="E146" s="289"/>
      <c r="F146" s="289"/>
      <c r="G146" s="289"/>
      <c r="H146" s="289"/>
      <c r="I146" s="289"/>
      <c r="J146" s="289"/>
      <c r="K146" s="289"/>
      <c r="L146" s="289"/>
      <c r="M146" s="289"/>
      <c r="N146" s="289"/>
      <c r="O146" s="289"/>
      <c r="P146" s="289"/>
      <c r="Q146" s="289"/>
      <c r="R146" s="289"/>
      <c r="S146" s="289"/>
      <c r="T146" s="289"/>
      <c r="U146" s="289"/>
      <c r="V146" s="289"/>
      <c r="W146" s="289"/>
      <c r="X146" s="289"/>
      <c r="Y146" s="289"/>
      <c r="Z146" s="289"/>
      <c r="AA146" s="289"/>
      <c r="AB146" s="289"/>
      <c r="AC146" s="289"/>
      <c r="AD146" s="289"/>
      <c r="AE146" s="289"/>
      <c r="AF146" s="289"/>
    </row>
    <row r="147" spans="1:32" ht="15.75">
      <c r="A147" s="289"/>
      <c r="B147" s="289"/>
      <c r="C147" s="289"/>
      <c r="D147" s="289"/>
      <c r="E147" s="289"/>
      <c r="F147" s="289"/>
      <c r="G147" s="289"/>
      <c r="H147" s="289"/>
      <c r="I147" s="289"/>
      <c r="J147" s="289"/>
      <c r="K147" s="289"/>
      <c r="L147" s="289"/>
      <c r="M147" s="289"/>
      <c r="N147" s="289"/>
      <c r="O147" s="289"/>
      <c r="P147" s="289"/>
      <c r="Q147" s="289"/>
      <c r="R147" s="289"/>
      <c r="S147" s="289"/>
      <c r="T147" s="289"/>
      <c r="U147" s="289"/>
      <c r="V147" s="289"/>
      <c r="W147" s="289"/>
      <c r="X147" s="289"/>
      <c r="Y147" s="289"/>
      <c r="Z147" s="289"/>
      <c r="AA147" s="289"/>
      <c r="AB147" s="289"/>
      <c r="AC147" s="289"/>
      <c r="AD147" s="289"/>
      <c r="AE147" s="289"/>
      <c r="AF147" s="289"/>
    </row>
    <row r="148" spans="1:32" ht="15.75">
      <c r="A148" s="289"/>
      <c r="B148" s="289"/>
      <c r="C148" s="289"/>
      <c r="D148" s="289"/>
      <c r="E148" s="289"/>
      <c r="F148" s="289"/>
      <c r="G148" s="289"/>
      <c r="H148" s="289"/>
      <c r="I148" s="289"/>
      <c r="J148" s="289"/>
      <c r="K148" s="289"/>
      <c r="L148" s="289"/>
      <c r="M148" s="289"/>
      <c r="N148" s="289"/>
      <c r="O148" s="289"/>
      <c r="P148" s="289"/>
      <c r="Q148" s="289"/>
      <c r="R148" s="289"/>
      <c r="S148" s="289"/>
      <c r="T148" s="289"/>
      <c r="U148" s="289"/>
      <c r="V148" s="289"/>
      <c r="W148" s="289"/>
      <c r="X148" s="289"/>
      <c r="Y148" s="289"/>
      <c r="Z148" s="289"/>
      <c r="AA148" s="289"/>
      <c r="AB148" s="289"/>
      <c r="AC148" s="289"/>
      <c r="AD148" s="289"/>
      <c r="AE148" s="289"/>
      <c r="AF148" s="289"/>
    </row>
    <row r="149" spans="1:32" ht="15.75">
      <c r="A149" s="289"/>
      <c r="B149" s="289"/>
      <c r="C149" s="289"/>
      <c r="D149" s="289"/>
      <c r="E149" s="289"/>
      <c r="F149" s="289"/>
      <c r="G149" s="289"/>
      <c r="H149" s="289"/>
      <c r="I149" s="289"/>
      <c r="J149" s="289"/>
      <c r="K149" s="289"/>
      <c r="L149" s="289"/>
      <c r="M149" s="289"/>
      <c r="N149" s="289"/>
      <c r="O149" s="289"/>
      <c r="P149" s="289"/>
      <c r="Q149" s="289"/>
      <c r="R149" s="289"/>
      <c r="S149" s="289"/>
      <c r="T149" s="289"/>
      <c r="U149" s="289"/>
      <c r="V149" s="289"/>
      <c r="W149" s="289"/>
      <c r="X149" s="289"/>
      <c r="Y149" s="289"/>
      <c r="Z149" s="289"/>
      <c r="AA149" s="289"/>
      <c r="AB149" s="289"/>
      <c r="AC149" s="289"/>
      <c r="AD149" s="289"/>
      <c r="AE149" s="289"/>
      <c r="AF149" s="289"/>
    </row>
    <row r="150" spans="1:32" ht="15.75">
      <c r="A150" s="289"/>
      <c r="B150" s="289"/>
      <c r="C150" s="289"/>
      <c r="D150" s="289"/>
      <c r="E150" s="289"/>
      <c r="F150" s="289"/>
      <c r="G150" s="289"/>
      <c r="H150" s="289"/>
      <c r="I150" s="289"/>
      <c r="J150" s="289"/>
      <c r="K150" s="289"/>
      <c r="L150" s="289"/>
      <c r="M150" s="289"/>
      <c r="N150" s="289"/>
      <c r="O150" s="289"/>
      <c r="P150" s="289"/>
      <c r="Q150" s="289"/>
      <c r="R150" s="289"/>
      <c r="S150" s="289"/>
      <c r="T150" s="289"/>
      <c r="U150" s="289"/>
      <c r="V150" s="289"/>
      <c r="W150" s="289"/>
      <c r="X150" s="289"/>
      <c r="Y150" s="289"/>
      <c r="Z150" s="289"/>
      <c r="AA150" s="289"/>
      <c r="AB150" s="289"/>
      <c r="AC150" s="289"/>
      <c r="AD150" s="289"/>
      <c r="AE150" s="289"/>
      <c r="AF150" s="289"/>
    </row>
  </sheetData>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90504-D480-4B79-86C4-C7270F5CE7AC}">
  <sheetPr codeName="Sheet4">
    <pageSetUpPr fitToPage="1"/>
  </sheetPr>
  <dimension ref="A1:AM389"/>
  <sheetViews>
    <sheetView showGridLines="0" zoomScale="72" zoomScaleNormal="72" workbookViewId="0">
      <pane xSplit="2" ySplit="2" topLeftCell="D3" activePane="bottomRight" state="frozen"/>
      <selection pane="topRight" activeCell="C1" sqref="C1"/>
      <selection pane="bottomLeft" activeCell="A3" sqref="A3"/>
      <selection pane="bottomRight" activeCell="Y34" sqref="Y34"/>
    </sheetView>
  </sheetViews>
  <sheetFormatPr defaultColWidth="9.140625" defaultRowHeight="15" outlineLevelRow="1"/>
  <cols>
    <col min="1" max="1" width="1.5703125" style="8" customWidth="1"/>
    <col min="2" max="2" width="49.85546875" style="8" customWidth="1"/>
    <col min="3" max="22" width="11.7109375" style="8" customWidth="1"/>
    <col min="23" max="24" width="10.5703125" style="8" customWidth="1"/>
    <col min="25" max="25" width="15.85546875" style="8" bestFit="1" customWidth="1"/>
    <col min="26" max="26" width="9.140625" style="8"/>
    <col min="27" max="27" width="17.5703125" style="8" bestFit="1" customWidth="1"/>
    <col min="28" max="39" width="9.140625" style="8"/>
    <col min="40" max="46" width="9.42578125" style="8" bestFit="1" customWidth="1"/>
    <col min="47" max="47" width="10.42578125" style="8" bestFit="1" customWidth="1"/>
    <col min="48" max="95" width="9.42578125" style="8" bestFit="1" customWidth="1"/>
    <col min="96" max="16384" width="9.140625" style="8"/>
  </cols>
  <sheetData>
    <row r="1" spans="1:36" ht="15.75">
      <c r="A1" s="169"/>
      <c r="B1" s="360" t="s">
        <v>133</v>
      </c>
      <c r="C1" s="164"/>
      <c r="D1" s="164"/>
      <c r="E1" s="164"/>
      <c r="F1" s="164"/>
      <c r="G1" s="164"/>
      <c r="H1" s="164"/>
      <c r="I1" s="164"/>
      <c r="J1" s="164"/>
      <c r="K1" s="164"/>
      <c r="L1" s="1113"/>
      <c r="M1" s="1113"/>
      <c r="N1" s="1113"/>
      <c r="O1" s="1113"/>
      <c r="P1" s="1113"/>
      <c r="Q1" s="1113"/>
      <c r="R1" s="1113"/>
      <c r="S1" s="1113"/>
      <c r="T1" s="1113"/>
      <c r="U1" s="1113"/>
      <c r="V1" s="1113"/>
      <c r="W1" s="691">
        <f>Valuation!C51</f>
        <v>10.055391618999746</v>
      </c>
      <c r="X1" s="691"/>
      <c r="AA1" s="169"/>
      <c r="AB1" s="169"/>
      <c r="AC1" s="169"/>
      <c r="AD1" s="169"/>
      <c r="AE1" s="169"/>
      <c r="AF1" s="169"/>
      <c r="AG1" s="169"/>
      <c r="AH1" s="169"/>
      <c r="AI1" s="169"/>
      <c r="AJ1" s="169"/>
    </row>
    <row r="2" spans="1:36" s="9" customFormat="1" ht="15.75">
      <c r="A2" s="171"/>
      <c r="B2" s="972" t="s">
        <v>670</v>
      </c>
      <c r="C2" s="973">
        <v>2016</v>
      </c>
      <c r="D2" s="973">
        <v>2017</v>
      </c>
      <c r="E2" s="973">
        <v>2018</v>
      </c>
      <c r="F2" s="973">
        <v>2019</v>
      </c>
      <c r="G2" s="973">
        <v>2020</v>
      </c>
      <c r="H2" s="973">
        <v>2021</v>
      </c>
      <c r="I2" s="973">
        <v>2022</v>
      </c>
      <c r="J2" s="973">
        <v>2023</v>
      </c>
      <c r="K2" s="973">
        <v>2024</v>
      </c>
      <c r="L2" s="552" t="s">
        <v>266</v>
      </c>
      <c r="M2" s="552" t="s">
        <v>267</v>
      </c>
      <c r="N2" s="552" t="s">
        <v>268</v>
      </c>
      <c r="O2" s="552" t="s">
        <v>269</v>
      </c>
      <c r="P2" s="552" t="s">
        <v>270</v>
      </c>
      <c r="Q2" s="552" t="s">
        <v>271</v>
      </c>
      <c r="R2" s="437" t="s">
        <v>1159</v>
      </c>
      <c r="S2" s="437" t="s">
        <v>1160</v>
      </c>
      <c r="T2" s="437" t="s">
        <v>1161</v>
      </c>
      <c r="U2" s="437" t="s">
        <v>1162</v>
      </c>
      <c r="V2" s="437" t="s">
        <v>1163</v>
      </c>
      <c r="W2" s="174"/>
      <c r="X2" s="174"/>
      <c r="Y2" s="172"/>
      <c r="Z2" s="171"/>
      <c r="AA2" s="171"/>
      <c r="AB2" s="171"/>
      <c r="AC2" s="171"/>
      <c r="AD2" s="171"/>
      <c r="AE2" s="171"/>
      <c r="AF2" s="171"/>
      <c r="AG2" s="171"/>
      <c r="AH2" s="171"/>
      <c r="AI2" s="171"/>
      <c r="AJ2" s="171"/>
    </row>
    <row r="3" spans="1:36" s="9" customFormat="1" ht="15.75">
      <c r="A3" s="171"/>
      <c r="B3" s="173"/>
      <c r="C3" s="174"/>
      <c r="D3" s="174"/>
      <c r="E3" s="174"/>
      <c r="F3" s="174"/>
      <c r="G3" s="174"/>
      <c r="H3" s="174"/>
      <c r="I3" s="174"/>
      <c r="J3" s="174"/>
      <c r="K3" s="174"/>
      <c r="L3" s="174"/>
      <c r="M3" s="174"/>
      <c r="N3" s="174"/>
      <c r="O3" s="174"/>
      <c r="P3" s="174"/>
      <c r="Q3" s="174"/>
      <c r="R3" s="174"/>
      <c r="S3" s="174"/>
      <c r="T3" s="174"/>
      <c r="U3" s="174"/>
      <c r="V3" s="174"/>
      <c r="W3" s="174"/>
      <c r="X3" s="174"/>
      <c r="Y3" s="171"/>
      <c r="Z3" s="171"/>
      <c r="AA3" s="171"/>
      <c r="AB3" s="171"/>
      <c r="AC3" s="171"/>
      <c r="AD3" s="171"/>
      <c r="AE3" s="171"/>
      <c r="AF3" s="171"/>
      <c r="AG3" s="171"/>
      <c r="AH3" s="171"/>
      <c r="AI3" s="171"/>
      <c r="AJ3" s="171"/>
    </row>
    <row r="4" spans="1:36" s="9" customFormat="1" ht="15.75">
      <c r="A4" s="171"/>
      <c r="B4" s="173"/>
      <c r="C4" s="174"/>
      <c r="D4" s="174"/>
      <c r="E4" s="174"/>
      <c r="F4" s="174"/>
      <c r="G4" s="174"/>
      <c r="H4" s="174"/>
      <c r="I4" s="174"/>
      <c r="J4" s="174"/>
      <c r="K4" s="174"/>
      <c r="L4" s="174"/>
      <c r="M4" s="174"/>
      <c r="N4" s="174"/>
      <c r="O4" s="174"/>
      <c r="P4" s="174"/>
      <c r="Q4" s="174"/>
      <c r="R4" s="174"/>
      <c r="S4" s="174"/>
      <c r="T4" s="174"/>
      <c r="U4" s="174"/>
      <c r="V4" s="174"/>
      <c r="W4" s="174"/>
      <c r="X4" s="174"/>
      <c r="Y4" s="171"/>
      <c r="Z4" s="171"/>
      <c r="AA4" s="171"/>
      <c r="AB4" s="171"/>
      <c r="AC4" s="171"/>
      <c r="AD4" s="171"/>
      <c r="AE4" s="171"/>
      <c r="AF4" s="171"/>
      <c r="AG4" s="171"/>
      <c r="AH4" s="171"/>
      <c r="AI4" s="171"/>
      <c r="AJ4" s="171"/>
    </row>
    <row r="5" spans="1:36" s="9" customFormat="1" ht="21.75" customHeight="1">
      <c r="A5" s="171"/>
      <c r="B5" s="284" t="s">
        <v>671</v>
      </c>
      <c r="C5" s="285"/>
      <c r="D5" s="285"/>
      <c r="E5" s="285"/>
      <c r="F5" s="285"/>
      <c r="G5" s="285"/>
      <c r="H5" s="285"/>
      <c r="I5" s="285"/>
      <c r="J5" s="285"/>
      <c r="K5" s="285"/>
      <c r="L5" s="285"/>
      <c r="M5" s="285"/>
      <c r="N5" s="285"/>
      <c r="O5" s="285"/>
      <c r="P5" s="285"/>
      <c r="Q5" s="285"/>
      <c r="R5" s="285"/>
      <c r="S5" s="285"/>
      <c r="T5" s="285"/>
      <c r="U5" s="285"/>
      <c r="V5" s="285"/>
      <c r="W5" s="190"/>
      <c r="X5" s="190"/>
      <c r="Y5" s="171"/>
      <c r="Z5" s="171"/>
      <c r="AA5" s="171"/>
      <c r="AB5" s="171"/>
      <c r="AC5" s="171"/>
      <c r="AD5" s="171"/>
      <c r="AE5" s="171"/>
      <c r="AF5" s="171"/>
      <c r="AG5" s="171"/>
      <c r="AH5" s="171"/>
      <c r="AI5" s="171"/>
      <c r="AJ5" s="171"/>
    </row>
    <row r="6" spans="1:36" s="9" customFormat="1" ht="15.75" outlineLevel="1">
      <c r="A6" s="171"/>
      <c r="B6" s="173"/>
      <c r="C6" s="174"/>
      <c r="D6" s="174"/>
      <c r="E6" s="174"/>
      <c r="F6" s="174"/>
      <c r="G6" s="174"/>
      <c r="H6" s="174"/>
      <c r="I6" s="174"/>
      <c r="J6" s="174"/>
      <c r="K6" s="174"/>
      <c r="L6" s="174"/>
      <c r="M6" s="174"/>
      <c r="N6" s="174"/>
      <c r="O6" s="174"/>
      <c r="P6" s="174"/>
      <c r="Q6" s="174"/>
      <c r="R6" s="174"/>
      <c r="S6" s="174"/>
      <c r="T6" s="174"/>
      <c r="U6" s="174"/>
      <c r="V6" s="174"/>
      <c r="W6" s="174"/>
      <c r="X6" s="174"/>
      <c r="Y6" s="171"/>
      <c r="Z6" s="171"/>
      <c r="AA6" s="171"/>
      <c r="AB6" s="171"/>
      <c r="AC6" s="171"/>
      <c r="AD6" s="171"/>
      <c r="AE6" s="171"/>
      <c r="AF6" s="171"/>
      <c r="AG6" s="171"/>
      <c r="AH6" s="171"/>
      <c r="AI6" s="171"/>
      <c r="AJ6" s="171"/>
    </row>
    <row r="7" spans="1:36" s="9" customFormat="1" ht="15.75" outlineLevel="1">
      <c r="A7" s="171"/>
      <c r="B7" s="171" t="s">
        <v>203</v>
      </c>
      <c r="C7" s="175">
        <f>Nigeria!C54</f>
        <v>652</v>
      </c>
      <c r="D7" s="175">
        <f>Nigeria!D54</f>
        <v>821</v>
      </c>
      <c r="E7" s="175">
        <f>Consolidation!D6</f>
        <v>852.7</v>
      </c>
      <c r="F7" s="175">
        <f>Consolidation!E6</f>
        <v>925.70399999999995</v>
      </c>
      <c r="G7" s="175">
        <f>Consolidation!F6</f>
        <v>1037.836</v>
      </c>
      <c r="H7" s="175">
        <f>Consolidation!G6</f>
        <v>1146.732</v>
      </c>
      <c r="I7" s="175">
        <f>Consolidation!H6</f>
        <v>1352.402</v>
      </c>
      <c r="J7" s="175">
        <f>Consolidation!I6</f>
        <v>1381.627</v>
      </c>
      <c r="K7" s="175">
        <f>Consolidation!J6</f>
        <v>998.46600000000001</v>
      </c>
      <c r="L7" s="175">
        <f>Consolidation!K6</f>
        <v>1053.7872905198199</v>
      </c>
      <c r="M7" s="175">
        <f>Consolidation!L6</f>
        <v>1134.4582270304002</v>
      </c>
      <c r="N7" s="175">
        <f>Consolidation!M6</f>
        <v>1228.6257099351096</v>
      </c>
      <c r="O7" s="175">
        <f>Consolidation!N6</f>
        <v>1309.1802125029919</v>
      </c>
      <c r="P7" s="175">
        <f>Consolidation!O6</f>
        <v>1395.5028050664512</v>
      </c>
      <c r="Q7" s="175">
        <f>Consolidation!P6</f>
        <v>1483.6538057245971</v>
      </c>
      <c r="R7" s="175">
        <f>Consolidation!Q6</f>
        <v>1568.0812549092916</v>
      </c>
      <c r="S7" s="175">
        <f>Consolidation!R6</f>
        <v>1652.4840124954114</v>
      </c>
      <c r="T7" s="175">
        <f>Consolidation!S6</f>
        <v>1741.4297907099833</v>
      </c>
      <c r="U7" s="175">
        <f>Consolidation!T6</f>
        <v>1835.1631199098429</v>
      </c>
      <c r="V7" s="175">
        <f>Consolidation!U6</f>
        <v>1933.9416924205505</v>
      </c>
      <c r="W7" s="684"/>
      <c r="X7" s="684"/>
      <c r="Y7" s="171"/>
      <c r="Z7" s="171"/>
      <c r="AA7" s="171"/>
      <c r="AB7" s="171"/>
      <c r="AC7" s="171"/>
      <c r="AD7" s="171"/>
      <c r="AE7" s="171"/>
      <c r="AF7" s="171"/>
      <c r="AG7" s="171"/>
      <c r="AH7" s="171"/>
      <c r="AI7" s="171"/>
      <c r="AJ7" s="171"/>
    </row>
    <row r="8" spans="1:36" s="9" customFormat="1" ht="15.75" outlineLevel="1">
      <c r="A8" s="171"/>
      <c r="B8" s="171" t="s">
        <v>272</v>
      </c>
      <c r="C8" s="175"/>
      <c r="D8" s="175"/>
      <c r="E8" s="175"/>
      <c r="F8" s="175">
        <f>Consolidation!E7</f>
        <v>305.35199999999998</v>
      </c>
      <c r="G8" s="175">
        <f>Consolidation!F7</f>
        <v>313.416</v>
      </c>
      <c r="H8" s="175">
        <f>Consolidation!G7</f>
        <v>343.94499999999999</v>
      </c>
      <c r="I8" s="175">
        <f>Consolidation!H7</f>
        <v>412.82400000000001</v>
      </c>
      <c r="J8" s="175">
        <f>Consolidation!I7</f>
        <v>503.04899999999998</v>
      </c>
      <c r="K8" s="175">
        <f>Consolidation!J7</f>
        <v>483.84199999999998</v>
      </c>
      <c r="L8" s="175">
        <f>Consolidation!K7</f>
        <v>484.7</v>
      </c>
      <c r="M8" s="175">
        <f>Consolidation!L7</f>
        <v>471.02536940840139</v>
      </c>
      <c r="N8" s="175">
        <f>Consolidation!M7</f>
        <v>494.75434003045558</v>
      </c>
      <c r="O8" s="175">
        <f>Consolidation!N7</f>
        <v>524.51848593613545</v>
      </c>
      <c r="P8" s="175">
        <f>Consolidation!O7</f>
        <v>555.33416838517019</v>
      </c>
      <c r="Q8" s="175">
        <f>Consolidation!P7</f>
        <v>588.04829847884014</v>
      </c>
      <c r="R8" s="175">
        <f>Consolidation!Q7</f>
        <v>622.99625543623813</v>
      </c>
      <c r="S8" s="175">
        <f>Consolidation!R7</f>
        <v>660.50913873323873</v>
      </c>
      <c r="T8" s="175">
        <f>Consolidation!S7</f>
        <v>700.56000247117186</v>
      </c>
      <c r="U8" s="175">
        <f>Consolidation!T7</f>
        <v>743.21038436567233</v>
      </c>
      <c r="V8" s="175">
        <f>Consolidation!U7</f>
        <v>788.77034172675303</v>
      </c>
      <c r="W8" s="684"/>
      <c r="X8" s="684"/>
      <c r="Y8" s="171"/>
      <c r="Z8" s="171"/>
      <c r="AA8" s="171"/>
      <c r="AB8" s="171"/>
      <c r="AC8" s="171"/>
      <c r="AD8" s="171"/>
      <c r="AE8" s="171"/>
      <c r="AF8" s="171"/>
      <c r="AG8" s="171"/>
      <c r="AH8" s="171"/>
      <c r="AI8" s="171"/>
      <c r="AJ8" s="171"/>
    </row>
    <row r="9" spans="1:36" ht="15.75" outlineLevel="1">
      <c r="A9" s="169"/>
      <c r="B9" s="169" t="s">
        <v>160</v>
      </c>
      <c r="C9" s="175"/>
      <c r="D9" s="175"/>
      <c r="E9" s="175"/>
      <c r="F9" s="175">
        <f>Consolidation!E8</f>
        <v>0</v>
      </c>
      <c r="G9" s="175">
        <f>Consolidation!F8</f>
        <v>30.184999999999999</v>
      </c>
      <c r="H9" s="175">
        <f>Consolidation!G8</f>
        <v>59.706000000000003</v>
      </c>
      <c r="I9" s="175">
        <f>Consolidation!H8</f>
        <v>160.00800000000001</v>
      </c>
      <c r="J9" s="175">
        <f>Consolidation!I8</f>
        <v>200.20699999999999</v>
      </c>
      <c r="K9" s="175">
        <f>Consolidation!J8</f>
        <v>184.03</v>
      </c>
      <c r="L9" s="175">
        <f>Consolidation!K8</f>
        <v>186.79044999999999</v>
      </c>
      <c r="M9" s="175">
        <f>Consolidation!L8</f>
        <v>190.52625899999998</v>
      </c>
      <c r="N9" s="175">
        <f>Consolidation!M8</f>
        <v>195.28941547499997</v>
      </c>
      <c r="O9" s="175">
        <f>Consolidation!N8</f>
        <v>201.14809793924996</v>
      </c>
      <c r="P9" s="175">
        <f>Consolidation!O8</f>
        <v>207.18254087742747</v>
      </c>
      <c r="Q9" s="175">
        <f>Consolidation!P8</f>
        <v>213.39801710375031</v>
      </c>
      <c r="R9" s="175">
        <f>Consolidation!Q8</f>
        <v>219.79995761686283</v>
      </c>
      <c r="S9" s="175">
        <f>Consolidation!R8</f>
        <v>226.39395634536871</v>
      </c>
      <c r="T9" s="175">
        <f>Consolidation!S8</f>
        <v>233.18577503572976</v>
      </c>
      <c r="U9" s="175">
        <f>Consolidation!T8</f>
        <v>240.18134828680166</v>
      </c>
      <c r="V9" s="175">
        <f>Consolidation!U8</f>
        <v>247.38678873540573</v>
      </c>
      <c r="W9" s="684"/>
      <c r="X9" s="684"/>
      <c r="Y9" s="169"/>
      <c r="Z9" s="169"/>
      <c r="AA9" s="169"/>
      <c r="AB9" s="169"/>
      <c r="AC9" s="169"/>
      <c r="AD9" s="169"/>
      <c r="AE9" s="169"/>
      <c r="AF9" s="169"/>
      <c r="AG9" s="169"/>
      <c r="AH9" s="169"/>
      <c r="AI9" s="169"/>
      <c r="AJ9" s="169"/>
    </row>
    <row r="10" spans="1:36" ht="15.75" outlineLevel="1">
      <c r="A10" s="169"/>
      <c r="B10" s="169" t="s">
        <v>273</v>
      </c>
      <c r="C10" s="175"/>
      <c r="D10" s="175"/>
      <c r="E10" s="175"/>
      <c r="F10" s="175">
        <f>Consolidation!E9</f>
        <v>0</v>
      </c>
      <c r="G10" s="175">
        <f>Consolidation!F9</f>
        <v>21.721</v>
      </c>
      <c r="H10" s="175">
        <f>Consolidation!G9</f>
        <v>29.347000000000001</v>
      </c>
      <c r="I10" s="175">
        <f>Consolidation!H9</f>
        <v>36.064999999999998</v>
      </c>
      <c r="J10" s="175">
        <f>Consolidation!I9</f>
        <v>40.655999999999999</v>
      </c>
      <c r="K10" s="175">
        <f>Consolidation!J9</f>
        <v>44.887</v>
      </c>
      <c r="L10" s="175">
        <f>Consolidation!K9</f>
        <v>0</v>
      </c>
      <c r="M10" s="175">
        <f>Consolidation!L9</f>
        <v>0</v>
      </c>
      <c r="N10" s="175">
        <f>Consolidation!M9</f>
        <v>0</v>
      </c>
      <c r="O10" s="175">
        <f>Consolidation!N9</f>
        <v>0</v>
      </c>
      <c r="P10" s="175">
        <f>Consolidation!O9</f>
        <v>0</v>
      </c>
      <c r="Q10" s="175">
        <f>Consolidation!P9</f>
        <v>0</v>
      </c>
      <c r="R10" s="175">
        <f>Consolidation!Q9</f>
        <v>0</v>
      </c>
      <c r="S10" s="175">
        <f>Consolidation!R9</f>
        <v>0</v>
      </c>
      <c r="T10" s="175">
        <f>Consolidation!S9</f>
        <v>0</v>
      </c>
      <c r="U10" s="175">
        <f>Consolidation!T9</f>
        <v>0</v>
      </c>
      <c r="V10" s="175">
        <f>Consolidation!U9</f>
        <v>0</v>
      </c>
      <c r="W10" s="684"/>
      <c r="X10" s="684"/>
      <c r="Y10" s="169"/>
      <c r="Z10" s="169"/>
      <c r="AA10" s="169"/>
      <c r="AB10" s="169"/>
      <c r="AC10" s="169"/>
      <c r="AD10" s="169"/>
      <c r="AE10" s="169"/>
      <c r="AF10" s="169"/>
      <c r="AG10" s="169"/>
      <c r="AH10" s="169"/>
      <c r="AI10" s="169"/>
      <c r="AJ10" s="169"/>
    </row>
    <row r="11" spans="1:36" ht="15.75" outlineLevel="1">
      <c r="A11" s="169"/>
      <c r="B11" s="176" t="s">
        <v>12</v>
      </c>
      <c r="C11" s="177">
        <f t="shared" ref="C11:Q11" si="0">SUM(C7:C10)</f>
        <v>652</v>
      </c>
      <c r="D11" s="177">
        <f t="shared" si="0"/>
        <v>821</v>
      </c>
      <c r="E11" s="177">
        <f t="shared" si="0"/>
        <v>852.7</v>
      </c>
      <c r="F11" s="177">
        <f t="shared" si="0"/>
        <v>1231.056</v>
      </c>
      <c r="G11" s="177">
        <f t="shared" si="0"/>
        <v>1403.1579999999999</v>
      </c>
      <c r="H11" s="177">
        <f t="shared" si="0"/>
        <v>1579.7299999999998</v>
      </c>
      <c r="I11" s="177">
        <f t="shared" si="0"/>
        <v>1961.2990000000002</v>
      </c>
      <c r="J11" s="177">
        <f t="shared" si="0"/>
        <v>2125.5389999999998</v>
      </c>
      <c r="K11" s="177">
        <f t="shared" si="0"/>
        <v>1711.2249999999999</v>
      </c>
      <c r="L11" s="177">
        <f t="shared" si="0"/>
        <v>1725.2777405198199</v>
      </c>
      <c r="M11" s="177">
        <f t="shared" si="0"/>
        <v>1796.0098554388017</v>
      </c>
      <c r="N11" s="177">
        <f t="shared" si="0"/>
        <v>1918.6694654405651</v>
      </c>
      <c r="O11" s="177">
        <f t="shared" si="0"/>
        <v>2034.8467963783773</v>
      </c>
      <c r="P11" s="177">
        <f t="shared" si="0"/>
        <v>2158.0195143290489</v>
      </c>
      <c r="Q11" s="177">
        <f t="shared" si="0"/>
        <v>2285.1001213071872</v>
      </c>
      <c r="R11" s="177">
        <f t="shared" ref="R11:V11" si="1">SUM(R7:R10)</f>
        <v>2410.8774679623925</v>
      </c>
      <c r="S11" s="177">
        <f t="shared" si="1"/>
        <v>2539.387107574019</v>
      </c>
      <c r="T11" s="177">
        <f t="shared" si="1"/>
        <v>2675.175568216885</v>
      </c>
      <c r="U11" s="177">
        <f t="shared" si="1"/>
        <v>2818.5548525623167</v>
      </c>
      <c r="V11" s="177">
        <f t="shared" si="1"/>
        <v>2970.0988228827096</v>
      </c>
      <c r="W11" s="188"/>
      <c r="X11" s="188"/>
      <c r="Y11" s="170"/>
      <c r="Z11" s="169"/>
      <c r="AA11" s="169"/>
      <c r="AB11" s="169"/>
      <c r="AC11" s="169"/>
      <c r="AD11" s="169"/>
      <c r="AE11" s="169"/>
      <c r="AF11" s="169"/>
      <c r="AG11" s="169"/>
      <c r="AH11" s="169"/>
      <c r="AI11" s="169"/>
      <c r="AJ11" s="169"/>
    </row>
    <row r="12" spans="1:36" ht="15.75" outlineLevel="1">
      <c r="A12" s="169"/>
      <c r="B12" s="171" t="s">
        <v>13</v>
      </c>
      <c r="C12" s="178"/>
      <c r="D12" s="178"/>
      <c r="E12" s="178"/>
      <c r="F12" s="178"/>
      <c r="G12" s="178">
        <f t="shared" ref="G12:V12" si="2">G11/F11-1</f>
        <v>0.13980030152974354</v>
      </c>
      <c r="H12" s="178">
        <f t="shared" si="2"/>
        <v>0.125839000312153</v>
      </c>
      <c r="I12" s="178">
        <f t="shared" si="2"/>
        <v>0.24154064302127609</v>
      </c>
      <c r="J12" s="178">
        <f t="shared" si="2"/>
        <v>8.3740418977422459E-2</v>
      </c>
      <c r="K12" s="178">
        <f t="shared" si="2"/>
        <v>-0.19492185276299323</v>
      </c>
      <c r="L12" s="178">
        <f t="shared" si="2"/>
        <v>8.2120939793539627E-3</v>
      </c>
      <c r="M12" s="178">
        <f t="shared" si="2"/>
        <v>4.0997523620556642E-2</v>
      </c>
      <c r="N12" s="178">
        <f t="shared" si="2"/>
        <v>6.8295621892227931E-2</v>
      </c>
      <c r="O12" s="178">
        <f t="shared" si="2"/>
        <v>6.0550987562172809E-2</v>
      </c>
      <c r="P12" s="178">
        <f t="shared" si="2"/>
        <v>6.0531691216210826E-2</v>
      </c>
      <c r="Q12" s="178">
        <f t="shared" si="2"/>
        <v>5.8887607889704041E-2</v>
      </c>
      <c r="R12" s="178">
        <f t="shared" si="2"/>
        <v>5.5042378879772924E-2</v>
      </c>
      <c r="S12" s="178">
        <f t="shared" si="2"/>
        <v>5.3304094181210848E-2</v>
      </c>
      <c r="T12" s="178">
        <f t="shared" si="2"/>
        <v>5.3472926690799172E-2</v>
      </c>
      <c r="U12" s="178">
        <f t="shared" si="2"/>
        <v>5.3596214786381324E-2</v>
      </c>
      <c r="V12" s="178">
        <f t="shared" si="2"/>
        <v>5.3766549968905508E-2</v>
      </c>
      <c r="W12" s="178"/>
      <c r="X12" s="178"/>
      <c r="Y12" s="169"/>
      <c r="Z12" s="169"/>
      <c r="AA12" s="169"/>
      <c r="AB12" s="169"/>
      <c r="AC12" s="169"/>
      <c r="AD12" s="169"/>
      <c r="AE12" s="169"/>
      <c r="AF12" s="169"/>
      <c r="AG12" s="169"/>
      <c r="AH12" s="169"/>
      <c r="AI12" s="169"/>
      <c r="AJ12" s="169"/>
    </row>
    <row r="13" spans="1:36" ht="15.75" outlineLevel="1">
      <c r="A13" s="169"/>
      <c r="B13" s="173"/>
      <c r="C13" s="179"/>
      <c r="D13" s="179"/>
      <c r="E13" s="179"/>
      <c r="F13" s="179"/>
      <c r="G13" s="179"/>
      <c r="H13" s="179"/>
      <c r="I13" s="179"/>
      <c r="J13" s="179"/>
      <c r="K13" s="179"/>
      <c r="L13" s="179"/>
      <c r="M13" s="179"/>
      <c r="N13" s="179"/>
      <c r="O13" s="179"/>
      <c r="P13" s="179"/>
      <c r="Q13" s="179"/>
      <c r="R13" s="179"/>
      <c r="S13" s="179"/>
      <c r="T13" s="179"/>
      <c r="U13" s="179"/>
      <c r="V13" s="179"/>
      <c r="W13" s="179"/>
      <c r="X13" s="179"/>
      <c r="Y13" s="169"/>
      <c r="Z13" s="169"/>
      <c r="AA13" s="169"/>
      <c r="AB13" s="169"/>
      <c r="AC13" s="169"/>
      <c r="AD13" s="169"/>
      <c r="AE13" s="169"/>
      <c r="AF13" s="169"/>
      <c r="AG13" s="169"/>
      <c r="AH13" s="169"/>
      <c r="AI13" s="169"/>
      <c r="AJ13" s="169"/>
    </row>
    <row r="14" spans="1:36" ht="15.75" outlineLevel="1">
      <c r="A14" s="169"/>
      <c r="B14" s="154" t="s">
        <v>203</v>
      </c>
      <c r="C14" s="175">
        <f>Nigeria!C70</f>
        <v>285</v>
      </c>
      <c r="D14" s="175">
        <f>Nigeria!D70</f>
        <v>423</v>
      </c>
      <c r="E14" s="180">
        <f>Consolidation!D27</f>
        <v>489</v>
      </c>
      <c r="F14" s="180">
        <f>Consolidation!E27</f>
        <v>559.04899999999998</v>
      </c>
      <c r="G14" s="180">
        <f>Consolidation!F27</f>
        <v>701.27300000000002</v>
      </c>
      <c r="H14" s="180">
        <f>Consolidation!G27</f>
        <v>783.54399999999998</v>
      </c>
      <c r="I14" s="180">
        <f>Consolidation!H27</f>
        <v>802.822</v>
      </c>
      <c r="J14" s="180">
        <f>Consolidation!I27</f>
        <v>855.31700000000001</v>
      </c>
      <c r="K14" s="180">
        <f>Consolidation!J27</f>
        <v>588.03099999999995</v>
      </c>
      <c r="L14" s="180">
        <f>Consolidation!K27</f>
        <v>695.49961174308112</v>
      </c>
      <c r="M14" s="180">
        <f>Consolidation!L27</f>
        <v>754.41472097521614</v>
      </c>
      <c r="N14" s="180">
        <f>Consolidation!M27</f>
        <v>823.1792256565235</v>
      </c>
      <c r="O14" s="180">
        <f>Consolidation!N27</f>
        <v>880.42369290826207</v>
      </c>
      <c r="P14" s="180">
        <f>Consolidation!O27</f>
        <v>941.96439341985445</v>
      </c>
      <c r="Q14" s="180">
        <f>Consolidation!P27</f>
        <v>1005.1754533784143</v>
      </c>
      <c r="R14" s="180">
        <f>Consolidation!Q27</f>
        <v>1066.2952533383179</v>
      </c>
      <c r="S14" s="180">
        <f>Consolidation!R27</f>
        <v>1127.8203385281179</v>
      </c>
      <c r="T14" s="180">
        <f>Consolidation!S27</f>
        <v>1192.879406636338</v>
      </c>
      <c r="U14" s="180">
        <f>Consolidation!T27</f>
        <v>1261.6746449380164</v>
      </c>
      <c r="V14" s="180">
        <f>Consolidation!U27</f>
        <v>1334.4197677701791</v>
      </c>
      <c r="W14" s="180"/>
      <c r="X14" s="180"/>
      <c r="Y14" s="169"/>
      <c r="Z14" s="169"/>
      <c r="AA14" s="181"/>
      <c r="AB14" s="169"/>
      <c r="AC14" s="169"/>
      <c r="AD14" s="169"/>
      <c r="AE14" s="169"/>
      <c r="AF14" s="169"/>
      <c r="AG14" s="169"/>
      <c r="AH14" s="169"/>
      <c r="AI14" s="169"/>
      <c r="AJ14" s="169"/>
    </row>
    <row r="15" spans="1:36" ht="15.75" outlineLevel="1">
      <c r="A15" s="169"/>
      <c r="B15" s="154" t="s">
        <v>272</v>
      </c>
      <c r="C15" s="175"/>
      <c r="D15" s="175"/>
      <c r="E15" s="175"/>
      <c r="F15" s="180">
        <f>Consolidation!E28</f>
        <v>165.626</v>
      </c>
      <c r="G15" s="180">
        <f>Consolidation!F28</f>
        <v>170.78399999999999</v>
      </c>
      <c r="H15" s="180">
        <f>Consolidation!G28</f>
        <v>190.654</v>
      </c>
      <c r="I15" s="180">
        <f>Consolidation!H28</f>
        <v>230.52099999999999</v>
      </c>
      <c r="J15" s="180">
        <f>Consolidation!I28</f>
        <v>257.072</v>
      </c>
      <c r="K15" s="180">
        <f>Consolidation!J28</f>
        <v>307.95400000000001</v>
      </c>
      <c r="L15" s="180">
        <f>Consolidation!K28</f>
        <v>287</v>
      </c>
      <c r="M15" s="180">
        <f>Consolidation!L28</f>
        <v>283.61324734007371</v>
      </c>
      <c r="N15" s="180">
        <f>Consolidation!M28</f>
        <v>302.84845092014854</v>
      </c>
      <c r="O15" s="180">
        <f>Consolidation!N28</f>
        <v>326.31283013754535</v>
      </c>
      <c r="P15" s="180">
        <f>Consolidation!O28</f>
        <v>351.03718832926666</v>
      </c>
      <c r="Q15" s="180">
        <f>Consolidation!P28</f>
        <v>377.59688916249604</v>
      </c>
      <c r="R15" s="180">
        <f>Consolidation!Q28</f>
        <v>406.26759317267806</v>
      </c>
      <c r="S15" s="180">
        <f>Consolidation!R28</f>
        <v>437.33554236542108</v>
      </c>
      <c r="T15" s="180">
        <f>Consolidation!S28</f>
        <v>470.85957368485356</v>
      </c>
      <c r="U15" s="180">
        <f>Consolidation!T28</f>
        <v>506.95780257918653</v>
      </c>
      <c r="V15" s="180">
        <f>Consolidation!U28</f>
        <v>545.92281109773853</v>
      </c>
      <c r="W15" s="180"/>
      <c r="X15" s="180"/>
      <c r="Y15" s="169"/>
      <c r="Z15" s="169"/>
      <c r="AA15" s="181"/>
      <c r="AB15" s="169"/>
      <c r="AC15" s="169"/>
      <c r="AD15" s="169"/>
      <c r="AE15" s="169"/>
      <c r="AF15" s="169"/>
      <c r="AG15" s="169"/>
      <c r="AH15" s="169"/>
      <c r="AI15" s="169"/>
      <c r="AJ15" s="169"/>
    </row>
    <row r="16" spans="1:36" ht="15.75" outlineLevel="1">
      <c r="A16" s="169"/>
      <c r="B16" s="154" t="s">
        <v>160</v>
      </c>
      <c r="C16" s="175"/>
      <c r="D16" s="175"/>
      <c r="E16" s="175"/>
      <c r="F16" s="180">
        <f>Consolidation!E29</f>
        <v>0</v>
      </c>
      <c r="G16" s="180">
        <f>Consolidation!F29</f>
        <v>22.696000000000002</v>
      </c>
      <c r="H16" s="180">
        <f>Consolidation!G29</f>
        <v>42.688000000000002</v>
      </c>
      <c r="I16" s="180">
        <f>Consolidation!H29</f>
        <v>114.434</v>
      </c>
      <c r="J16" s="180">
        <f>Consolidation!I29</f>
        <v>145.75399999999999</v>
      </c>
      <c r="K16" s="180">
        <f>Consolidation!J29</f>
        <v>138.035</v>
      </c>
      <c r="L16" s="180">
        <f>Consolidation!K29</f>
        <v>139.15888525</v>
      </c>
      <c r="M16" s="180">
        <f>Consolidation!L29</f>
        <v>142.41837860249998</v>
      </c>
      <c r="N16" s="180">
        <f>Consolidation!M29</f>
        <v>146.46706160624996</v>
      </c>
      <c r="O16" s="180">
        <f>Consolidation!N29</f>
        <v>151.36394369928556</v>
      </c>
      <c r="P16" s="180">
        <f>Consolidation!O29</f>
        <v>156.42281836245769</v>
      </c>
      <c r="Q16" s="180">
        <f>Consolidation!P29</f>
        <v>161.6489979560908</v>
      </c>
      <c r="R16" s="180">
        <f>Consolidation!Q29</f>
        <v>167.04796778881567</v>
      </c>
      <c r="S16" s="180">
        <f>Consolidation!R29</f>
        <v>172.62539171334356</v>
      </c>
      <c r="T16" s="180">
        <f>Consolidation!S29</f>
        <v>178.38711790233316</v>
      </c>
      <c r="U16" s="180">
        <f>Consolidation!T29</f>
        <v>184.33918481012017</v>
      </c>
      <c r="V16" s="180">
        <f>Consolidation!U29</f>
        <v>190.48782732626228</v>
      </c>
      <c r="W16" s="180"/>
      <c r="X16" s="180"/>
      <c r="Y16" s="169"/>
      <c r="Z16" s="169"/>
      <c r="AA16" s="181"/>
      <c r="AB16" s="169"/>
      <c r="AC16" s="169"/>
      <c r="AD16" s="169"/>
      <c r="AE16" s="169"/>
      <c r="AF16" s="169"/>
      <c r="AG16" s="169"/>
      <c r="AH16" s="169"/>
      <c r="AI16" s="169"/>
      <c r="AJ16" s="169"/>
    </row>
    <row r="17" spans="1:36" ht="15.75" customHeight="1" outlineLevel="1">
      <c r="A17" s="169"/>
      <c r="B17" s="154" t="s">
        <v>273</v>
      </c>
      <c r="C17" s="175"/>
      <c r="D17" s="175"/>
      <c r="E17" s="175"/>
      <c r="F17" s="180">
        <f>Consolidation!E30</f>
        <v>0</v>
      </c>
      <c r="G17" s="180">
        <f>Consolidation!F30</f>
        <v>9.9369999999999994</v>
      </c>
      <c r="H17" s="180">
        <f>Consolidation!G30</f>
        <v>13.085000000000001</v>
      </c>
      <c r="I17" s="180">
        <f>Consolidation!H30</f>
        <v>16.021000000000001</v>
      </c>
      <c r="J17" s="180">
        <f>Consolidation!I30</f>
        <v>22.120999999999999</v>
      </c>
      <c r="K17" s="180">
        <f>Consolidation!J30</f>
        <v>27.561</v>
      </c>
      <c r="L17" s="180">
        <f>Consolidation!K30</f>
        <v>0</v>
      </c>
      <c r="M17" s="180">
        <f>Consolidation!L30</f>
        <v>0</v>
      </c>
      <c r="N17" s="180">
        <f>Consolidation!M30</f>
        <v>0</v>
      </c>
      <c r="O17" s="180">
        <f>Consolidation!N30</f>
        <v>0</v>
      </c>
      <c r="P17" s="180">
        <f>Consolidation!O30</f>
        <v>0</v>
      </c>
      <c r="Q17" s="180">
        <f>Consolidation!P30</f>
        <v>0</v>
      </c>
      <c r="R17" s="180">
        <f>Consolidation!Q30</f>
        <v>0</v>
      </c>
      <c r="S17" s="180">
        <f>Consolidation!R30</f>
        <v>0</v>
      </c>
      <c r="T17" s="180">
        <f>Consolidation!S30</f>
        <v>0</v>
      </c>
      <c r="U17" s="180">
        <f>Consolidation!T30</f>
        <v>0</v>
      </c>
      <c r="V17" s="180">
        <f>Consolidation!U30</f>
        <v>0</v>
      </c>
      <c r="W17" s="180"/>
      <c r="X17" s="180"/>
      <c r="Y17" s="169"/>
      <c r="Z17" s="169"/>
      <c r="AA17" s="181"/>
      <c r="AB17" s="169"/>
      <c r="AC17" s="169"/>
      <c r="AD17" s="169"/>
      <c r="AE17" s="169"/>
      <c r="AF17" s="169"/>
      <c r="AG17" s="169"/>
      <c r="AH17" s="169"/>
      <c r="AI17" s="169"/>
      <c r="AJ17" s="169"/>
    </row>
    <row r="18" spans="1:36" ht="15.75" customHeight="1" outlineLevel="1">
      <c r="A18" s="169"/>
      <c r="B18" s="154" t="s">
        <v>21</v>
      </c>
      <c r="C18" s="175"/>
      <c r="D18" s="175"/>
      <c r="E18" s="175"/>
      <c r="F18" s="180">
        <f>Consolidation!E31</f>
        <v>-56.061</v>
      </c>
      <c r="G18" s="180">
        <f>Consolidation!F31</f>
        <v>-85.676000000000002</v>
      </c>
      <c r="H18" s="180">
        <f>Consolidation!G31</f>
        <v>-103.575</v>
      </c>
      <c r="I18" s="180">
        <f>Consolidation!H31</f>
        <v>-132.41200000000001</v>
      </c>
      <c r="J18" s="180">
        <f>Consolidation!I31</f>
        <v>-147.72900000000001</v>
      </c>
      <c r="K18" s="180">
        <f>Consolidation!J31</f>
        <v>-133.227</v>
      </c>
      <c r="L18" s="180">
        <f>Consolidation!K31</f>
        <v>-123</v>
      </c>
      <c r="M18" s="180">
        <f>Consolidation!L31</f>
        <v>-129.15</v>
      </c>
      <c r="N18" s="180">
        <f>Consolidation!M31</f>
        <v>-135.60750000000002</v>
      </c>
      <c r="O18" s="180">
        <f>Consolidation!N31</f>
        <v>-142.38787500000004</v>
      </c>
      <c r="P18" s="180">
        <f>Consolidation!O31</f>
        <v>-149.50726875000004</v>
      </c>
      <c r="Q18" s="180">
        <f>Consolidation!P31</f>
        <v>-156.98263218750006</v>
      </c>
      <c r="R18" s="180">
        <f>Consolidation!Q31</f>
        <v>-164.83176379687507</v>
      </c>
      <c r="S18" s="180">
        <f>Consolidation!R31</f>
        <v>-173.07335198671882</v>
      </c>
      <c r="T18" s="180">
        <f>Consolidation!S31</f>
        <v>-181.72701958605478</v>
      </c>
      <c r="U18" s="180">
        <f>Consolidation!T31</f>
        <v>-190.81337056535753</v>
      </c>
      <c r="V18" s="180">
        <f>Consolidation!U31</f>
        <v>-200.3540390936254</v>
      </c>
      <c r="W18" s="180"/>
      <c r="X18" s="180"/>
      <c r="Y18" s="169"/>
      <c r="Z18" s="169"/>
      <c r="AA18" s="181"/>
      <c r="AB18" s="169"/>
      <c r="AC18" s="169"/>
      <c r="AD18" s="169"/>
      <c r="AE18" s="169"/>
      <c r="AF18" s="169"/>
      <c r="AG18" s="169"/>
      <c r="AH18" s="169"/>
      <c r="AI18" s="169"/>
      <c r="AJ18" s="169"/>
    </row>
    <row r="19" spans="1:36" ht="15.75" outlineLevel="1">
      <c r="A19" s="169"/>
      <c r="B19" s="176" t="s">
        <v>14</v>
      </c>
      <c r="C19" s="182">
        <v>84.518000000000001</v>
      </c>
      <c r="D19" s="182">
        <v>146</v>
      </c>
      <c r="E19" s="182">
        <v>177.6</v>
      </c>
      <c r="F19" s="177">
        <f>SUM(F14:F18)</f>
        <v>668.61399999999992</v>
      </c>
      <c r="G19" s="177">
        <f t="shared" ref="G19:O19" si="3">SUM(G14:G18)</f>
        <v>819.01400000000001</v>
      </c>
      <c r="H19" s="177">
        <f t="shared" si="3"/>
        <v>926.39599999999996</v>
      </c>
      <c r="I19" s="177">
        <f t="shared" si="3"/>
        <v>1031.386</v>
      </c>
      <c r="J19" s="177">
        <f t="shared" si="3"/>
        <v>1132.5350000000001</v>
      </c>
      <c r="K19" s="177">
        <f t="shared" si="3"/>
        <v>928.35399999999993</v>
      </c>
      <c r="L19" s="177">
        <f t="shared" si="3"/>
        <v>998.65849699308114</v>
      </c>
      <c r="M19" s="177">
        <f t="shared" si="3"/>
        <v>1051.2963469177898</v>
      </c>
      <c r="N19" s="177">
        <f t="shared" si="3"/>
        <v>1136.8872381829219</v>
      </c>
      <c r="O19" s="177">
        <f t="shared" si="3"/>
        <v>1215.7125917450928</v>
      </c>
      <c r="P19" s="177">
        <f t="shared" ref="P19:V19" si="4">SUM(P14:P18)</f>
        <v>1299.9171313615789</v>
      </c>
      <c r="Q19" s="177">
        <f t="shared" si="4"/>
        <v>1387.4387083095012</v>
      </c>
      <c r="R19" s="177">
        <f t="shared" si="4"/>
        <v>1474.7790505029366</v>
      </c>
      <c r="S19" s="177">
        <f t="shared" si="4"/>
        <v>1564.7079206201638</v>
      </c>
      <c r="T19" s="177">
        <f t="shared" si="4"/>
        <v>1660.3990786374698</v>
      </c>
      <c r="U19" s="177">
        <f t="shared" si="4"/>
        <v>1762.1582617619658</v>
      </c>
      <c r="V19" s="177">
        <f t="shared" si="4"/>
        <v>1870.4763671005544</v>
      </c>
      <c r="W19" s="188"/>
      <c r="X19" s="188"/>
      <c r="Y19" s="170"/>
      <c r="Z19" s="169"/>
      <c r="AA19" s="169"/>
      <c r="AB19" s="169"/>
      <c r="AC19" s="169"/>
      <c r="AD19" s="169"/>
      <c r="AE19" s="169"/>
      <c r="AF19" s="169"/>
      <c r="AG19" s="169"/>
      <c r="AH19" s="169"/>
      <c r="AI19" s="169"/>
      <c r="AJ19" s="169"/>
    </row>
    <row r="20" spans="1:36" ht="15.75" outlineLevel="1">
      <c r="A20" s="169"/>
      <c r="B20" s="171" t="s">
        <v>13</v>
      </c>
      <c r="C20" s="178"/>
      <c r="D20" s="178">
        <f t="shared" ref="D20:V20" si="5">D19/C19-1</f>
        <v>0.7274426749331504</v>
      </c>
      <c r="E20" s="178">
        <f t="shared" si="5"/>
        <v>0.21643835616438345</v>
      </c>
      <c r="F20" s="178"/>
      <c r="G20" s="178">
        <f t="shared" si="5"/>
        <v>0.22494294166738982</v>
      </c>
      <c r="H20" s="178">
        <f t="shared" si="5"/>
        <v>0.13111131189454639</v>
      </c>
      <c r="I20" s="178">
        <f t="shared" si="5"/>
        <v>0.11333166378093162</v>
      </c>
      <c r="J20" s="178">
        <f t="shared" si="5"/>
        <v>9.8070945310485325E-2</v>
      </c>
      <c r="K20" s="178">
        <f t="shared" si="5"/>
        <v>-0.18028670195623109</v>
      </c>
      <c r="L20" s="178">
        <f t="shared" si="5"/>
        <v>7.5730267756783709E-2</v>
      </c>
      <c r="M20" s="178">
        <f t="shared" si="5"/>
        <v>5.270855861458057E-2</v>
      </c>
      <c r="N20" s="178">
        <f t="shared" si="5"/>
        <v>8.1414618738159916E-2</v>
      </c>
      <c r="O20" s="178">
        <f t="shared" si="5"/>
        <v>6.9334363967491486E-2</v>
      </c>
      <c r="P20" s="178">
        <f t="shared" si="5"/>
        <v>6.9263525103095969E-2</v>
      </c>
      <c r="Q20" s="178">
        <f t="shared" si="5"/>
        <v>6.7328581827557743E-2</v>
      </c>
      <c r="R20" s="178">
        <f t="shared" si="5"/>
        <v>6.2950775173235218E-2</v>
      </c>
      <c r="S20" s="178">
        <f t="shared" si="5"/>
        <v>6.0977859759100417E-2</v>
      </c>
      <c r="T20" s="178">
        <f t="shared" si="5"/>
        <v>6.1155923579257587E-2</v>
      </c>
      <c r="U20" s="178">
        <f t="shared" si="5"/>
        <v>6.1285979035835103E-2</v>
      </c>
      <c r="V20" s="178">
        <f t="shared" si="5"/>
        <v>6.1468999515561284E-2</v>
      </c>
      <c r="W20" s="178"/>
      <c r="X20" s="178"/>
      <c r="Y20" s="169"/>
      <c r="Z20" s="169"/>
      <c r="AA20" s="169"/>
      <c r="AB20" s="169"/>
      <c r="AC20" s="169"/>
      <c r="AD20" s="169"/>
      <c r="AE20" s="169"/>
      <c r="AF20" s="169"/>
      <c r="AG20" s="169"/>
      <c r="AH20" s="169"/>
      <c r="AI20" s="169"/>
      <c r="AJ20" s="169"/>
    </row>
    <row r="21" spans="1:36" ht="15.75" outlineLevel="1">
      <c r="A21" s="169"/>
      <c r="B21" s="171" t="s">
        <v>15</v>
      </c>
      <c r="C21" s="178"/>
      <c r="D21" s="178"/>
      <c r="E21" s="178">
        <f t="shared" ref="E21:O21" si="6">E19/E11</f>
        <v>0.20827958250263867</v>
      </c>
      <c r="F21" s="178">
        <f t="shared" si="6"/>
        <v>0.54312232749769296</v>
      </c>
      <c r="G21" s="178">
        <f t="shared" si="6"/>
        <v>0.58369335456163884</v>
      </c>
      <c r="H21" s="178">
        <f t="shared" si="6"/>
        <v>0.58642679445221657</v>
      </c>
      <c r="I21" s="178">
        <f t="shared" si="6"/>
        <v>0.52586882469220642</v>
      </c>
      <c r="J21" s="178">
        <f t="shared" si="6"/>
        <v>0.5328224981992804</v>
      </c>
      <c r="K21" s="178">
        <f t="shared" si="6"/>
        <v>0.54250843693845052</v>
      </c>
      <c r="L21" s="178">
        <f t="shared" si="6"/>
        <v>0.57883926369570449</v>
      </c>
      <c r="M21" s="178">
        <f t="shared" si="6"/>
        <v>0.58535110135068658</v>
      </c>
      <c r="N21" s="178">
        <f t="shared" si="6"/>
        <v>0.59253939183415827</v>
      </c>
      <c r="O21" s="178">
        <f t="shared" si="6"/>
        <v>0.59744674336604575</v>
      </c>
      <c r="P21" s="178">
        <f t="shared" ref="P21:V21" si="7">P19/P11</f>
        <v>0.60236579082360009</v>
      </c>
      <c r="Q21" s="178">
        <f t="shared" si="7"/>
        <v>0.60716757894871554</v>
      </c>
      <c r="R21" s="178">
        <f t="shared" si="7"/>
        <v>0.61171879122889616</v>
      </c>
      <c r="S21" s="178">
        <f t="shared" si="7"/>
        <v>0.61617542120822755</v>
      </c>
      <c r="T21" s="178">
        <f t="shared" si="7"/>
        <v>0.62066919957114974</v>
      </c>
      <c r="U21" s="178">
        <f t="shared" si="7"/>
        <v>0.62519920808353524</v>
      </c>
      <c r="V21" s="178">
        <f t="shared" si="7"/>
        <v>0.62976906784708031</v>
      </c>
      <c r="W21" s="178"/>
      <c r="X21" s="178"/>
      <c r="Y21" s="169"/>
      <c r="Z21" s="169"/>
      <c r="AA21" s="169"/>
      <c r="AB21" s="169"/>
      <c r="AC21" s="169"/>
      <c r="AD21" s="169"/>
      <c r="AE21" s="169"/>
      <c r="AF21" s="169"/>
      <c r="AG21" s="169"/>
      <c r="AH21" s="169"/>
      <c r="AI21" s="169"/>
      <c r="AJ21" s="169"/>
    </row>
    <row r="22" spans="1:36" ht="15.75" outlineLevel="1">
      <c r="A22" s="169"/>
      <c r="B22" s="169"/>
      <c r="C22" s="183"/>
      <c r="D22" s="183"/>
      <c r="E22" s="183"/>
      <c r="F22" s="183"/>
      <c r="G22" s="183"/>
      <c r="H22" s="183"/>
      <c r="I22" s="183"/>
      <c r="J22" s="183"/>
      <c r="K22" s="183"/>
      <c r="L22" s="183"/>
      <c r="M22" s="183"/>
      <c r="N22" s="183"/>
      <c r="O22" s="183"/>
      <c r="P22" s="183"/>
      <c r="Q22" s="183"/>
      <c r="R22" s="183"/>
      <c r="S22" s="183"/>
      <c r="T22" s="183"/>
      <c r="U22" s="183"/>
      <c r="V22" s="183"/>
      <c r="W22" s="183"/>
      <c r="X22" s="183"/>
      <c r="Y22" s="169"/>
      <c r="Z22" s="169"/>
      <c r="AA22" s="169"/>
      <c r="AB22" s="169"/>
      <c r="AC22" s="169"/>
      <c r="AD22" s="169"/>
      <c r="AE22" s="169"/>
      <c r="AF22" s="169"/>
      <c r="AG22" s="169"/>
      <c r="AH22" s="169"/>
      <c r="AI22" s="169"/>
      <c r="AJ22" s="169"/>
    </row>
    <row r="23" spans="1:36" ht="15.75" outlineLevel="1">
      <c r="A23" s="169"/>
      <c r="B23" s="154" t="s">
        <v>203</v>
      </c>
      <c r="C23" s="175"/>
      <c r="D23" s="175"/>
      <c r="E23" s="180"/>
      <c r="F23" s="180"/>
      <c r="G23" s="180">
        <f>Consolidation!F95</f>
        <v>168.035</v>
      </c>
      <c r="H23" s="180">
        <f>Consolidation!G95</f>
        <v>299.68299999999999</v>
      </c>
      <c r="I23" s="180">
        <f>Consolidation!H95</f>
        <v>404.62799999999999</v>
      </c>
      <c r="J23" s="180">
        <f>Consolidation!I95</f>
        <v>316.221</v>
      </c>
      <c r="K23" s="180">
        <f>Consolidation!J95</f>
        <v>90.912999999999997</v>
      </c>
      <c r="L23" s="180"/>
      <c r="M23" s="180"/>
      <c r="N23" s="180"/>
      <c r="O23" s="180"/>
      <c r="P23" s="180"/>
      <c r="Q23" s="180"/>
      <c r="R23" s="180"/>
      <c r="S23" s="180"/>
      <c r="T23" s="180"/>
      <c r="U23" s="180"/>
      <c r="V23" s="180"/>
      <c r="W23" s="180"/>
      <c r="X23" s="180"/>
      <c r="Y23" s="169"/>
      <c r="Z23" s="169"/>
      <c r="AA23" s="169"/>
      <c r="AB23" s="169"/>
      <c r="AC23" s="169"/>
      <c r="AD23" s="169"/>
      <c r="AE23" s="169"/>
      <c r="AF23" s="169"/>
      <c r="AG23" s="169"/>
      <c r="AH23" s="169"/>
      <c r="AI23" s="169"/>
      <c r="AJ23" s="169"/>
    </row>
    <row r="24" spans="1:36" ht="15.75" outlineLevel="1">
      <c r="A24" s="169"/>
      <c r="B24" s="154" t="s">
        <v>272</v>
      </c>
      <c r="C24" s="175"/>
      <c r="D24" s="175"/>
      <c r="E24" s="180"/>
      <c r="F24" s="180"/>
      <c r="G24" s="180">
        <f>Consolidation!F96</f>
        <v>43.45</v>
      </c>
      <c r="H24" s="180">
        <f>Consolidation!G96</f>
        <v>42.319000000000003</v>
      </c>
      <c r="I24" s="180">
        <f>Consolidation!H96</f>
        <v>97.75</v>
      </c>
      <c r="J24" s="180">
        <f>Consolidation!I96</f>
        <v>73.769000000000005</v>
      </c>
      <c r="K24" s="180">
        <f>Consolidation!J96</f>
        <v>38.15</v>
      </c>
      <c r="L24" s="180"/>
      <c r="M24" s="180"/>
      <c r="N24" s="180"/>
      <c r="O24" s="180"/>
      <c r="P24" s="180"/>
      <c r="Q24" s="180"/>
      <c r="R24" s="180"/>
      <c r="S24" s="180"/>
      <c r="T24" s="180"/>
      <c r="U24" s="180"/>
      <c r="V24" s="180"/>
      <c r="W24" s="180"/>
      <c r="X24" s="180"/>
      <c r="Y24" s="169"/>
      <c r="Z24" s="169"/>
      <c r="AA24" s="169"/>
      <c r="AB24" s="169"/>
      <c r="AC24" s="169"/>
      <c r="AD24" s="169"/>
      <c r="AE24" s="169"/>
      <c r="AF24" s="169"/>
      <c r="AG24" s="169"/>
      <c r="AH24" s="169"/>
      <c r="AI24" s="169"/>
      <c r="AJ24" s="169"/>
    </row>
    <row r="25" spans="1:36" ht="15.75" outlineLevel="1">
      <c r="A25" s="169"/>
      <c r="B25" s="154" t="s">
        <v>160</v>
      </c>
      <c r="C25" s="175"/>
      <c r="D25" s="175"/>
      <c r="E25" s="180"/>
      <c r="F25" s="180"/>
      <c r="G25" s="180">
        <f>Consolidation!F97</f>
        <v>14.022</v>
      </c>
      <c r="H25" s="180">
        <f>Consolidation!G97</f>
        <v>52.908000000000001</v>
      </c>
      <c r="I25" s="180">
        <f>Consolidation!H97</f>
        <v>121.158</v>
      </c>
      <c r="J25" s="180">
        <f>Consolidation!I97</f>
        <v>187.803</v>
      </c>
      <c r="K25" s="180">
        <f>Consolidation!J97</f>
        <v>123.145</v>
      </c>
      <c r="L25" s="180"/>
      <c r="M25" s="180"/>
      <c r="N25" s="180"/>
      <c r="O25" s="180"/>
      <c r="P25" s="180"/>
      <c r="Q25" s="180"/>
      <c r="R25" s="180"/>
      <c r="S25" s="180"/>
      <c r="T25" s="180"/>
      <c r="U25" s="180"/>
      <c r="V25" s="180"/>
      <c r="W25" s="180"/>
      <c r="X25" s="180"/>
      <c r="Y25" s="169"/>
      <c r="Z25" s="169"/>
      <c r="AA25" s="169"/>
      <c r="AB25" s="169"/>
      <c r="AC25" s="169"/>
      <c r="AD25" s="169"/>
      <c r="AE25" s="169"/>
      <c r="AF25" s="169"/>
      <c r="AG25" s="169"/>
      <c r="AH25" s="169"/>
      <c r="AI25" s="169"/>
      <c r="AJ25" s="169"/>
    </row>
    <row r="26" spans="1:36" ht="15.75" outlineLevel="1">
      <c r="A26" s="169"/>
      <c r="B26" s="154" t="s">
        <v>273</v>
      </c>
      <c r="C26" s="175"/>
      <c r="D26" s="175"/>
      <c r="E26" s="180"/>
      <c r="F26" s="180"/>
      <c r="G26" s="180">
        <f>Consolidation!F98</f>
        <v>0.89100000000000001</v>
      </c>
      <c r="H26" s="180">
        <f>Consolidation!G98</f>
        <v>5.9660000000000002</v>
      </c>
      <c r="I26" s="180">
        <f>Consolidation!H98</f>
        <v>6.9740000000000002</v>
      </c>
      <c r="J26" s="180">
        <f>Consolidation!I98</f>
        <v>5.8550000000000004</v>
      </c>
      <c r="K26" s="180">
        <f>Consolidation!J98</f>
        <v>1.375</v>
      </c>
      <c r="L26" s="180"/>
      <c r="M26" s="180"/>
      <c r="N26" s="180"/>
      <c r="O26" s="180"/>
      <c r="P26" s="180"/>
      <c r="Q26" s="180"/>
      <c r="R26" s="180"/>
      <c r="S26" s="180"/>
      <c r="T26" s="180"/>
      <c r="U26" s="180"/>
      <c r="V26" s="180"/>
      <c r="W26" s="180"/>
      <c r="X26" s="180"/>
      <c r="Y26" s="169"/>
      <c r="Z26" s="169"/>
      <c r="AA26" s="169"/>
      <c r="AB26" s="169"/>
      <c r="AC26" s="169"/>
      <c r="AD26" s="169"/>
      <c r="AE26" s="169"/>
      <c r="AF26" s="169"/>
      <c r="AG26" s="169"/>
      <c r="AH26" s="169"/>
      <c r="AI26" s="169"/>
      <c r="AJ26" s="169"/>
    </row>
    <row r="27" spans="1:36" ht="15.75" outlineLevel="1">
      <c r="A27" s="169"/>
      <c r="B27" s="154" t="s">
        <v>21</v>
      </c>
      <c r="C27" s="175"/>
      <c r="D27" s="175"/>
      <c r="E27" s="180"/>
      <c r="F27" s="180"/>
      <c r="G27" s="180">
        <f>Consolidation!F99</f>
        <v>2.8010000000000002</v>
      </c>
      <c r="H27" s="180">
        <f>Consolidation!G99</f>
        <v>1.6</v>
      </c>
      <c r="I27" s="180">
        <f>Consolidation!H99</f>
        <v>2.96</v>
      </c>
      <c r="J27" s="180">
        <f>Consolidation!I99</f>
        <v>2.399</v>
      </c>
      <c r="K27" s="180">
        <f>Consolidation!J99</f>
        <v>2.2930000000000001</v>
      </c>
      <c r="L27" s="180"/>
      <c r="M27" s="180"/>
      <c r="N27" s="180"/>
      <c r="O27" s="180"/>
      <c r="P27" s="180"/>
      <c r="Q27" s="180"/>
      <c r="R27" s="180"/>
      <c r="S27" s="180"/>
      <c r="T27" s="180"/>
      <c r="U27" s="180"/>
      <c r="V27" s="180"/>
      <c r="W27" s="180"/>
      <c r="X27" s="180"/>
      <c r="Y27" s="169"/>
      <c r="Z27" s="169"/>
      <c r="AA27" s="169"/>
      <c r="AB27" s="169"/>
      <c r="AC27" s="169"/>
      <c r="AD27" s="169"/>
      <c r="AE27" s="169"/>
      <c r="AF27" s="169"/>
      <c r="AG27" s="169"/>
      <c r="AH27" s="169"/>
      <c r="AI27" s="169"/>
      <c r="AJ27" s="169"/>
    </row>
    <row r="28" spans="1:36" ht="15.75" outlineLevel="1">
      <c r="A28" s="169"/>
      <c r="B28" s="176" t="s">
        <v>669</v>
      </c>
      <c r="C28" s="177"/>
      <c r="D28" s="177">
        <f>Consolidation!C88</f>
        <v>251</v>
      </c>
      <c r="E28" s="177">
        <f>Consolidation!D88</f>
        <v>378</v>
      </c>
      <c r="F28" s="177">
        <f>Consolidation!E88</f>
        <v>259</v>
      </c>
      <c r="G28" s="177">
        <f>Consolidation!F88</f>
        <v>229</v>
      </c>
      <c r="H28" s="177">
        <f>Consolidation!G88</f>
        <v>402</v>
      </c>
      <c r="I28" s="177">
        <f>Consolidation!H88</f>
        <v>634</v>
      </c>
      <c r="J28" s="177">
        <f>Consolidation!I88</f>
        <v>586</v>
      </c>
      <c r="K28" s="177">
        <f>Consolidation!J88</f>
        <v>257</v>
      </c>
      <c r="L28" s="177">
        <f>Consolidation!K88</f>
        <v>258.79166107797295</v>
      </c>
      <c r="M28" s="177">
        <f>Consolidation!L88</f>
        <v>269.40147831582021</v>
      </c>
      <c r="N28" s="177">
        <f>Consolidation!M88</f>
        <v>278.20707248888192</v>
      </c>
      <c r="O28" s="177">
        <f>Consolidation!N88</f>
        <v>295.05278547486472</v>
      </c>
      <c r="P28" s="177">
        <f>Consolidation!O88</f>
        <v>302.12273200606688</v>
      </c>
      <c r="Q28" s="177">
        <f>Consolidation!P88</f>
        <v>319.91401698300626</v>
      </c>
      <c r="R28" s="177">
        <f>Consolidation!Q88</f>
        <v>325.468458174923</v>
      </c>
      <c r="S28" s="177">
        <f>Consolidation!R88</f>
        <v>342.81725952249258</v>
      </c>
      <c r="T28" s="177">
        <f>Consolidation!S88</f>
        <v>347.77282386819508</v>
      </c>
      <c r="U28" s="177">
        <f>Consolidation!T88</f>
        <v>366.41213083310117</v>
      </c>
      <c r="V28" s="177">
        <f>Consolidation!U88</f>
        <v>386.11284697475224</v>
      </c>
      <c r="W28" s="188"/>
      <c r="X28" s="188"/>
      <c r="Y28" s="169"/>
      <c r="Z28" s="169"/>
      <c r="AA28" s="169"/>
      <c r="AB28" s="169"/>
      <c r="AC28" s="169"/>
      <c r="AD28" s="169"/>
      <c r="AE28" s="169"/>
      <c r="AF28" s="169"/>
      <c r="AG28" s="169"/>
      <c r="AH28" s="169"/>
      <c r="AI28" s="169"/>
      <c r="AJ28" s="169"/>
    </row>
    <row r="29" spans="1:36" ht="15.75" outlineLevel="1">
      <c r="A29" s="169"/>
      <c r="B29" s="171" t="s">
        <v>13</v>
      </c>
      <c r="C29" s="178"/>
      <c r="D29" s="178"/>
      <c r="E29" s="178"/>
      <c r="F29" s="178"/>
      <c r="G29" s="178"/>
      <c r="H29" s="178">
        <f t="shared" ref="H29:V29" si="8">H28/G28-1</f>
        <v>0.75545851528384289</v>
      </c>
      <c r="I29" s="178">
        <f t="shared" si="8"/>
        <v>0.57711442786069655</v>
      </c>
      <c r="J29" s="178">
        <f t="shared" si="8"/>
        <v>-7.5709779179810699E-2</v>
      </c>
      <c r="K29" s="178">
        <f t="shared" si="8"/>
        <v>-0.56143344709897613</v>
      </c>
      <c r="L29" s="178">
        <f t="shared" si="8"/>
        <v>6.9714438831631753E-3</v>
      </c>
      <c r="M29" s="178">
        <f t="shared" si="8"/>
        <v>4.0997523620556642E-2</v>
      </c>
      <c r="N29" s="178">
        <f t="shared" si="8"/>
        <v>3.2685767829153889E-2</v>
      </c>
      <c r="O29" s="178">
        <f t="shared" si="8"/>
        <v>6.0550987562172809E-2</v>
      </c>
      <c r="P29" s="178">
        <f t="shared" si="8"/>
        <v>2.3961632898410468E-2</v>
      </c>
      <c r="Q29" s="178">
        <f t="shared" si="8"/>
        <v>5.8887607889704041E-2</v>
      </c>
      <c r="R29" s="178">
        <f t="shared" si="8"/>
        <v>1.7362293919780836E-2</v>
      </c>
      <c r="S29" s="178">
        <f t="shared" si="8"/>
        <v>5.3304094181210848E-2</v>
      </c>
      <c r="T29" s="178">
        <f t="shared" si="8"/>
        <v>1.4455410887436182E-2</v>
      </c>
      <c r="U29" s="178">
        <f t="shared" si="8"/>
        <v>5.3596214786381102E-2</v>
      </c>
      <c r="V29" s="178">
        <f t="shared" si="8"/>
        <v>5.3766549968905508E-2</v>
      </c>
      <c r="W29" s="178"/>
      <c r="X29" s="178"/>
      <c r="Y29" s="169"/>
      <c r="Z29" s="169"/>
      <c r="AA29" s="169"/>
      <c r="AB29" s="169"/>
      <c r="AC29" s="169"/>
      <c r="AD29" s="169"/>
      <c r="AE29" s="169"/>
      <c r="AF29" s="169"/>
      <c r="AG29" s="169"/>
      <c r="AH29" s="169"/>
      <c r="AI29" s="169"/>
      <c r="AJ29" s="169"/>
    </row>
    <row r="30" spans="1:36" ht="15.75" outlineLevel="1">
      <c r="A30" s="169"/>
      <c r="B30" s="171" t="s">
        <v>664</v>
      </c>
      <c r="C30" s="178"/>
      <c r="D30" s="178"/>
      <c r="E30" s="178"/>
      <c r="F30" s="178"/>
      <c r="G30" s="178">
        <f t="shared" ref="G30:Q30" si="9">G28/G11</f>
        <v>0.16320328858189884</v>
      </c>
      <c r="H30" s="178">
        <f t="shared" si="9"/>
        <v>0.2544738657871915</v>
      </c>
      <c r="I30" s="178">
        <f t="shared" si="9"/>
        <v>0.32325514875600303</v>
      </c>
      <c r="J30" s="178">
        <f t="shared" si="9"/>
        <v>0.27569477671310666</v>
      </c>
      <c r="K30" s="178">
        <f t="shared" si="9"/>
        <v>0.15018480912796389</v>
      </c>
      <c r="L30" s="178">
        <f t="shared" si="9"/>
        <v>0.14999999999999997</v>
      </c>
      <c r="M30" s="178">
        <f t="shared" si="9"/>
        <v>0.15</v>
      </c>
      <c r="N30" s="178">
        <f t="shared" si="9"/>
        <v>0.14499999999999999</v>
      </c>
      <c r="O30" s="178">
        <f t="shared" si="9"/>
        <v>0.14499999999999999</v>
      </c>
      <c r="P30" s="178">
        <f t="shared" si="9"/>
        <v>0.14000000000000001</v>
      </c>
      <c r="Q30" s="178">
        <f t="shared" si="9"/>
        <v>0.14000000000000001</v>
      </c>
      <c r="R30" s="178">
        <f t="shared" ref="R30:V30" si="10">R28/R11</f>
        <v>0.13500000000000001</v>
      </c>
      <c r="S30" s="178">
        <f t="shared" si="10"/>
        <v>0.13500000000000001</v>
      </c>
      <c r="T30" s="178">
        <f t="shared" si="10"/>
        <v>0.13</v>
      </c>
      <c r="U30" s="178">
        <f t="shared" si="10"/>
        <v>0.13</v>
      </c>
      <c r="V30" s="178">
        <f t="shared" si="10"/>
        <v>0.13</v>
      </c>
      <c r="W30" s="178"/>
      <c r="X30" s="178"/>
      <c r="Y30" s="169"/>
      <c r="Z30" s="169"/>
      <c r="AA30" s="169"/>
      <c r="AB30" s="169"/>
      <c r="AC30" s="169"/>
      <c r="AD30" s="169"/>
      <c r="AE30" s="169"/>
      <c r="AF30" s="169"/>
      <c r="AG30" s="169"/>
      <c r="AH30" s="169"/>
      <c r="AI30" s="169"/>
      <c r="AJ30" s="169"/>
    </row>
    <row r="31" spans="1:36" ht="15.75" outlineLevel="1">
      <c r="A31" s="169"/>
      <c r="B31" s="169"/>
      <c r="C31" s="183"/>
      <c r="D31" s="183"/>
      <c r="E31" s="183"/>
      <c r="F31" s="183"/>
      <c r="G31" s="183"/>
      <c r="H31" s="183"/>
      <c r="I31" s="183"/>
      <c r="J31" s="183"/>
      <c r="K31" s="183"/>
      <c r="L31" s="183"/>
      <c r="M31" s="183"/>
      <c r="N31" s="183"/>
      <c r="O31" s="183"/>
      <c r="P31" s="183"/>
      <c r="Q31" s="183"/>
      <c r="R31" s="183"/>
      <c r="S31" s="183"/>
      <c r="T31" s="183"/>
      <c r="U31" s="183"/>
      <c r="V31" s="183"/>
      <c r="W31" s="183"/>
      <c r="X31" s="183"/>
      <c r="Y31" s="169"/>
      <c r="Z31" s="169"/>
      <c r="AA31" s="169"/>
      <c r="AB31" s="169"/>
      <c r="AC31" s="169"/>
      <c r="AD31" s="169"/>
      <c r="AE31" s="169"/>
      <c r="AF31" s="169"/>
      <c r="AG31" s="169"/>
      <c r="AH31" s="169"/>
      <c r="AI31" s="169"/>
      <c r="AJ31" s="169"/>
    </row>
    <row r="32" spans="1:36" ht="15.75" outlineLevel="1">
      <c r="A32" s="169"/>
      <c r="B32" s="173" t="s">
        <v>17</v>
      </c>
      <c r="C32" s="184"/>
      <c r="D32" s="184"/>
      <c r="E32" s="184"/>
      <c r="F32" s="184">
        <f t="shared" ref="F32:Q32" si="11">F19-F28</f>
        <v>409.61399999999992</v>
      </c>
      <c r="G32" s="184">
        <f t="shared" si="11"/>
        <v>590.01400000000001</v>
      </c>
      <c r="H32" s="184">
        <f t="shared" si="11"/>
        <v>524.39599999999996</v>
      </c>
      <c r="I32" s="184">
        <f t="shared" si="11"/>
        <v>397.38599999999997</v>
      </c>
      <c r="J32" s="184">
        <f t="shared" si="11"/>
        <v>546.53500000000008</v>
      </c>
      <c r="K32" s="184">
        <f t="shared" si="11"/>
        <v>671.35399999999993</v>
      </c>
      <c r="L32" s="184">
        <f t="shared" si="11"/>
        <v>739.86683591510814</v>
      </c>
      <c r="M32" s="184">
        <f t="shared" si="11"/>
        <v>781.89486860196962</v>
      </c>
      <c r="N32" s="184">
        <f t="shared" si="11"/>
        <v>858.68016569403994</v>
      </c>
      <c r="O32" s="184">
        <f t="shared" si="11"/>
        <v>920.65980627022805</v>
      </c>
      <c r="P32" s="184">
        <f t="shared" si="11"/>
        <v>997.79439935551204</v>
      </c>
      <c r="Q32" s="184">
        <f t="shared" si="11"/>
        <v>1067.524691326495</v>
      </c>
      <c r="R32" s="184">
        <f t="shared" ref="R32:V32" si="12">R19-R28</f>
        <v>1149.3105923280136</v>
      </c>
      <c r="S32" s="184">
        <f t="shared" si="12"/>
        <v>1221.8906610976712</v>
      </c>
      <c r="T32" s="184">
        <f t="shared" si="12"/>
        <v>1312.6262547692747</v>
      </c>
      <c r="U32" s="184">
        <f t="shared" si="12"/>
        <v>1395.7461309288647</v>
      </c>
      <c r="V32" s="184">
        <f t="shared" si="12"/>
        <v>1484.3635201258021</v>
      </c>
      <c r="W32" s="184"/>
      <c r="X32" s="184"/>
      <c r="Y32" s="169"/>
      <c r="Z32" s="169"/>
      <c r="AA32" s="169"/>
      <c r="AB32" s="169"/>
      <c r="AC32" s="169"/>
      <c r="AD32" s="169"/>
      <c r="AE32" s="169"/>
      <c r="AF32" s="169"/>
      <c r="AG32" s="169"/>
      <c r="AH32" s="169"/>
      <c r="AI32" s="169"/>
      <c r="AJ32" s="169"/>
    </row>
    <row r="33" spans="1:36" ht="15.75" outlineLevel="1">
      <c r="A33" s="169"/>
      <c r="B33" s="171" t="s">
        <v>13</v>
      </c>
      <c r="C33" s="185"/>
      <c r="D33" s="185"/>
      <c r="E33" s="185"/>
      <c r="F33" s="185"/>
      <c r="G33" s="185">
        <f t="shared" ref="G33:V33" si="13">G32/F32-1</f>
        <v>0.4404146342654307</v>
      </c>
      <c r="H33" s="185">
        <f t="shared" si="13"/>
        <v>-0.11121431016891137</v>
      </c>
      <c r="I33" s="185">
        <f t="shared" si="13"/>
        <v>-0.24220245768465054</v>
      </c>
      <c r="J33" s="185">
        <f t="shared" si="13"/>
        <v>0.37532525051209698</v>
      </c>
      <c r="K33" s="185">
        <f t="shared" si="13"/>
        <v>0.22838244577199962</v>
      </c>
      <c r="L33" s="185">
        <f t="shared" si="13"/>
        <v>0.10205172817188579</v>
      </c>
      <c r="M33" s="185">
        <f t="shared" si="13"/>
        <v>5.6804860884025032E-2</v>
      </c>
      <c r="N33" s="185">
        <f t="shared" si="13"/>
        <v>9.8204119473712215E-2</v>
      </c>
      <c r="O33" s="185">
        <f t="shared" si="13"/>
        <v>7.2180123697269893E-2</v>
      </c>
      <c r="P33" s="185">
        <f t="shared" si="13"/>
        <v>8.378186226872586E-2</v>
      </c>
      <c r="Q33" s="185">
        <f t="shared" si="13"/>
        <v>6.9884429112873958E-2</v>
      </c>
      <c r="R33" s="185">
        <f t="shared" si="13"/>
        <v>7.6612655113290407E-2</v>
      </c>
      <c r="S33" s="185">
        <f t="shared" si="13"/>
        <v>6.315096132773057E-2</v>
      </c>
      <c r="T33" s="185">
        <f t="shared" si="13"/>
        <v>7.4258357609585435E-2</v>
      </c>
      <c r="U33" s="185">
        <f t="shared" si="13"/>
        <v>6.3323338122777573E-2</v>
      </c>
      <c r="V33" s="185">
        <f t="shared" si="13"/>
        <v>6.3491051297389411E-2</v>
      </c>
      <c r="W33" s="185"/>
      <c r="X33" s="185"/>
      <c r="Y33" s="169"/>
      <c r="Z33" s="169"/>
      <c r="AA33" s="169"/>
      <c r="AB33" s="169"/>
      <c r="AC33" s="169"/>
      <c r="AD33" s="169"/>
      <c r="AE33" s="169"/>
      <c r="AF33" s="169"/>
      <c r="AG33" s="169"/>
      <c r="AH33" s="169"/>
      <c r="AI33" s="169"/>
      <c r="AJ33" s="169"/>
    </row>
    <row r="34" spans="1:36" ht="15.75" outlineLevel="1">
      <c r="A34" s="169"/>
      <c r="B34" s="171" t="s">
        <v>18</v>
      </c>
      <c r="C34" s="178"/>
      <c r="D34" s="178"/>
      <c r="E34" s="178"/>
      <c r="F34" s="178">
        <f t="shared" ref="F34:Q34" si="14">F32/F11</f>
        <v>0.33273384801341283</v>
      </c>
      <c r="G34" s="178">
        <f t="shared" si="14"/>
        <v>0.42049006597974004</v>
      </c>
      <c r="H34" s="178">
        <f t="shared" si="14"/>
        <v>0.33195292866502507</v>
      </c>
      <c r="I34" s="178">
        <f t="shared" si="14"/>
        <v>0.20261367593620347</v>
      </c>
      <c r="J34" s="178">
        <f t="shared" si="14"/>
        <v>0.25712772148617369</v>
      </c>
      <c r="K34" s="178">
        <f t="shared" si="14"/>
        <v>0.39232362781048663</v>
      </c>
      <c r="L34" s="178">
        <f t="shared" si="14"/>
        <v>0.42883926369570441</v>
      </c>
      <c r="M34" s="178">
        <f t="shared" si="14"/>
        <v>0.43535110135068655</v>
      </c>
      <c r="N34" s="178">
        <f t="shared" si="14"/>
        <v>0.4475393918341582</v>
      </c>
      <c r="O34" s="178">
        <f t="shared" si="14"/>
        <v>0.45244674336604573</v>
      </c>
      <c r="P34" s="178">
        <f t="shared" si="14"/>
        <v>0.46236579082360008</v>
      </c>
      <c r="Q34" s="178">
        <f t="shared" si="14"/>
        <v>0.46716757894871563</v>
      </c>
      <c r="R34" s="178">
        <f t="shared" ref="R34:V34" si="15">R32/R11</f>
        <v>0.47671879122889615</v>
      </c>
      <c r="S34" s="178">
        <f t="shared" si="15"/>
        <v>0.48117542120822754</v>
      </c>
      <c r="T34" s="178">
        <f t="shared" si="15"/>
        <v>0.49066919957114974</v>
      </c>
      <c r="U34" s="178">
        <f t="shared" si="15"/>
        <v>0.49519920808353524</v>
      </c>
      <c r="V34" s="178">
        <f t="shared" si="15"/>
        <v>0.49976906784708025</v>
      </c>
      <c r="W34" s="178"/>
      <c r="X34" s="178"/>
      <c r="Y34" s="169"/>
      <c r="Z34" s="169"/>
      <c r="AA34" s="169"/>
      <c r="AB34" s="169"/>
      <c r="AC34" s="169"/>
      <c r="AD34" s="169"/>
      <c r="AE34" s="169"/>
      <c r="AF34" s="169"/>
      <c r="AG34" s="169"/>
      <c r="AH34" s="169"/>
      <c r="AI34" s="169"/>
      <c r="AJ34" s="169"/>
    </row>
    <row r="35" spans="1:36" ht="15.75" outlineLevel="1">
      <c r="A35" s="169"/>
      <c r="B35" s="169"/>
      <c r="C35" s="183"/>
      <c r="D35" s="183"/>
      <c r="E35" s="183"/>
      <c r="F35" s="183"/>
      <c r="G35" s="183"/>
      <c r="H35" s="183"/>
      <c r="I35" s="183"/>
      <c r="J35" s="183"/>
      <c r="K35" s="183"/>
      <c r="L35" s="183"/>
      <c r="M35" s="183"/>
      <c r="N35" s="183"/>
      <c r="O35" s="183"/>
      <c r="P35" s="183"/>
      <c r="Q35" s="183"/>
      <c r="R35" s="183"/>
      <c r="S35" s="183"/>
      <c r="T35" s="183"/>
      <c r="U35" s="183"/>
      <c r="V35" s="183"/>
      <c r="W35" s="183"/>
      <c r="X35" s="183"/>
      <c r="Y35" s="169"/>
      <c r="Z35" s="169"/>
      <c r="AA35" s="169"/>
      <c r="AB35" s="169"/>
      <c r="AC35" s="169"/>
      <c r="AD35" s="169"/>
      <c r="AE35" s="169"/>
      <c r="AF35" s="169"/>
      <c r="AG35" s="169"/>
      <c r="AH35" s="169"/>
      <c r="AI35" s="169"/>
      <c r="AJ35" s="169"/>
    </row>
    <row r="36" spans="1:36" ht="15.75" outlineLevel="1">
      <c r="A36" s="169"/>
      <c r="B36" s="169"/>
      <c r="C36" s="183"/>
      <c r="D36" s="183"/>
      <c r="E36" s="183"/>
      <c r="F36" s="183"/>
      <c r="G36" s="183"/>
      <c r="H36" s="183"/>
      <c r="I36" s="183"/>
      <c r="J36" s="183"/>
      <c r="K36" s="183"/>
      <c r="L36" s="183"/>
      <c r="M36" s="183"/>
      <c r="N36" s="183"/>
      <c r="O36" s="183"/>
      <c r="P36" s="183"/>
      <c r="Q36" s="183"/>
      <c r="R36" s="183"/>
      <c r="S36" s="183"/>
      <c r="T36" s="183"/>
      <c r="U36" s="183"/>
      <c r="V36" s="183"/>
      <c r="W36" s="183"/>
      <c r="X36" s="183"/>
      <c r="Y36" s="169"/>
      <c r="Z36" s="169"/>
      <c r="AA36" s="169"/>
      <c r="AB36" s="169"/>
      <c r="AC36" s="169"/>
      <c r="AD36" s="169"/>
      <c r="AE36" s="169"/>
      <c r="AF36" s="169"/>
      <c r="AG36" s="169"/>
      <c r="AH36" s="169"/>
      <c r="AI36" s="169"/>
      <c r="AJ36" s="169"/>
    </row>
    <row r="37" spans="1:36" ht="15.75">
      <c r="A37" s="169"/>
      <c r="B37" s="169"/>
      <c r="C37" s="183"/>
      <c r="D37" s="183"/>
      <c r="E37" s="183"/>
      <c r="F37" s="183"/>
      <c r="G37" s="183"/>
      <c r="H37" s="183"/>
      <c r="I37" s="183"/>
      <c r="J37" s="183"/>
      <c r="K37" s="183"/>
      <c r="L37" s="183"/>
      <c r="M37" s="183"/>
      <c r="N37" s="183"/>
      <c r="O37" s="183"/>
      <c r="P37" s="183"/>
      <c r="Q37" s="183"/>
      <c r="R37" s="183"/>
      <c r="S37" s="183"/>
      <c r="T37" s="183"/>
      <c r="U37" s="183"/>
      <c r="V37" s="183"/>
      <c r="W37" s="183"/>
      <c r="X37" s="183"/>
      <c r="Y37" s="169"/>
      <c r="Z37" s="169"/>
      <c r="AA37" s="169"/>
      <c r="AB37" s="169"/>
      <c r="AC37" s="169"/>
      <c r="AD37" s="169"/>
      <c r="AE37" s="169"/>
      <c r="AF37" s="169"/>
      <c r="AG37" s="169"/>
      <c r="AH37" s="169"/>
      <c r="AI37" s="169"/>
      <c r="AJ37" s="169"/>
    </row>
    <row r="38" spans="1:36" ht="23.25" customHeight="1">
      <c r="A38" s="169"/>
      <c r="B38" s="284" t="s">
        <v>673</v>
      </c>
      <c r="C38" s="285"/>
      <c r="D38" s="285"/>
      <c r="E38" s="285"/>
      <c r="F38" s="285"/>
      <c r="G38" s="285"/>
      <c r="H38" s="285"/>
      <c r="I38" s="285"/>
      <c r="J38" s="285"/>
      <c r="K38" s="285"/>
      <c r="L38" s="285"/>
      <c r="M38" s="285"/>
      <c r="N38" s="285"/>
      <c r="O38" s="285"/>
      <c r="P38" s="285"/>
      <c r="Q38" s="285"/>
      <c r="R38" s="285"/>
      <c r="S38" s="285"/>
      <c r="T38" s="285"/>
      <c r="U38" s="285"/>
      <c r="V38" s="285"/>
      <c r="W38" s="190"/>
      <c r="X38" s="190"/>
      <c r="Y38" s="169"/>
      <c r="Z38" s="169"/>
      <c r="AA38" s="169"/>
      <c r="AB38" s="169"/>
      <c r="AC38" s="169"/>
      <c r="AD38" s="169"/>
      <c r="AE38" s="169"/>
      <c r="AF38" s="169"/>
      <c r="AG38" s="169"/>
      <c r="AH38" s="169"/>
      <c r="AI38" s="169"/>
      <c r="AJ38" s="169"/>
    </row>
    <row r="39" spans="1:36" ht="15.75">
      <c r="A39" s="169"/>
      <c r="B39" s="169"/>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row>
    <row r="40" spans="1:36" s="9" customFormat="1" ht="15.75">
      <c r="A40" s="171"/>
      <c r="B40" s="186" t="s">
        <v>867</v>
      </c>
      <c r="C40" s="187">
        <f>C2</f>
        <v>2016</v>
      </c>
      <c r="D40" s="187">
        <f t="shared" ref="D40:Q40" si="16">D2</f>
        <v>2017</v>
      </c>
      <c r="E40" s="187">
        <f t="shared" si="16"/>
        <v>2018</v>
      </c>
      <c r="F40" s="187">
        <f t="shared" si="16"/>
        <v>2019</v>
      </c>
      <c r="G40" s="187">
        <f t="shared" si="16"/>
        <v>2020</v>
      </c>
      <c r="H40" s="187">
        <f t="shared" si="16"/>
        <v>2021</v>
      </c>
      <c r="I40" s="187">
        <f t="shared" si="16"/>
        <v>2022</v>
      </c>
      <c r="J40" s="187">
        <f t="shared" si="16"/>
        <v>2023</v>
      </c>
      <c r="K40" s="187">
        <f t="shared" si="16"/>
        <v>2024</v>
      </c>
      <c r="L40" s="187" t="str">
        <f t="shared" si="16"/>
        <v>2025E</v>
      </c>
      <c r="M40" s="187" t="str">
        <f t="shared" si="16"/>
        <v>2026E</v>
      </c>
      <c r="N40" s="187" t="str">
        <f t="shared" si="16"/>
        <v>2027E</v>
      </c>
      <c r="O40" s="187" t="str">
        <f t="shared" si="16"/>
        <v>2028E</v>
      </c>
      <c r="P40" s="187" t="str">
        <f t="shared" si="16"/>
        <v>2029E</v>
      </c>
      <c r="Q40" s="187" t="str">
        <f t="shared" si="16"/>
        <v>2030E</v>
      </c>
      <c r="R40" s="187" t="str">
        <f t="shared" ref="R40:V40" si="17">R2</f>
        <v>2031E</v>
      </c>
      <c r="S40" s="187" t="str">
        <f t="shared" si="17"/>
        <v>2032E</v>
      </c>
      <c r="T40" s="187" t="str">
        <f t="shared" si="17"/>
        <v>2033E</v>
      </c>
      <c r="U40" s="187" t="str">
        <f t="shared" si="17"/>
        <v>2034E</v>
      </c>
      <c r="V40" s="187" t="str">
        <f t="shared" si="17"/>
        <v>2035E</v>
      </c>
      <c r="W40" s="174"/>
      <c r="X40" s="174"/>
      <c r="Y40" s="171"/>
      <c r="Z40" s="171"/>
      <c r="AA40" s="171"/>
      <c r="AB40" s="171"/>
      <c r="AC40" s="171"/>
      <c r="AD40" s="171"/>
      <c r="AE40" s="171"/>
      <c r="AF40" s="171"/>
      <c r="AG40" s="171"/>
      <c r="AH40" s="171"/>
      <c r="AI40" s="171"/>
      <c r="AJ40" s="171"/>
    </row>
    <row r="41" spans="1:36" ht="15.75">
      <c r="A41" s="169"/>
      <c r="B41" s="171" t="s">
        <v>170</v>
      </c>
      <c r="C41" s="1002">
        <f t="shared" ref="C41:E41" si="18">C11</f>
        <v>652</v>
      </c>
      <c r="D41" s="1002">
        <f t="shared" si="18"/>
        <v>821</v>
      </c>
      <c r="E41" s="1002">
        <f t="shared" si="18"/>
        <v>852.7</v>
      </c>
      <c r="F41" s="1002">
        <f>Consolidation!E10</f>
        <v>1231.056</v>
      </c>
      <c r="G41" s="1002">
        <f>Consolidation!F10</f>
        <v>1403.1579999999999</v>
      </c>
      <c r="H41" s="1002">
        <f>Consolidation!G10</f>
        <v>1579.7299999999998</v>
      </c>
      <c r="I41" s="1002">
        <f>Consolidation!H10</f>
        <v>1961.2990000000002</v>
      </c>
      <c r="J41" s="1002">
        <f>Consolidation!I10</f>
        <v>2125.5389999999998</v>
      </c>
      <c r="K41" s="1002">
        <f>Consolidation!J10</f>
        <v>1711.2249999999999</v>
      </c>
      <c r="L41" s="1002">
        <f>Consolidation!K10</f>
        <v>1725.2777405198199</v>
      </c>
      <c r="M41" s="1002">
        <f>Consolidation!L10</f>
        <v>1796.0098554388017</v>
      </c>
      <c r="N41" s="1002">
        <f>Consolidation!M10</f>
        <v>1918.6694654405651</v>
      </c>
      <c r="O41" s="1002">
        <f>Consolidation!N10</f>
        <v>2034.8467963783773</v>
      </c>
      <c r="P41" s="1002">
        <f>Consolidation!O10</f>
        <v>2158.0195143290489</v>
      </c>
      <c r="Q41" s="1002">
        <f>Consolidation!P10</f>
        <v>2285.1001213071872</v>
      </c>
      <c r="R41" s="1002">
        <f>Consolidation!Q10</f>
        <v>2410.8774679623925</v>
      </c>
      <c r="S41" s="1002">
        <f>Consolidation!R10</f>
        <v>2539.387107574019</v>
      </c>
      <c r="T41" s="1002">
        <f>Consolidation!S10</f>
        <v>2675.175568216885</v>
      </c>
      <c r="U41" s="1002">
        <f>Consolidation!T10</f>
        <v>2818.5548525623167</v>
      </c>
      <c r="V41" s="1002">
        <f>Consolidation!U10</f>
        <v>2970.0988228827096</v>
      </c>
      <c r="W41" s="234"/>
      <c r="X41" s="234"/>
      <c r="Y41" s="173"/>
      <c r="Z41" s="173"/>
      <c r="AA41" s="173"/>
      <c r="AB41" s="173"/>
      <c r="AC41" s="173"/>
      <c r="AD41" s="169"/>
      <c r="AE41" s="169"/>
      <c r="AF41" s="169"/>
      <c r="AG41" s="169"/>
      <c r="AH41" s="169"/>
      <c r="AI41" s="169"/>
      <c r="AJ41" s="169"/>
    </row>
    <row r="42" spans="1:36" ht="15.75">
      <c r="A42" s="169"/>
      <c r="B42" s="171" t="s">
        <v>310</v>
      </c>
      <c r="C42" s="1003">
        <f t="shared" ref="C42:J42" si="19">C41-C43</f>
        <v>567.48199999999997</v>
      </c>
      <c r="D42" s="1003">
        <f t="shared" si="19"/>
        <v>675</v>
      </c>
      <c r="E42" s="1003">
        <f t="shared" si="19"/>
        <v>675.1</v>
      </c>
      <c r="F42" s="1003">
        <f t="shared" si="19"/>
        <v>562.44200000000012</v>
      </c>
      <c r="G42" s="1003">
        <f t="shared" si="19"/>
        <v>584.14399999999989</v>
      </c>
      <c r="H42" s="1003">
        <f t="shared" si="19"/>
        <v>653.33399999999983</v>
      </c>
      <c r="I42" s="1003">
        <f t="shared" si="19"/>
        <v>929.91300000000024</v>
      </c>
      <c r="J42" s="1003">
        <f t="shared" si="19"/>
        <v>993.00399999999968</v>
      </c>
      <c r="K42" s="1003">
        <f>K41-K43</f>
        <v>782.87099999999998</v>
      </c>
      <c r="L42" s="1003">
        <f t="shared" ref="L42:Q42" si="20">L41-L43</f>
        <v>726.61924352673873</v>
      </c>
      <c r="M42" s="1003">
        <f t="shared" si="20"/>
        <v>744.71350852101182</v>
      </c>
      <c r="N42" s="1003">
        <f t="shared" si="20"/>
        <v>781.78222725764317</v>
      </c>
      <c r="O42" s="1003">
        <f t="shared" si="20"/>
        <v>819.13420463328453</v>
      </c>
      <c r="P42" s="1003">
        <f t="shared" si="20"/>
        <v>858.10238296747002</v>
      </c>
      <c r="Q42" s="1003">
        <f t="shared" si="20"/>
        <v>897.66141299768606</v>
      </c>
      <c r="R42" s="1003">
        <f t="shared" ref="R42:V42" si="21">R41-R43</f>
        <v>936.09841745945596</v>
      </c>
      <c r="S42" s="1003">
        <f t="shared" si="21"/>
        <v>974.67918695385515</v>
      </c>
      <c r="T42" s="1003">
        <f t="shared" si="21"/>
        <v>1014.7764895794153</v>
      </c>
      <c r="U42" s="1003">
        <f t="shared" si="21"/>
        <v>1056.3965908003509</v>
      </c>
      <c r="V42" s="1003">
        <f t="shared" si="21"/>
        <v>1099.6224557821552</v>
      </c>
      <c r="W42" s="171"/>
      <c r="X42" s="171"/>
      <c r="Y42" s="171"/>
      <c r="Z42" s="171"/>
      <c r="AA42" s="171"/>
      <c r="AB42" s="171"/>
      <c r="AC42" s="189"/>
      <c r="AD42" s="169"/>
      <c r="AE42" s="169"/>
      <c r="AF42" s="169"/>
      <c r="AG42" s="169"/>
      <c r="AH42" s="169"/>
      <c r="AI42" s="169"/>
      <c r="AJ42" s="169"/>
    </row>
    <row r="43" spans="1:36" ht="15.75">
      <c r="A43" s="169"/>
      <c r="B43" s="171" t="s">
        <v>10</v>
      </c>
      <c r="C43" s="1002">
        <f>C19</f>
        <v>84.518000000000001</v>
      </c>
      <c r="D43" s="1002">
        <f>D19</f>
        <v>146</v>
      </c>
      <c r="E43" s="1002">
        <f>E19</f>
        <v>177.6</v>
      </c>
      <c r="F43" s="1002">
        <f>Consolidation!E32</f>
        <v>668.61399999999992</v>
      </c>
      <c r="G43" s="1002">
        <f>Consolidation!F32</f>
        <v>819.01400000000001</v>
      </c>
      <c r="H43" s="1002">
        <f>Consolidation!G32</f>
        <v>926.39599999999996</v>
      </c>
      <c r="I43" s="1002">
        <f>Consolidation!H32</f>
        <v>1031.386</v>
      </c>
      <c r="J43" s="1002">
        <f>Consolidation!I32</f>
        <v>1132.5350000000001</v>
      </c>
      <c r="K43" s="1002">
        <f>Consolidation!J32</f>
        <v>928.35399999999993</v>
      </c>
      <c r="L43" s="1002">
        <f>Consolidation!K32</f>
        <v>998.65849699308114</v>
      </c>
      <c r="M43" s="1002">
        <f>Consolidation!L32</f>
        <v>1051.2963469177898</v>
      </c>
      <c r="N43" s="1002">
        <f>Consolidation!M32</f>
        <v>1136.8872381829219</v>
      </c>
      <c r="O43" s="1002">
        <f>Consolidation!N32</f>
        <v>1215.7125917450928</v>
      </c>
      <c r="P43" s="1002">
        <f>Consolidation!O32</f>
        <v>1299.9171313615789</v>
      </c>
      <c r="Q43" s="1002">
        <f>Consolidation!P32</f>
        <v>1387.4387083095012</v>
      </c>
      <c r="R43" s="1002">
        <f>Consolidation!Q32</f>
        <v>1474.7790505029366</v>
      </c>
      <c r="S43" s="1002">
        <f>Consolidation!R32</f>
        <v>1564.7079206201638</v>
      </c>
      <c r="T43" s="1002">
        <f>Consolidation!S32</f>
        <v>1660.3990786374698</v>
      </c>
      <c r="U43" s="1002">
        <f>Consolidation!T32</f>
        <v>1762.1582617619658</v>
      </c>
      <c r="V43" s="1002">
        <f>Consolidation!U32</f>
        <v>1870.4763671005544</v>
      </c>
      <c r="W43" s="180"/>
      <c r="X43" s="180"/>
      <c r="Y43" s="191"/>
      <c r="Z43" s="191"/>
      <c r="AA43" s="191"/>
      <c r="AB43" s="191"/>
      <c r="AC43" s="191"/>
      <c r="AD43" s="169"/>
      <c r="AE43" s="169"/>
      <c r="AF43" s="169"/>
      <c r="AG43" s="169"/>
      <c r="AH43" s="169"/>
      <c r="AI43" s="169"/>
      <c r="AJ43" s="169"/>
    </row>
    <row r="44" spans="1:36" ht="15.75">
      <c r="A44" s="169"/>
      <c r="B44" s="171" t="s">
        <v>19</v>
      </c>
      <c r="C44" s="1002">
        <f t="shared" ref="C44:L44" si="22">C133</f>
        <v>0</v>
      </c>
      <c r="D44" s="1002">
        <f t="shared" si="22"/>
        <v>0</v>
      </c>
      <c r="E44" s="1002">
        <f t="shared" si="22"/>
        <v>287.70800000000003</v>
      </c>
      <c r="F44" s="1002">
        <f t="shared" si="22"/>
        <v>355.76</v>
      </c>
      <c r="G44" s="1002">
        <f t="shared" si="22"/>
        <v>373.24700000000001</v>
      </c>
      <c r="H44" s="1002">
        <f t="shared" si="22"/>
        <v>345.12299999999999</v>
      </c>
      <c r="I44" s="1002">
        <f t="shared" si="22"/>
        <v>422.49099999999999</v>
      </c>
      <c r="J44" s="1002">
        <f t="shared" si="22"/>
        <v>386.46499999999997</v>
      </c>
      <c r="K44" s="1002">
        <f t="shared" si="22"/>
        <v>317.15699999999998</v>
      </c>
      <c r="L44" s="1002">
        <f t="shared" si="22"/>
        <v>316.42947243316257</v>
      </c>
      <c r="M44" s="1002">
        <f t="shared" ref="M44:V44" si="23">M133</f>
        <v>314.6262582830916</v>
      </c>
      <c r="N44" s="1002">
        <f t="shared" si="23"/>
        <v>320.40456895759104</v>
      </c>
      <c r="O44" s="1002">
        <f t="shared" si="23"/>
        <v>332.16689165620301</v>
      </c>
      <c r="P44" s="1002">
        <f t="shared" si="23"/>
        <v>343.19591484150334</v>
      </c>
      <c r="Q44" s="1002">
        <f t="shared" si="23"/>
        <v>352.8663963551241</v>
      </c>
      <c r="R44" s="1002">
        <f t="shared" si="23"/>
        <v>361.90429051680616</v>
      </c>
      <c r="S44" s="1002">
        <f t="shared" si="23"/>
        <v>369.59842793092349</v>
      </c>
      <c r="T44" s="1002">
        <f t="shared" si="23"/>
        <v>376.68255150334079</v>
      </c>
      <c r="U44" s="1002">
        <f t="shared" si="23"/>
        <v>382.51055001458133</v>
      </c>
      <c r="V44" s="1002">
        <f t="shared" si="23"/>
        <v>387.84869422655896</v>
      </c>
      <c r="W44" s="180"/>
      <c r="X44" s="180"/>
      <c r="Y44" s="191"/>
      <c r="Z44" s="191"/>
      <c r="AA44" s="191"/>
      <c r="AB44" s="191"/>
      <c r="AC44" s="191"/>
      <c r="AD44" s="169"/>
      <c r="AE44" s="169"/>
      <c r="AF44" s="169"/>
      <c r="AG44" s="169"/>
      <c r="AH44" s="169"/>
      <c r="AI44" s="169"/>
      <c r="AJ44" s="169"/>
    </row>
    <row r="45" spans="1:36" ht="15.75">
      <c r="A45" s="169"/>
      <c r="B45" s="171" t="s">
        <v>20</v>
      </c>
      <c r="C45" s="1002">
        <f>C159</f>
        <v>0</v>
      </c>
      <c r="D45" s="1002">
        <f>D159</f>
        <v>21.777999999999999</v>
      </c>
      <c r="E45" s="1002">
        <f>E159</f>
        <v>8.3729999999999993</v>
      </c>
      <c r="F45" s="1002">
        <f t="shared" ref="F45:L45" si="24">F159</f>
        <v>28.747</v>
      </c>
      <c r="G45" s="1002">
        <f t="shared" si="24"/>
        <v>35.414999999999999</v>
      </c>
      <c r="H45" s="1002">
        <f t="shared" si="24"/>
        <v>38.165999999999997</v>
      </c>
      <c r="I45" s="1002">
        <f t="shared" si="24"/>
        <v>47.33</v>
      </c>
      <c r="J45" s="1002">
        <f t="shared" si="24"/>
        <v>50.383000000000003</v>
      </c>
      <c r="K45" s="1002">
        <f t="shared" si="24"/>
        <v>46.768000000000001</v>
      </c>
      <c r="L45" s="1002">
        <f t="shared" si="24"/>
        <v>48.593861018267759</v>
      </c>
      <c r="M45" s="1002">
        <f t="shared" ref="M45:V45" si="25">M159</f>
        <v>50.092861660878981</v>
      </c>
      <c r="N45" s="1002">
        <f t="shared" si="25"/>
        <v>54.549470910254826</v>
      </c>
      <c r="O45" s="1002">
        <f t="shared" si="25"/>
        <v>59.057084860744347</v>
      </c>
      <c r="P45" s="1002">
        <f t="shared" si="25"/>
        <v>62.413994456364705</v>
      </c>
      <c r="Q45" s="1002">
        <f t="shared" si="25"/>
        <v>65.655916116962786</v>
      </c>
      <c r="R45" s="1002">
        <f t="shared" si="25"/>
        <v>68.843816186659112</v>
      </c>
      <c r="S45" s="1002">
        <f t="shared" si="25"/>
        <v>71.911180903779012</v>
      </c>
      <c r="T45" s="1002">
        <f t="shared" si="25"/>
        <v>74.922805103013488</v>
      </c>
      <c r="U45" s="1002">
        <f t="shared" si="25"/>
        <v>77.814167341598434</v>
      </c>
      <c r="V45" s="1002">
        <f t="shared" si="25"/>
        <v>80.657327105682597</v>
      </c>
      <c r="W45" s="180"/>
      <c r="X45" s="180"/>
      <c r="Y45" s="192"/>
      <c r="Z45" s="192"/>
      <c r="AA45" s="192"/>
      <c r="AB45" s="192"/>
      <c r="AC45" s="192"/>
      <c r="AD45" s="169"/>
      <c r="AE45" s="169"/>
      <c r="AF45" s="169"/>
      <c r="AG45" s="169"/>
      <c r="AH45" s="169"/>
      <c r="AI45" s="169"/>
      <c r="AJ45" s="169"/>
    </row>
    <row r="46" spans="1:36" ht="15.75">
      <c r="A46" s="169"/>
      <c r="B46" s="191" t="s">
        <v>21</v>
      </c>
      <c r="C46" s="1002">
        <f>C47-C43+C44+C45</f>
        <v>-129.46299999999999</v>
      </c>
      <c r="D46" s="1002">
        <f>D47-D43+D44+D45</f>
        <v>-148.19500000000002</v>
      </c>
      <c r="E46" s="1002">
        <f>E47-E43+E44+E45</f>
        <v>121.78800000000003</v>
      </c>
      <c r="F46" s="1002">
        <f>SUM(Consolidation!E53:E63)</f>
        <v>-441.21099999999996</v>
      </c>
      <c r="G46" s="1002">
        <f>SUM(Consolidation!F53:F63)</f>
        <v>-78.406999999999996</v>
      </c>
      <c r="H46" s="1002">
        <f>SUM(Consolidation!G53:G63)</f>
        <v>-155.143</v>
      </c>
      <c r="I46" s="1002">
        <f>SUM(Consolidation!H53:H63)</f>
        <v>-249.78199999999998</v>
      </c>
      <c r="J46" s="1002">
        <f>SUM(Consolidation!I53:I63)</f>
        <v>-165.131</v>
      </c>
      <c r="K46" s="1002">
        <f>SUM(Consolidation!J53:J63)</f>
        <v>-86.474999999999994</v>
      </c>
      <c r="L46" s="1004">
        <f t="shared" ref="L46:V46" si="26">K46</f>
        <v>-86.474999999999994</v>
      </c>
      <c r="M46" s="1004">
        <f t="shared" si="26"/>
        <v>-86.474999999999994</v>
      </c>
      <c r="N46" s="1004">
        <f t="shared" si="26"/>
        <v>-86.474999999999994</v>
      </c>
      <c r="O46" s="1004">
        <f t="shared" si="26"/>
        <v>-86.474999999999994</v>
      </c>
      <c r="P46" s="1004">
        <f t="shared" si="26"/>
        <v>-86.474999999999994</v>
      </c>
      <c r="Q46" s="1004">
        <f t="shared" si="26"/>
        <v>-86.474999999999994</v>
      </c>
      <c r="R46" s="1004">
        <f t="shared" si="26"/>
        <v>-86.474999999999994</v>
      </c>
      <c r="S46" s="1004">
        <f t="shared" si="26"/>
        <v>-86.474999999999994</v>
      </c>
      <c r="T46" s="1004">
        <f t="shared" si="26"/>
        <v>-86.474999999999994</v>
      </c>
      <c r="U46" s="1004">
        <f t="shared" si="26"/>
        <v>-86.474999999999994</v>
      </c>
      <c r="V46" s="1004">
        <f t="shared" si="26"/>
        <v>-86.474999999999994</v>
      </c>
      <c r="W46" s="180"/>
      <c r="X46" s="180"/>
      <c r="Y46" s="192"/>
      <c r="Z46" s="192"/>
      <c r="AA46" s="192"/>
      <c r="AB46" s="192"/>
      <c r="AC46" s="192"/>
      <c r="AD46" s="169"/>
      <c r="AE46" s="169"/>
      <c r="AF46" s="169"/>
      <c r="AG46" s="169"/>
      <c r="AH46" s="169"/>
      <c r="AI46" s="169"/>
      <c r="AJ46" s="169"/>
    </row>
    <row r="47" spans="1:36" ht="15.75">
      <c r="A47" s="169"/>
      <c r="B47" s="176" t="s">
        <v>22</v>
      </c>
      <c r="C47" s="1005">
        <v>-44.945</v>
      </c>
      <c r="D47" s="1005">
        <v>-23.972999999999999</v>
      </c>
      <c r="E47" s="1005">
        <v>3.3069999999999999</v>
      </c>
      <c r="F47" s="1006">
        <f t="shared" ref="F47:Q47" si="27">F43-F44-F45+F46</f>
        <v>-157.10400000000004</v>
      </c>
      <c r="G47" s="1006">
        <f t="shared" si="27"/>
        <v>331.94499999999999</v>
      </c>
      <c r="H47" s="1006">
        <f t="shared" si="27"/>
        <v>387.96399999999994</v>
      </c>
      <c r="I47" s="1006">
        <f t="shared" si="27"/>
        <v>311.78299999999996</v>
      </c>
      <c r="J47" s="1006">
        <f t="shared" si="27"/>
        <v>530.55600000000015</v>
      </c>
      <c r="K47" s="1006">
        <f t="shared" si="27"/>
        <v>477.95399999999984</v>
      </c>
      <c r="L47" s="1006">
        <f t="shared" si="27"/>
        <v>547.16016354165083</v>
      </c>
      <c r="M47" s="1006">
        <f t="shared" si="27"/>
        <v>600.10222697381926</v>
      </c>
      <c r="N47" s="1006">
        <f t="shared" si="27"/>
        <v>675.45819831507606</v>
      </c>
      <c r="O47" s="1006">
        <f t="shared" si="27"/>
        <v>738.01361522814545</v>
      </c>
      <c r="P47" s="1006">
        <f t="shared" si="27"/>
        <v>807.8322220637109</v>
      </c>
      <c r="Q47" s="1006">
        <f t="shared" si="27"/>
        <v>882.44139583741423</v>
      </c>
      <c r="R47" s="1006">
        <f t="shared" ref="R47:V47" si="28">R43-R44-R45+R46</f>
        <v>957.55594379947127</v>
      </c>
      <c r="S47" s="1006">
        <f t="shared" si="28"/>
        <v>1036.7233117854614</v>
      </c>
      <c r="T47" s="1006">
        <f t="shared" si="28"/>
        <v>1122.3187220311156</v>
      </c>
      <c r="U47" s="1006">
        <f t="shared" si="28"/>
        <v>1215.3585444057862</v>
      </c>
      <c r="V47" s="1006">
        <f t="shared" si="28"/>
        <v>1315.495345768313</v>
      </c>
      <c r="W47" s="184"/>
      <c r="X47" s="184"/>
      <c r="Y47" s="191"/>
      <c r="Z47" s="191"/>
      <c r="AA47" s="191"/>
      <c r="AB47" s="191"/>
      <c r="AC47" s="191"/>
      <c r="AD47" s="169"/>
      <c r="AE47" s="169"/>
      <c r="AF47" s="169"/>
      <c r="AG47" s="169"/>
      <c r="AH47" s="169"/>
      <c r="AI47" s="169"/>
      <c r="AJ47" s="169"/>
    </row>
    <row r="48" spans="1:36" ht="15.75">
      <c r="A48" s="169"/>
      <c r="B48" s="194"/>
      <c r="C48" s="1007"/>
      <c r="D48" s="1007"/>
      <c r="E48" s="1007"/>
      <c r="F48" s="1007"/>
      <c r="G48" s="1007"/>
      <c r="H48" s="1002"/>
      <c r="I48" s="1002"/>
      <c r="J48" s="1002"/>
      <c r="K48" s="1002"/>
      <c r="L48" s="1002"/>
      <c r="M48" s="1002"/>
      <c r="N48" s="1002"/>
      <c r="O48" s="1002"/>
      <c r="P48" s="1002"/>
      <c r="Q48" s="1002"/>
      <c r="R48" s="1002"/>
      <c r="S48" s="1002"/>
      <c r="T48" s="1002"/>
      <c r="U48" s="1002"/>
      <c r="V48" s="1002"/>
      <c r="W48" s="197"/>
      <c r="X48" s="197"/>
      <c r="Y48" s="189"/>
      <c r="Z48" s="189"/>
      <c r="AA48" s="189"/>
      <c r="AB48" s="189"/>
      <c r="AC48" s="189"/>
      <c r="AD48" s="169"/>
      <c r="AE48" s="169"/>
      <c r="AF48" s="169"/>
      <c r="AG48" s="169"/>
      <c r="AH48" s="169"/>
      <c r="AI48" s="169"/>
      <c r="AJ48" s="169"/>
    </row>
    <row r="49" spans="1:36" ht="15.75">
      <c r="A49" s="169"/>
      <c r="B49" s="169" t="s">
        <v>586</v>
      </c>
      <c r="C49" s="1002">
        <f t="shared" ref="C49:H49" si="29">C183</f>
        <v>0.216</v>
      </c>
      <c r="D49" s="1002">
        <f t="shared" si="29"/>
        <v>0.70599999999999996</v>
      </c>
      <c r="E49" s="1002">
        <f t="shared" si="29"/>
        <v>0.95099999999999996</v>
      </c>
      <c r="F49" s="1002">
        <f t="shared" si="29"/>
        <v>14.731999999999999</v>
      </c>
      <c r="G49" s="1002">
        <f t="shared" si="29"/>
        <v>5.101</v>
      </c>
      <c r="H49" s="1002">
        <f t="shared" si="29"/>
        <v>7.798</v>
      </c>
      <c r="I49" s="1002">
        <f t="shared" ref="I49:K49" si="30">I183</f>
        <v>15.17</v>
      </c>
      <c r="J49" s="1002">
        <f t="shared" si="30"/>
        <v>25.007999999999999</v>
      </c>
      <c r="K49" s="1002">
        <f t="shared" si="30"/>
        <v>18.66</v>
      </c>
      <c r="L49" s="1002">
        <f>L183</f>
        <v>30.137824547911556</v>
      </c>
      <c r="M49" s="1002">
        <f t="shared" ref="M49:Q49" si="31">M183</f>
        <v>35.373922568136365</v>
      </c>
      <c r="N49" s="1002">
        <f t="shared" si="31"/>
        <v>34.911115662093643</v>
      </c>
      <c r="O49" s="1002">
        <f t="shared" si="31"/>
        <v>34.787380697848278</v>
      </c>
      <c r="P49" s="1002">
        <f t="shared" si="31"/>
        <v>34.586611066209343</v>
      </c>
      <c r="Q49" s="1002">
        <f t="shared" si="31"/>
        <v>34.413686152879151</v>
      </c>
      <c r="R49" s="1002">
        <f t="shared" ref="R49:V49" si="32">R183</f>
        <v>34.209238333670896</v>
      </c>
      <c r="S49" s="1002">
        <f t="shared" si="32"/>
        <v>33.643120074015734</v>
      </c>
      <c r="T49" s="1002">
        <f t="shared" si="32"/>
        <v>32.562905801307728</v>
      </c>
      <c r="U49" s="1002">
        <f t="shared" si="32"/>
        <v>31.059620738721147</v>
      </c>
      <c r="V49" s="1002">
        <f t="shared" si="32"/>
        <v>28.956619153321764</v>
      </c>
      <c r="W49" s="198"/>
      <c r="X49" s="198"/>
      <c r="Y49" s="191"/>
      <c r="Z49" s="191"/>
      <c r="AA49" s="191"/>
      <c r="AB49" s="191"/>
      <c r="AC49" s="191"/>
      <c r="AD49" s="169"/>
      <c r="AE49" s="169"/>
      <c r="AF49" s="169"/>
      <c r="AG49" s="169"/>
      <c r="AH49" s="169"/>
      <c r="AI49" s="169"/>
      <c r="AJ49" s="169"/>
    </row>
    <row r="50" spans="1:36" ht="15.75">
      <c r="A50" s="169"/>
      <c r="B50" s="169" t="s">
        <v>138</v>
      </c>
      <c r="C50" s="1002">
        <f>C188</f>
        <v>60.027000000000001</v>
      </c>
      <c r="D50" s="1002">
        <f t="shared" ref="D50:O50" si="33">D188</f>
        <v>102.75700000000001</v>
      </c>
      <c r="E50" s="1002">
        <f t="shared" si="33"/>
        <v>107.005</v>
      </c>
      <c r="F50" s="1002">
        <f t="shared" si="33"/>
        <v>209.31299999999999</v>
      </c>
      <c r="G50" s="1002">
        <f t="shared" si="33"/>
        <v>209.63</v>
      </c>
      <c r="H50" s="1002">
        <f t="shared" si="33"/>
        <v>212.10599999999999</v>
      </c>
      <c r="I50" s="1002">
        <f t="shared" ref="I50" si="34">I188</f>
        <v>308.44200000000001</v>
      </c>
      <c r="J50" s="1002">
        <f t="shared" si="33"/>
        <v>423.99799999999999</v>
      </c>
      <c r="K50" s="1002">
        <f t="shared" si="33"/>
        <v>427.99599999999998</v>
      </c>
      <c r="L50" s="1002">
        <f t="shared" si="33"/>
        <v>416.65439179946821</v>
      </c>
      <c r="M50" s="1002">
        <f t="shared" si="33"/>
        <v>416.65439179946821</v>
      </c>
      <c r="N50" s="1002">
        <f t="shared" si="33"/>
        <v>416.65439179946821</v>
      </c>
      <c r="O50" s="1002">
        <f t="shared" si="33"/>
        <v>416.65439179946821</v>
      </c>
      <c r="P50" s="1002">
        <f t="shared" ref="P50:V50" si="35">P188</f>
        <v>416.65439179946821</v>
      </c>
      <c r="Q50" s="1002">
        <f t="shared" si="35"/>
        <v>416.65439179946821</v>
      </c>
      <c r="R50" s="1002">
        <f t="shared" si="35"/>
        <v>416.65439179946821</v>
      </c>
      <c r="S50" s="1002">
        <f t="shared" si="35"/>
        <v>416.65439179946821</v>
      </c>
      <c r="T50" s="1002">
        <f t="shared" si="35"/>
        <v>416.65439179946821</v>
      </c>
      <c r="U50" s="1002">
        <f t="shared" si="35"/>
        <v>416.65439179946821</v>
      </c>
      <c r="V50" s="1002">
        <f t="shared" si="35"/>
        <v>416.65439179946821</v>
      </c>
      <c r="W50" s="180"/>
      <c r="X50" s="180"/>
      <c r="Y50" s="192"/>
      <c r="Z50" s="192"/>
      <c r="AA50" s="192"/>
      <c r="AB50" s="192"/>
      <c r="AC50" s="192"/>
      <c r="AD50" s="169"/>
      <c r="AE50" s="169"/>
      <c r="AF50" s="169"/>
      <c r="AG50" s="169"/>
      <c r="AH50" s="169"/>
      <c r="AI50" s="169"/>
      <c r="AJ50" s="169"/>
    </row>
    <row r="51" spans="1:36" ht="15.75">
      <c r="A51" s="169"/>
      <c r="B51" s="169" t="s">
        <v>303</v>
      </c>
      <c r="C51" s="1002">
        <f>C197</f>
        <v>6.6820000000000004</v>
      </c>
      <c r="D51" s="1002">
        <f t="shared" ref="D51:L51" si="36">D197</f>
        <v>21.797000000000001</v>
      </c>
      <c r="E51" s="1002">
        <f t="shared" si="36"/>
        <v>-16.831</v>
      </c>
      <c r="F51" s="1002">
        <f t="shared" si="36"/>
        <v>-57.748999999999995</v>
      </c>
      <c r="G51" s="1002">
        <f t="shared" si="36"/>
        <v>-280.26899999999995</v>
      </c>
      <c r="H51" s="1002">
        <f t="shared" si="36"/>
        <v>-192.20400000000001</v>
      </c>
      <c r="I51" s="1002">
        <f t="shared" ref="I51" si="37">I197</f>
        <v>-562.95200000000011</v>
      </c>
      <c r="J51" s="1002">
        <f t="shared" si="36"/>
        <v>-2012.3119999999999</v>
      </c>
      <c r="K51" s="1002">
        <f t="shared" si="36"/>
        <v>-1680.0550000000001</v>
      </c>
      <c r="L51" s="1002">
        <f t="shared" si="36"/>
        <v>0</v>
      </c>
      <c r="M51" s="1002">
        <f t="shared" ref="M51:V51" si="38">M197</f>
        <v>0</v>
      </c>
      <c r="N51" s="1002">
        <f t="shared" si="38"/>
        <v>0</v>
      </c>
      <c r="O51" s="1002">
        <f t="shared" si="38"/>
        <v>0</v>
      </c>
      <c r="P51" s="1002">
        <f t="shared" si="38"/>
        <v>0</v>
      </c>
      <c r="Q51" s="1002">
        <f t="shared" si="38"/>
        <v>0</v>
      </c>
      <c r="R51" s="1002">
        <f t="shared" si="38"/>
        <v>0</v>
      </c>
      <c r="S51" s="1002">
        <f t="shared" si="38"/>
        <v>0</v>
      </c>
      <c r="T51" s="1002">
        <f t="shared" si="38"/>
        <v>0</v>
      </c>
      <c r="U51" s="1002">
        <f t="shared" si="38"/>
        <v>0</v>
      </c>
      <c r="V51" s="1002">
        <f t="shared" si="38"/>
        <v>0</v>
      </c>
      <c r="W51" s="180"/>
      <c r="X51" s="180"/>
      <c r="Y51" s="192"/>
      <c r="Z51" s="192"/>
      <c r="AA51" s="192"/>
      <c r="AB51" s="192"/>
      <c r="AC51" s="192"/>
      <c r="AD51" s="199"/>
      <c r="AE51" s="169"/>
      <c r="AF51" s="169"/>
      <c r="AG51" s="169"/>
      <c r="AH51" s="169"/>
      <c r="AI51" s="169"/>
      <c r="AJ51" s="169"/>
    </row>
    <row r="52" spans="1:36" ht="15.75">
      <c r="A52" s="169"/>
      <c r="B52" s="176" t="s">
        <v>23</v>
      </c>
      <c r="C52" s="1006">
        <f t="shared" ref="C52:Q52" si="39">C47+C49-C50+C51</f>
        <v>-98.073999999999998</v>
      </c>
      <c r="D52" s="1006">
        <f t="shared" si="39"/>
        <v>-104.227</v>
      </c>
      <c r="E52" s="1006">
        <f t="shared" si="39"/>
        <v>-119.578</v>
      </c>
      <c r="F52" s="1006">
        <f t="shared" si="39"/>
        <v>-409.43400000000008</v>
      </c>
      <c r="G52" s="1006">
        <f t="shared" si="39"/>
        <v>-152.85299999999995</v>
      </c>
      <c r="H52" s="1006">
        <f t="shared" si="39"/>
        <v>-8.5480000000000587</v>
      </c>
      <c r="I52" s="1006">
        <f t="shared" si="39"/>
        <v>-544.44100000000014</v>
      </c>
      <c r="J52" s="1006">
        <f t="shared" si="39"/>
        <v>-1880.7459999999996</v>
      </c>
      <c r="K52" s="1006">
        <f t="shared" si="39"/>
        <v>-1611.4370000000001</v>
      </c>
      <c r="L52" s="1006">
        <f t="shared" si="39"/>
        <v>160.64359629009419</v>
      </c>
      <c r="M52" s="1006">
        <f t="shared" si="39"/>
        <v>218.82175774248736</v>
      </c>
      <c r="N52" s="1006">
        <f t="shared" si="39"/>
        <v>293.71492217770145</v>
      </c>
      <c r="O52" s="1006">
        <f t="shared" si="39"/>
        <v>356.14660412652546</v>
      </c>
      <c r="P52" s="1006">
        <f t="shared" si="39"/>
        <v>425.76444133045203</v>
      </c>
      <c r="Q52" s="1006">
        <f t="shared" si="39"/>
        <v>500.20069019082513</v>
      </c>
      <c r="R52" s="1006">
        <f t="shared" ref="R52:V52" si="40">R47+R49-R50+R51</f>
        <v>575.110790333674</v>
      </c>
      <c r="S52" s="1006">
        <f t="shared" si="40"/>
        <v>653.71204006000903</v>
      </c>
      <c r="T52" s="1006">
        <f t="shared" si="40"/>
        <v>738.22723603295526</v>
      </c>
      <c r="U52" s="1006">
        <f t="shared" si="40"/>
        <v>829.76377334503923</v>
      </c>
      <c r="V52" s="1006">
        <f t="shared" si="40"/>
        <v>927.79757312216657</v>
      </c>
      <c r="W52" s="184"/>
      <c r="X52" s="184"/>
      <c r="Y52" s="191"/>
      <c r="Z52" s="191"/>
      <c r="AA52" s="191"/>
      <c r="AB52" s="191"/>
      <c r="AC52" s="191"/>
      <c r="AD52" s="169"/>
      <c r="AE52" s="169"/>
      <c r="AF52" s="169"/>
      <c r="AG52" s="169"/>
      <c r="AH52" s="169"/>
      <c r="AI52" s="169"/>
      <c r="AJ52" s="169"/>
    </row>
    <row r="53" spans="1:36" ht="15.75">
      <c r="A53" s="169"/>
      <c r="B53" s="169"/>
      <c r="C53" s="1008"/>
      <c r="D53" s="1008"/>
      <c r="E53" s="1008"/>
      <c r="F53" s="1008"/>
      <c r="G53" s="1008"/>
      <c r="H53" s="1008"/>
      <c r="I53" s="1008"/>
      <c r="J53" s="1008"/>
      <c r="K53" s="1008"/>
      <c r="L53" s="1008"/>
      <c r="M53" s="1008"/>
      <c r="N53" s="1008"/>
      <c r="O53" s="1008"/>
      <c r="P53" s="1008"/>
      <c r="Q53" s="1008"/>
      <c r="R53" s="1008"/>
      <c r="S53" s="1008"/>
      <c r="T53" s="1008"/>
      <c r="U53" s="1008"/>
      <c r="V53" s="1008"/>
      <c r="W53" s="183"/>
      <c r="X53" s="183"/>
      <c r="Y53" s="189"/>
      <c r="Z53" s="189"/>
      <c r="AA53" s="189"/>
      <c r="AB53" s="189"/>
      <c r="AC53" s="189"/>
      <c r="AD53" s="169"/>
      <c r="AE53" s="169"/>
      <c r="AF53" s="169"/>
      <c r="AG53" s="169"/>
      <c r="AH53" s="169"/>
      <c r="AI53" s="169"/>
      <c r="AJ53" s="169"/>
    </row>
    <row r="54" spans="1:36" ht="15.75">
      <c r="A54" s="169"/>
      <c r="B54" s="169" t="s">
        <v>24</v>
      </c>
      <c r="C54" s="1009">
        <f t="shared" ref="C54:Q54" si="41">C233</f>
        <v>0</v>
      </c>
      <c r="D54" s="1009">
        <f t="shared" si="41"/>
        <v>3.2069999999999999</v>
      </c>
      <c r="E54" s="1009">
        <f t="shared" si="41"/>
        <v>4.3689999999999998</v>
      </c>
      <c r="F54" s="1009">
        <f t="shared" si="41"/>
        <v>13.518000000000001</v>
      </c>
      <c r="G54" s="1009">
        <f t="shared" si="41"/>
        <v>169.82900000000001</v>
      </c>
      <c r="H54" s="1009">
        <f t="shared" si="41"/>
        <v>17.98</v>
      </c>
      <c r="I54" s="1009">
        <f t="shared" si="41"/>
        <v>-75.013000000000005</v>
      </c>
      <c r="J54" s="1009">
        <f t="shared" si="41"/>
        <v>107.52800000000001</v>
      </c>
      <c r="K54" s="1009">
        <f t="shared" si="41"/>
        <v>33.957000000000001</v>
      </c>
      <c r="L54" s="1009">
        <f t="shared" si="41"/>
        <v>44.980206961226379</v>
      </c>
      <c r="M54" s="1009">
        <f t="shared" si="41"/>
        <v>65.646527322746209</v>
      </c>
      <c r="N54" s="1009">
        <f t="shared" si="41"/>
        <v>88.114476653310433</v>
      </c>
      <c r="O54" s="1009">
        <f t="shared" si="41"/>
        <v>106.84398123795764</v>
      </c>
      <c r="P54" s="1009">
        <f t="shared" si="41"/>
        <v>127.7293323991356</v>
      </c>
      <c r="Q54" s="1009">
        <f t="shared" si="41"/>
        <v>150.06020705724754</v>
      </c>
      <c r="R54" s="1009">
        <f t="shared" ref="R54:V54" si="42">R233</f>
        <v>172.53323710010218</v>
      </c>
      <c r="S54" s="1009">
        <f t="shared" si="42"/>
        <v>196.1136120180027</v>
      </c>
      <c r="T54" s="1009">
        <f t="shared" si="42"/>
        <v>221.46817080988657</v>
      </c>
      <c r="U54" s="1009">
        <f t="shared" si="42"/>
        <v>248.92913200351177</v>
      </c>
      <c r="V54" s="1009">
        <f t="shared" si="42"/>
        <v>278.33927193664994</v>
      </c>
      <c r="W54" s="201"/>
      <c r="X54" s="201"/>
      <c r="Y54" s="191"/>
      <c r="Z54" s="191"/>
      <c r="AA54" s="191"/>
      <c r="AB54" s="191"/>
      <c r="AC54" s="191"/>
      <c r="AD54" s="169"/>
      <c r="AE54" s="169"/>
      <c r="AF54" s="169"/>
      <c r="AG54" s="169"/>
      <c r="AH54" s="169"/>
      <c r="AI54" s="169"/>
      <c r="AJ54" s="169"/>
    </row>
    <row r="55" spans="1:36" ht="15.75">
      <c r="A55" s="169"/>
      <c r="B55" s="169" t="s">
        <v>25</v>
      </c>
      <c r="C55" s="1002"/>
      <c r="D55" s="1002"/>
      <c r="E55" s="1002"/>
      <c r="F55" s="1002">
        <f>F252</f>
        <v>0</v>
      </c>
      <c r="G55" s="1002">
        <f t="shared" ref="G55:O55" si="43">G252</f>
        <v>-0.68799999999999994</v>
      </c>
      <c r="H55" s="1002">
        <f t="shared" si="43"/>
        <v>-0.28899999999999998</v>
      </c>
      <c r="I55" s="1002">
        <f t="shared" si="43"/>
        <v>-9.9589999999999996</v>
      </c>
      <c r="J55" s="1002">
        <f t="shared" si="43"/>
        <v>-11.569000000000001</v>
      </c>
      <c r="K55" s="1002">
        <f t="shared" si="43"/>
        <v>-12.176</v>
      </c>
      <c r="L55" s="1002">
        <f t="shared" si="43"/>
        <v>-12.784800000000001</v>
      </c>
      <c r="M55" s="1002">
        <f t="shared" si="43"/>
        <v>-13.424040000000002</v>
      </c>
      <c r="N55" s="1002">
        <f t="shared" si="43"/>
        <v>-14.095242000000002</v>
      </c>
      <c r="O55" s="1002">
        <f t="shared" si="43"/>
        <v>-14.800004100000002</v>
      </c>
      <c r="P55" s="1002">
        <f t="shared" ref="P55:V55" si="44">P252</f>
        <v>-15.540004305000004</v>
      </c>
      <c r="Q55" s="1002">
        <f t="shared" si="44"/>
        <v>-16.317004520250006</v>
      </c>
      <c r="R55" s="1002">
        <f t="shared" si="44"/>
        <v>-17.132854746262506</v>
      </c>
      <c r="S55" s="1002">
        <f t="shared" si="44"/>
        <v>-17.989497483575633</v>
      </c>
      <c r="T55" s="1002">
        <f t="shared" si="44"/>
        <v>-18.888972357754415</v>
      </c>
      <c r="U55" s="1002">
        <f t="shared" si="44"/>
        <v>-19.833420975642138</v>
      </c>
      <c r="V55" s="1002">
        <f t="shared" si="44"/>
        <v>-20.825092024424247</v>
      </c>
      <c r="W55" s="180"/>
      <c r="X55" s="180"/>
      <c r="Y55" s="192"/>
      <c r="Z55" s="192"/>
      <c r="AA55" s="192"/>
      <c r="AB55" s="192"/>
      <c r="AC55" s="192"/>
      <c r="AD55" s="169"/>
      <c r="AE55" s="169"/>
      <c r="AF55" s="169"/>
      <c r="AG55" s="169"/>
      <c r="AH55" s="169"/>
      <c r="AI55" s="169"/>
      <c r="AJ55" s="169"/>
    </row>
    <row r="56" spans="1:36" ht="15.75">
      <c r="A56" s="169"/>
      <c r="B56" s="1010" t="s">
        <v>1150</v>
      </c>
      <c r="C56" s="1011">
        <f t="shared" ref="C56:J56" si="45">C52-C54</f>
        <v>-98.073999999999998</v>
      </c>
      <c r="D56" s="1011">
        <f t="shared" si="45"/>
        <v>-107.434</v>
      </c>
      <c r="E56" s="1011">
        <f t="shared" si="45"/>
        <v>-123.947</v>
      </c>
      <c r="F56" s="1011">
        <f t="shared" si="45"/>
        <v>-422.95200000000011</v>
      </c>
      <c r="G56" s="1011">
        <f t="shared" si="45"/>
        <v>-322.68199999999996</v>
      </c>
      <c r="H56" s="1011">
        <f t="shared" si="45"/>
        <v>-26.528000000000059</v>
      </c>
      <c r="I56" s="1011">
        <f t="shared" si="45"/>
        <v>-469.42800000000011</v>
      </c>
      <c r="J56" s="1011">
        <f t="shared" si="45"/>
        <v>-1988.2739999999997</v>
      </c>
      <c r="K56" s="1011">
        <f>K52-K54</f>
        <v>-1645.3940000000002</v>
      </c>
      <c r="L56" s="1011">
        <f t="shared" ref="L56:Q56" si="46">L52-L54</f>
        <v>115.66338932886782</v>
      </c>
      <c r="M56" s="1011">
        <f t="shared" si="46"/>
        <v>153.17523041974115</v>
      </c>
      <c r="N56" s="1011">
        <f t="shared" si="46"/>
        <v>205.60044552439103</v>
      </c>
      <c r="O56" s="1011">
        <f t="shared" si="46"/>
        <v>249.30262288856784</v>
      </c>
      <c r="P56" s="1011">
        <f t="shared" si="46"/>
        <v>298.03510893131642</v>
      </c>
      <c r="Q56" s="1011">
        <f t="shared" si="46"/>
        <v>350.14048313357762</v>
      </c>
      <c r="R56" s="1011">
        <f t="shared" ref="R56:V56" si="47">R52-R54</f>
        <v>402.57755323357185</v>
      </c>
      <c r="S56" s="1011">
        <f t="shared" si="47"/>
        <v>457.59842804200633</v>
      </c>
      <c r="T56" s="1011">
        <f t="shared" si="47"/>
        <v>516.75906522306866</v>
      </c>
      <c r="U56" s="1011">
        <f t="shared" si="47"/>
        <v>580.83464134152746</v>
      </c>
      <c r="V56" s="1011">
        <f t="shared" si="47"/>
        <v>649.45830118551658</v>
      </c>
      <c r="W56" s="180"/>
      <c r="X56" s="180"/>
      <c r="Y56" s="192"/>
      <c r="Z56" s="192"/>
      <c r="AA56" s="192"/>
      <c r="AB56" s="192"/>
      <c r="AC56" s="192"/>
      <c r="AD56" s="169"/>
      <c r="AE56" s="169"/>
      <c r="AF56" s="169"/>
      <c r="AG56" s="169"/>
      <c r="AH56" s="169"/>
      <c r="AI56" s="169"/>
      <c r="AJ56" s="169"/>
    </row>
    <row r="57" spans="1:36" ht="16.5" thickBot="1">
      <c r="A57" s="169"/>
      <c r="B57" s="1012" t="s">
        <v>988</v>
      </c>
      <c r="C57" s="1013">
        <f t="shared" ref="C57:Q57" si="48">C52-C54-C55</f>
        <v>-98.073999999999998</v>
      </c>
      <c r="D57" s="1013">
        <f t="shared" si="48"/>
        <v>-107.434</v>
      </c>
      <c r="E57" s="1013">
        <f t="shared" si="48"/>
        <v>-123.947</v>
      </c>
      <c r="F57" s="1013">
        <f t="shared" si="48"/>
        <v>-422.95200000000011</v>
      </c>
      <c r="G57" s="1013">
        <f t="shared" si="48"/>
        <v>-321.99399999999997</v>
      </c>
      <c r="H57" s="1013">
        <f t="shared" si="48"/>
        <v>-26.239000000000058</v>
      </c>
      <c r="I57" s="1013">
        <f t="shared" si="48"/>
        <v>-459.46900000000011</v>
      </c>
      <c r="J57" s="1013">
        <f t="shared" si="48"/>
        <v>-1976.7049999999997</v>
      </c>
      <c r="K57" s="1013">
        <f t="shared" si="48"/>
        <v>-1633.2180000000003</v>
      </c>
      <c r="L57" s="1013">
        <f t="shared" si="48"/>
        <v>128.44818932886781</v>
      </c>
      <c r="M57" s="1013">
        <f t="shared" si="48"/>
        <v>166.59927041974115</v>
      </c>
      <c r="N57" s="1013">
        <f t="shared" si="48"/>
        <v>219.69568752439105</v>
      </c>
      <c r="O57" s="1013">
        <f t="shared" si="48"/>
        <v>264.10262698856786</v>
      </c>
      <c r="P57" s="1013">
        <f t="shared" si="48"/>
        <v>313.57511323631644</v>
      </c>
      <c r="Q57" s="1013">
        <f t="shared" si="48"/>
        <v>366.45748765382763</v>
      </c>
      <c r="R57" s="1013">
        <f t="shared" ref="R57:V57" si="49">R52-R54-R55</f>
        <v>419.71040797983437</v>
      </c>
      <c r="S57" s="1013">
        <f t="shared" si="49"/>
        <v>475.58792552558197</v>
      </c>
      <c r="T57" s="1013">
        <f t="shared" si="49"/>
        <v>535.64803758082303</v>
      </c>
      <c r="U57" s="1013">
        <f t="shared" si="49"/>
        <v>600.66806231716964</v>
      </c>
      <c r="V57" s="1013">
        <f t="shared" si="49"/>
        <v>670.28339320994087</v>
      </c>
      <c r="W57" s="184"/>
      <c r="X57" s="184"/>
      <c r="Y57" s="189"/>
      <c r="Z57" s="189"/>
      <c r="AA57" s="189"/>
      <c r="AB57" s="189"/>
      <c r="AC57" s="189"/>
      <c r="AD57" s="169"/>
      <c r="AE57" s="169"/>
      <c r="AF57" s="169"/>
      <c r="AG57" s="169"/>
      <c r="AH57" s="169"/>
      <c r="AI57" s="169"/>
      <c r="AJ57" s="169"/>
    </row>
    <row r="58" spans="1:36" ht="16.5" hidden="1" outlineLevel="1" thickTop="1">
      <c r="A58" s="169"/>
      <c r="B58" s="365" t="s">
        <v>637</v>
      </c>
      <c r="C58" s="366"/>
      <c r="D58" s="366"/>
      <c r="E58" s="366"/>
      <c r="F58" s="366"/>
      <c r="G58" s="366"/>
      <c r="H58" s="366"/>
      <c r="I58" s="366"/>
      <c r="J58" s="366"/>
      <c r="K58" s="366"/>
      <c r="L58" s="366" cm="1">
        <f t="array" ref="L58">_xll.VAData("IHS_US", "FY-2025", "Profit loss for the period", "Consensus", "CD", "","","")</f>
        <v>105.333774955104</v>
      </c>
      <c r="M58" s="366" cm="1">
        <f t="array" ref="M58">_xll.VAData("IHS_US", "FY-2026", "Profit loss for the period", "Consensus", "CD", "","","")</f>
        <v>115.68565094873399</v>
      </c>
      <c r="N58" s="366" cm="1">
        <f t="array" ref="N58">_xll.VAData("IHS_US", "FY-2027", "Profit loss for the period", "Consensus", "CD", "","","")</f>
        <v>178.03434379358899</v>
      </c>
      <c r="O58" s="366" cm="1">
        <f t="array" ref="O58">_xll.VAData("IHS_US", "FY-2028", "Profit loss for the period", "Consensus", "CD", "","","")</f>
        <v>255.48584599314401</v>
      </c>
      <c r="P58" s="366" cm="1">
        <f t="array" ref="P58">_xll.VAData("IHS_US", "FY-2029", "Profit loss for the period", "Consensus", "CD", "","","")</f>
        <v>357.72222515356202</v>
      </c>
      <c r="Q58" s="184"/>
      <c r="R58" s="184"/>
      <c r="S58" s="184"/>
      <c r="T58" s="184"/>
      <c r="U58" s="184"/>
      <c r="V58" s="184"/>
      <c r="W58" s="184"/>
      <c r="X58" s="184"/>
      <c r="Y58" s="189"/>
      <c r="Z58" s="189"/>
      <c r="AA58" s="189"/>
      <c r="AB58" s="189"/>
      <c r="AC58" s="189"/>
      <c r="AD58" s="169"/>
      <c r="AE58" s="169"/>
      <c r="AF58" s="169"/>
      <c r="AG58" s="169"/>
      <c r="AH58" s="169"/>
      <c r="AI58" s="169"/>
      <c r="AJ58" s="169"/>
    </row>
    <row r="59" spans="1:36" ht="16.5" collapsed="1" thickTop="1">
      <c r="A59" s="169"/>
      <c r="B59" s="169"/>
      <c r="C59" s="183"/>
      <c r="D59" s="183"/>
      <c r="E59" s="183"/>
      <c r="F59" s="183"/>
      <c r="G59" s="183"/>
      <c r="H59" s="183"/>
      <c r="I59" s="200"/>
      <c r="J59" s="183"/>
      <c r="K59" s="183"/>
      <c r="L59" s="183"/>
      <c r="M59" s="183"/>
      <c r="N59" s="183"/>
      <c r="O59" s="183"/>
      <c r="P59" s="183"/>
      <c r="Q59" s="183"/>
      <c r="R59" s="183"/>
      <c r="S59" s="183"/>
      <c r="T59" s="183"/>
      <c r="U59" s="183"/>
      <c r="V59" s="183"/>
      <c r="W59" s="183"/>
      <c r="X59" s="183"/>
      <c r="Y59" s="191"/>
      <c r="Z59" s="191"/>
      <c r="AA59" s="191"/>
      <c r="AB59" s="191"/>
      <c r="AC59" s="191"/>
      <c r="AD59" s="169"/>
      <c r="AE59" s="169"/>
      <c r="AF59" s="169"/>
      <c r="AG59" s="169"/>
      <c r="AH59" s="169"/>
      <c r="AI59" s="169"/>
      <c r="AJ59" s="169"/>
    </row>
    <row r="60" spans="1:36" ht="15.75">
      <c r="A60" s="169"/>
      <c r="B60" s="169"/>
      <c r="C60" s="183"/>
      <c r="D60" s="183"/>
      <c r="E60" s="183"/>
      <c r="F60" s="183"/>
      <c r="G60" s="183"/>
      <c r="H60" s="183"/>
      <c r="I60" s="183"/>
      <c r="J60" s="183"/>
      <c r="K60" s="183"/>
      <c r="L60" s="183"/>
      <c r="M60" s="183"/>
      <c r="N60" s="183"/>
      <c r="O60" s="183"/>
      <c r="P60" s="183"/>
      <c r="Q60" s="183"/>
      <c r="R60" s="183"/>
      <c r="S60" s="183"/>
      <c r="T60" s="183"/>
      <c r="U60" s="183"/>
      <c r="V60" s="183"/>
      <c r="W60" s="183"/>
      <c r="X60" s="183"/>
      <c r="Y60" s="191"/>
      <c r="Z60" s="191"/>
      <c r="AA60" s="191"/>
      <c r="AB60" s="191"/>
      <c r="AC60" s="191"/>
      <c r="AD60" s="169"/>
      <c r="AE60" s="169"/>
      <c r="AF60" s="169"/>
      <c r="AG60" s="169"/>
      <c r="AH60" s="169"/>
      <c r="AI60" s="169"/>
      <c r="AJ60" s="169"/>
    </row>
    <row r="61" spans="1:36" ht="15.75">
      <c r="A61" s="169"/>
      <c r="B61" s="997" t="s">
        <v>26</v>
      </c>
      <c r="C61" s="998"/>
      <c r="D61" s="998"/>
      <c r="E61" s="998"/>
      <c r="F61" s="999">
        <f t="shared" ref="F61:V61" si="50">F57/F279</f>
        <v>-2.8762266152559328</v>
      </c>
      <c r="G61" s="999">
        <f t="shared" si="50"/>
        <v>-1.0948341227393124</v>
      </c>
      <c r="H61" s="999">
        <f t="shared" si="50"/>
        <v>-8.7119212444179014E-2</v>
      </c>
      <c r="I61" s="999">
        <f t="shared" si="50"/>
        <v>-1.3882790523411985</v>
      </c>
      <c r="J61" s="999">
        <f t="shared" si="50"/>
        <v>-5.9329153360386098</v>
      </c>
      <c r="K61" s="999">
        <f t="shared" si="50"/>
        <v>-4.9036308446149839</v>
      </c>
      <c r="L61" s="999">
        <f t="shared" si="50"/>
        <v>0.39327529413666434</v>
      </c>
      <c r="M61" s="999">
        <f t="shared" si="50"/>
        <v>0.52299766723061625</v>
      </c>
      <c r="N61" s="999">
        <f t="shared" si="50"/>
        <v>0.71128979048316188</v>
      </c>
      <c r="O61" s="999">
        <f t="shared" si="50"/>
        <v>0.88750386442571627</v>
      </c>
      <c r="P61" s="999">
        <f t="shared" si="50"/>
        <v>1.1015161792165702</v>
      </c>
      <c r="Q61" s="999">
        <f t="shared" si="50"/>
        <v>1.3564472680943589</v>
      </c>
      <c r="R61" s="999">
        <f t="shared" si="50"/>
        <v>1.6522032128159831</v>
      </c>
      <c r="S61" s="999">
        <f t="shared" si="50"/>
        <v>2.0127399713408454</v>
      </c>
      <c r="T61" s="999">
        <f t="shared" si="50"/>
        <v>2.4691754968407231</v>
      </c>
      <c r="U61" s="999">
        <f t="shared" si="50"/>
        <v>3.0651611513426125</v>
      </c>
      <c r="V61" s="1000">
        <f t="shared" si="50"/>
        <v>3.8658543041228755</v>
      </c>
      <c r="W61" s="211"/>
      <c r="X61" s="211"/>
      <c r="Y61" s="208"/>
      <c r="Z61" s="208"/>
      <c r="AA61" s="208"/>
      <c r="AB61" s="208"/>
      <c r="AC61" s="208"/>
      <c r="AD61" s="169"/>
      <c r="AE61" s="169"/>
      <c r="AF61" s="169"/>
      <c r="AG61" s="169"/>
      <c r="AH61" s="169"/>
      <c r="AI61" s="169"/>
      <c r="AJ61" s="169"/>
    </row>
    <row r="62" spans="1:36" ht="15.75">
      <c r="A62" s="169"/>
      <c r="B62" s="209" t="s">
        <v>27</v>
      </c>
      <c r="C62" s="210"/>
      <c r="D62" s="210"/>
      <c r="E62" s="210"/>
      <c r="F62" s="211">
        <f>F275</f>
        <v>0.50960543011109238</v>
      </c>
      <c r="G62" s="211">
        <f t="shared" ref="G62:O62" si="51">G275</f>
        <v>0.11342087102842603</v>
      </c>
      <c r="H62" s="211">
        <f t="shared" si="51"/>
        <v>0.99785697400997786</v>
      </c>
      <c r="I62" s="211">
        <f t="shared" si="51"/>
        <v>1.0216041851413198</v>
      </c>
      <c r="J62" s="211">
        <f t="shared" si="51"/>
        <v>0.56442074735347147</v>
      </c>
      <c r="K62" s="211">
        <f t="shared" si="51"/>
        <v>0.36146728216207158</v>
      </c>
      <c r="L62" s="211">
        <f t="shared" si="51"/>
        <v>0.61501669224814537</v>
      </c>
      <c r="M62" s="211">
        <f t="shared" si="51"/>
        <v>0.74748937755564759</v>
      </c>
      <c r="N62" s="211">
        <f t="shared" si="51"/>
        <v>0.93936243096075467</v>
      </c>
      <c r="O62" s="211">
        <f t="shared" si="51"/>
        <v>1.1206067244055409</v>
      </c>
      <c r="P62" s="211">
        <f t="shared" ref="P62:V62" si="52">P275</f>
        <v>1.3409904536039639</v>
      </c>
      <c r="Q62" s="211">
        <f t="shared" si="52"/>
        <v>1.6039080350685464</v>
      </c>
      <c r="R62" s="211">
        <f t="shared" si="52"/>
        <v>1.9096846279463597</v>
      </c>
      <c r="S62" s="211">
        <f t="shared" si="52"/>
        <v>2.2826773758250734</v>
      </c>
      <c r="T62" s="211">
        <f t="shared" si="52"/>
        <v>2.7545693218998846</v>
      </c>
      <c r="U62" s="211">
        <f t="shared" si="52"/>
        <v>3.3698043712338763</v>
      </c>
      <c r="V62" s="212">
        <f t="shared" si="52"/>
        <v>4.1946528289814351</v>
      </c>
      <c r="W62" s="211"/>
      <c r="X62" s="211"/>
      <c r="Y62" s="192"/>
      <c r="Z62" s="192"/>
      <c r="AA62" s="192"/>
      <c r="AB62" s="192"/>
      <c r="AC62" s="192"/>
      <c r="AD62" s="169"/>
      <c r="AE62" s="169"/>
      <c r="AF62" s="169"/>
      <c r="AG62" s="169"/>
      <c r="AH62" s="169"/>
      <c r="AI62" s="169"/>
      <c r="AJ62" s="169"/>
    </row>
    <row r="63" spans="1:36" ht="15.75">
      <c r="A63" s="169"/>
      <c r="B63" s="209" t="s">
        <v>28</v>
      </c>
      <c r="C63" s="210"/>
      <c r="D63" s="210"/>
      <c r="E63" s="210"/>
      <c r="F63" s="211"/>
      <c r="G63" s="211"/>
      <c r="H63" s="211"/>
      <c r="I63" s="211"/>
      <c r="J63" s="211"/>
      <c r="K63" s="211"/>
      <c r="L63" s="211">
        <f>L294</f>
        <v>0</v>
      </c>
      <c r="M63" s="211">
        <f t="shared" ref="M63:V63" si="53">M294</f>
        <v>0.18154846251900655</v>
      </c>
      <c r="N63" s="211">
        <f t="shared" si="53"/>
        <v>0.24796112017531449</v>
      </c>
      <c r="O63" s="211">
        <f t="shared" si="53"/>
        <v>0.34545508314547091</v>
      </c>
      <c r="P63" s="211">
        <f t="shared" si="53"/>
        <v>0.43787096143999876</v>
      </c>
      <c r="Q63" s="211">
        <f t="shared" si="53"/>
        <v>0.5515904612760697</v>
      </c>
      <c r="R63" s="211">
        <f t="shared" si="53"/>
        <v>0.68916950851267977</v>
      </c>
      <c r="S63" s="211">
        <f t="shared" si="53"/>
        <v>0.85187605642252773</v>
      </c>
      <c r="T63" s="211">
        <f t="shared" si="53"/>
        <v>1.0546951978179027</v>
      </c>
      <c r="U63" s="211">
        <f t="shared" si="53"/>
        <v>1.3184901201634915</v>
      </c>
      <c r="V63" s="212">
        <f t="shared" si="53"/>
        <v>1.6749796585744421</v>
      </c>
      <c r="W63" s="211"/>
      <c r="X63" s="211"/>
      <c r="Y63" s="192"/>
      <c r="Z63" s="192"/>
      <c r="AA63" s="192"/>
      <c r="AB63" s="192"/>
      <c r="AC63" s="192"/>
      <c r="AD63" s="169"/>
      <c r="AE63" s="169"/>
      <c r="AF63" s="169"/>
      <c r="AG63" s="169"/>
      <c r="AH63" s="169"/>
      <c r="AI63" s="169"/>
      <c r="AJ63" s="169"/>
    </row>
    <row r="64" spans="1:36" ht="15.75">
      <c r="A64" s="169"/>
      <c r="B64" s="213" t="s">
        <v>29</v>
      </c>
      <c r="C64" s="214"/>
      <c r="D64" s="214"/>
      <c r="E64" s="214"/>
      <c r="F64" s="215"/>
      <c r="G64" s="215"/>
      <c r="H64" s="215"/>
      <c r="I64" s="215"/>
      <c r="J64" s="215"/>
      <c r="K64" s="215"/>
      <c r="L64" s="215">
        <f>Anna!AD206/Valuation!I59</f>
        <v>0.38346375055846688</v>
      </c>
      <c r="M64" s="215">
        <f>Anna!AE206/Valuation!J59</f>
        <v>0.48967071220947883</v>
      </c>
      <c r="N64" s="215">
        <f>Anna!AF206/Valuation!K59</f>
        <v>0.72889119207771147</v>
      </c>
      <c r="O64" s="215">
        <f>Anna!AG206/Valuation!L59</f>
        <v>0.87576355908825221</v>
      </c>
      <c r="P64" s="215">
        <f>Anna!AH206/Valuation!M59</f>
        <v>1.0825998584514829</v>
      </c>
      <c r="Q64" s="215">
        <f>Anna!AI206/Valuation!N59</f>
        <v>1.2878321742909389</v>
      </c>
      <c r="R64" s="215">
        <f>Anna!AJ206/Valuation!O59</f>
        <v>1.5904396640007237</v>
      </c>
      <c r="S64" s="215">
        <f>Anna!AK206/Valuation!P59</f>
        <v>1.8608187767451891</v>
      </c>
      <c r="T64" s="215">
        <f>Anna!AL206/Valuation!Q59</f>
        <v>2.3170492896481094</v>
      </c>
      <c r="U64" s="215">
        <f>Anna!AM206/Valuation!R59</f>
        <v>2.8403380057962679</v>
      </c>
      <c r="V64" s="1001">
        <f>Anna!AN206/Valuation!S59</f>
        <v>3.4600292569897206</v>
      </c>
      <c r="W64" s="211"/>
      <c r="X64" s="211"/>
      <c r="Y64" s="208"/>
      <c r="Z64" s="208"/>
      <c r="AA64" s="208"/>
      <c r="AB64" s="208"/>
      <c r="AC64" s="208"/>
      <c r="AD64" s="169"/>
      <c r="AE64" s="169"/>
      <c r="AF64" s="169"/>
      <c r="AG64" s="169"/>
      <c r="AH64" s="169"/>
      <c r="AI64" s="169"/>
      <c r="AJ64" s="169"/>
    </row>
    <row r="65" spans="1:36" ht="15.75">
      <c r="A65" s="169"/>
      <c r="B65" s="169"/>
      <c r="C65" s="217"/>
      <c r="D65" s="217"/>
      <c r="E65" s="217"/>
      <c r="F65" s="217"/>
      <c r="G65" s="217"/>
      <c r="H65" s="217"/>
      <c r="I65" s="217"/>
      <c r="J65" s="217"/>
      <c r="K65" s="217"/>
      <c r="L65" s="217"/>
      <c r="M65" s="217"/>
      <c r="N65" s="217"/>
      <c r="O65" s="217"/>
      <c r="P65" s="217"/>
      <c r="Q65" s="217"/>
      <c r="R65" s="217"/>
      <c r="S65" s="217"/>
      <c r="T65" s="217"/>
      <c r="U65" s="217"/>
      <c r="V65" s="217"/>
      <c r="W65" s="685"/>
      <c r="X65" s="685"/>
      <c r="Y65" s="169"/>
      <c r="Z65" s="169"/>
      <c r="AA65" s="169"/>
      <c r="AB65" s="169"/>
      <c r="AC65" s="169"/>
      <c r="AD65" s="169"/>
      <c r="AE65" s="169"/>
      <c r="AF65" s="169"/>
      <c r="AG65" s="169"/>
      <c r="AH65" s="169"/>
      <c r="AI65" s="169"/>
      <c r="AJ65" s="169"/>
    </row>
    <row r="66" spans="1:36" ht="15.75">
      <c r="A66" s="169"/>
      <c r="B66" s="169"/>
      <c r="C66" s="218"/>
      <c r="D66" s="218"/>
      <c r="E66" s="218"/>
      <c r="F66" s="218"/>
      <c r="G66" s="218"/>
      <c r="H66" s="218"/>
      <c r="I66" s="218"/>
      <c r="J66" s="218"/>
      <c r="K66" s="218"/>
      <c r="L66" s="218"/>
      <c r="M66" s="218"/>
      <c r="N66" s="218"/>
      <c r="O66" s="218"/>
      <c r="P66" s="218"/>
      <c r="Q66" s="218"/>
      <c r="R66" s="218"/>
      <c r="S66" s="218"/>
      <c r="T66" s="218"/>
      <c r="U66" s="218"/>
      <c r="V66" s="218"/>
      <c r="W66" s="218"/>
      <c r="X66" s="218"/>
      <c r="Y66" s="171"/>
      <c r="Z66" s="171"/>
      <c r="AA66" s="171"/>
      <c r="AB66" s="171"/>
      <c r="AC66" s="171"/>
      <c r="AD66" s="169"/>
      <c r="AE66" s="169"/>
      <c r="AF66" s="169"/>
      <c r="AG66" s="169"/>
      <c r="AH66" s="169"/>
      <c r="AI66" s="169"/>
      <c r="AJ66" s="169"/>
    </row>
    <row r="67" spans="1:36" ht="15.75">
      <c r="A67" s="169"/>
      <c r="B67" s="169"/>
      <c r="C67" s="218"/>
      <c r="D67" s="218"/>
      <c r="E67" s="218"/>
      <c r="F67" s="218"/>
      <c r="G67" s="218"/>
      <c r="H67" s="218"/>
      <c r="I67" s="218"/>
      <c r="J67" s="218"/>
      <c r="K67" s="218"/>
      <c r="L67" s="218"/>
      <c r="M67" s="218"/>
      <c r="N67" s="218"/>
      <c r="O67" s="218"/>
      <c r="P67" s="218"/>
      <c r="Q67" s="218"/>
      <c r="R67" s="218"/>
      <c r="S67" s="218"/>
      <c r="T67" s="218"/>
      <c r="U67" s="218"/>
      <c r="V67" s="218"/>
      <c r="W67" s="218"/>
      <c r="X67" s="218"/>
      <c r="Y67" s="171"/>
      <c r="Z67" s="171"/>
      <c r="AA67" s="171"/>
      <c r="AB67" s="171"/>
      <c r="AC67" s="171"/>
      <c r="AD67" s="169"/>
      <c r="AE67" s="169"/>
      <c r="AF67" s="169"/>
      <c r="AG67" s="169"/>
      <c r="AH67" s="169"/>
      <c r="AI67" s="169"/>
      <c r="AJ67" s="169"/>
    </row>
    <row r="68" spans="1:36" s="9" customFormat="1" ht="15.75">
      <c r="A68" s="171"/>
      <c r="B68" s="186" t="s">
        <v>30</v>
      </c>
      <c r="C68" s="187">
        <f t="shared" ref="C68:Q68" si="54">C2</f>
        <v>2016</v>
      </c>
      <c r="D68" s="187">
        <f t="shared" si="54"/>
        <v>2017</v>
      </c>
      <c r="E68" s="187">
        <f t="shared" si="54"/>
        <v>2018</v>
      </c>
      <c r="F68" s="187">
        <f t="shared" si="54"/>
        <v>2019</v>
      </c>
      <c r="G68" s="187">
        <f t="shared" si="54"/>
        <v>2020</v>
      </c>
      <c r="H68" s="187">
        <f t="shared" si="54"/>
        <v>2021</v>
      </c>
      <c r="I68" s="187">
        <f t="shared" si="54"/>
        <v>2022</v>
      </c>
      <c r="J68" s="187">
        <f t="shared" si="54"/>
        <v>2023</v>
      </c>
      <c r="K68" s="187">
        <f t="shared" si="54"/>
        <v>2024</v>
      </c>
      <c r="L68" s="187" t="str">
        <f t="shared" si="54"/>
        <v>2025E</v>
      </c>
      <c r="M68" s="187" t="str">
        <f t="shared" si="54"/>
        <v>2026E</v>
      </c>
      <c r="N68" s="187" t="str">
        <f t="shared" si="54"/>
        <v>2027E</v>
      </c>
      <c r="O68" s="187" t="str">
        <f t="shared" si="54"/>
        <v>2028E</v>
      </c>
      <c r="P68" s="187" t="str">
        <f t="shared" si="54"/>
        <v>2029E</v>
      </c>
      <c r="Q68" s="187" t="str">
        <f t="shared" si="54"/>
        <v>2030E</v>
      </c>
      <c r="R68" s="187" t="str">
        <f t="shared" ref="R68:V68" si="55">R2</f>
        <v>2031E</v>
      </c>
      <c r="S68" s="187" t="str">
        <f t="shared" si="55"/>
        <v>2032E</v>
      </c>
      <c r="T68" s="187" t="str">
        <f t="shared" si="55"/>
        <v>2033E</v>
      </c>
      <c r="U68" s="187" t="str">
        <f t="shared" si="55"/>
        <v>2034E</v>
      </c>
      <c r="V68" s="187" t="str">
        <f t="shared" si="55"/>
        <v>2035E</v>
      </c>
      <c r="W68" s="174"/>
      <c r="X68" s="174"/>
      <c r="Y68" s="171"/>
      <c r="Z68" s="171"/>
      <c r="AA68" s="171"/>
      <c r="AB68" s="171"/>
      <c r="AC68" s="171"/>
      <c r="AD68" s="171"/>
      <c r="AE68" s="171"/>
      <c r="AF68" s="171"/>
      <c r="AG68" s="171"/>
      <c r="AH68" s="171"/>
      <c r="AI68" s="171"/>
      <c r="AJ68" s="171"/>
    </row>
    <row r="69" spans="1:36" s="9" customFormat="1" ht="15.75">
      <c r="A69" s="171"/>
      <c r="B69" s="171"/>
      <c r="C69" s="174"/>
      <c r="D69" s="174"/>
      <c r="E69" s="174"/>
      <c r="F69" s="174"/>
      <c r="G69" s="174"/>
      <c r="H69" s="174"/>
      <c r="I69" s="174"/>
      <c r="J69" s="174"/>
      <c r="K69" s="174"/>
      <c r="L69" s="174"/>
      <c r="M69" s="174"/>
      <c r="N69" s="174"/>
      <c r="O69" s="174"/>
      <c r="P69" s="174"/>
      <c r="Q69" s="174"/>
      <c r="R69" s="174"/>
      <c r="S69" s="174"/>
      <c r="T69" s="174"/>
      <c r="U69" s="174"/>
      <c r="V69" s="174"/>
      <c r="W69" s="174"/>
      <c r="X69" s="174"/>
      <c r="Y69" s="171"/>
      <c r="Z69" s="171"/>
      <c r="AA69" s="171"/>
      <c r="AB69" s="171"/>
      <c r="AC69" s="171"/>
      <c r="AD69" s="171"/>
      <c r="AE69" s="171"/>
      <c r="AF69" s="171"/>
      <c r="AG69" s="171"/>
      <c r="AH69" s="171"/>
      <c r="AI69" s="171"/>
      <c r="AJ69" s="171"/>
    </row>
    <row r="70" spans="1:36" s="9" customFormat="1" ht="15.75">
      <c r="A70" s="171"/>
      <c r="B70" s="171" t="s">
        <v>31</v>
      </c>
      <c r="C70" s="180">
        <f t="shared" ref="C70:K70" si="56">C212</f>
        <v>133.73699999999999</v>
      </c>
      <c r="D70" s="180">
        <f t="shared" si="56"/>
        <v>119.7</v>
      </c>
      <c r="E70" s="180">
        <f t="shared" si="56"/>
        <v>88.986999999999995</v>
      </c>
      <c r="F70" s="180">
        <f t="shared" si="56"/>
        <v>898.80200000000002</v>
      </c>
      <c r="G70" s="180">
        <f t="shared" si="56"/>
        <v>585.41600000000005</v>
      </c>
      <c r="H70" s="180">
        <f t="shared" si="56"/>
        <v>916.48800000000006</v>
      </c>
      <c r="I70" s="180">
        <f t="shared" si="56"/>
        <v>514.07799999999997</v>
      </c>
      <c r="J70" s="180">
        <f t="shared" si="56"/>
        <v>293.82299999999998</v>
      </c>
      <c r="K70" s="180">
        <f t="shared" si="56"/>
        <v>577.95600000000002</v>
      </c>
      <c r="L70" s="180">
        <f t="shared" ref="L70:Q70" si="57">L212</f>
        <v>830.41482747123246</v>
      </c>
      <c r="M70" s="180">
        <f t="shared" si="57"/>
        <v>935.14216598567373</v>
      </c>
      <c r="N70" s="180">
        <f t="shared" si="57"/>
        <v>1034.0915315583211</v>
      </c>
      <c r="O70" s="180">
        <f t="shared" si="57"/>
        <v>1107.1002618477983</v>
      </c>
      <c r="P70" s="180">
        <f t="shared" si="57"/>
        <v>1195.0990386353201</v>
      </c>
      <c r="Q70" s="180">
        <f t="shared" si="57"/>
        <v>1287.6849290550385</v>
      </c>
      <c r="R70" s="180">
        <f t="shared" ref="R70:V70" si="58">R212</f>
        <v>1399.502400591713</v>
      </c>
      <c r="S70" s="180">
        <f t="shared" si="58"/>
        <v>1509.9147742712225</v>
      </c>
      <c r="T70" s="180">
        <f t="shared" si="58"/>
        <v>1644.8732837494622</v>
      </c>
      <c r="U70" s="180">
        <f t="shared" si="58"/>
        <v>1793.2706491728036</v>
      </c>
      <c r="V70" s="180">
        <f t="shared" si="58"/>
        <v>1941.9474182500244</v>
      </c>
      <c r="W70" s="180"/>
      <c r="X70" s="180"/>
      <c r="Y70" s="171"/>
      <c r="Z70" s="171"/>
      <c r="AA70" s="171"/>
      <c r="AB70" s="171"/>
      <c r="AC70" s="171"/>
      <c r="AD70" s="171"/>
      <c r="AE70" s="171"/>
      <c r="AF70" s="171"/>
      <c r="AG70" s="171"/>
      <c r="AH70" s="171"/>
      <c r="AI70" s="171"/>
      <c r="AJ70" s="171"/>
    </row>
    <row r="71" spans="1:36" s="9" customFormat="1" ht="15.75">
      <c r="A71" s="171"/>
      <c r="B71" s="171" t="s">
        <v>32</v>
      </c>
      <c r="C71" s="180">
        <f t="shared" ref="C71:L71" si="59">C216</f>
        <v>19.503</v>
      </c>
      <c r="D71" s="180">
        <f t="shared" si="59"/>
        <v>9.5380000000000003</v>
      </c>
      <c r="E71" s="180">
        <f t="shared" si="59"/>
        <v>10.265000000000001</v>
      </c>
      <c r="F71" s="180">
        <f t="shared" si="59"/>
        <v>48.7</v>
      </c>
      <c r="G71" s="180">
        <f t="shared" si="59"/>
        <v>49.2</v>
      </c>
      <c r="H71" s="180">
        <f t="shared" si="59"/>
        <v>42.021999999999998</v>
      </c>
      <c r="I71" s="180">
        <f t="shared" si="59"/>
        <v>74.215999999999994</v>
      </c>
      <c r="J71" s="180">
        <f t="shared" si="59"/>
        <v>40.588999999999999</v>
      </c>
      <c r="K71" s="180">
        <f t="shared" si="59"/>
        <v>30.745999999999999</v>
      </c>
      <c r="L71" s="180">
        <f t="shared" si="59"/>
        <v>30.998489041489211</v>
      </c>
      <c r="M71" s="180">
        <f t="shared" ref="M71:V71" si="60">M216</f>
        <v>32.269350328169232</v>
      </c>
      <c r="N71" s="180">
        <f t="shared" si="60"/>
        <v>34.473205676889719</v>
      </c>
      <c r="O71" s="180">
        <f t="shared" si="60"/>
        <v>36.560592325059289</v>
      </c>
      <c r="P71" s="180">
        <f t="shared" si="60"/>
        <v>38.77366681036154</v>
      </c>
      <c r="Q71" s="180">
        <f t="shared" si="60"/>
        <v>41.056955297936142</v>
      </c>
      <c r="R71" s="180">
        <f t="shared" si="60"/>
        <v>43.316827787095043</v>
      </c>
      <c r="S71" s="180">
        <f t="shared" si="60"/>
        <v>45.625792055089647</v>
      </c>
      <c r="T71" s="180">
        <f t="shared" si="60"/>
        <v>48.065536688861101</v>
      </c>
      <c r="U71" s="180">
        <f t="shared" si="60"/>
        <v>50.641667517059993</v>
      </c>
      <c r="V71" s="180">
        <f t="shared" si="60"/>
        <v>53.364495264124692</v>
      </c>
      <c r="W71" s="180"/>
      <c r="X71" s="180"/>
      <c r="Y71" s="251"/>
      <c r="Z71" s="251"/>
      <c r="AA71" s="251"/>
      <c r="AB71" s="251"/>
      <c r="AC71" s="171"/>
      <c r="AD71" s="171"/>
      <c r="AE71" s="171"/>
      <c r="AF71" s="171"/>
      <c r="AG71" s="171"/>
      <c r="AH71" s="171"/>
      <c r="AI71" s="171"/>
      <c r="AJ71" s="171"/>
    </row>
    <row r="72" spans="1:36" s="9" customFormat="1" ht="15.75">
      <c r="A72" s="171"/>
      <c r="B72" s="171" t="s">
        <v>33</v>
      </c>
      <c r="C72" s="180">
        <f t="shared" ref="C72:L72" si="61">C220</f>
        <v>126.929</v>
      </c>
      <c r="D72" s="180">
        <f t="shared" si="61"/>
        <v>108.491</v>
      </c>
      <c r="E72" s="180">
        <f t="shared" si="61"/>
        <v>102.25</v>
      </c>
      <c r="F72" s="180">
        <f t="shared" si="61"/>
        <v>276.14</v>
      </c>
      <c r="G72" s="180">
        <f t="shared" si="61"/>
        <v>327.18700000000001</v>
      </c>
      <c r="H72" s="180">
        <f t="shared" si="61"/>
        <v>469.13</v>
      </c>
      <c r="I72" s="180">
        <f t="shared" si="61"/>
        <v>663.46699999999998</v>
      </c>
      <c r="J72" s="180">
        <f t="shared" si="61"/>
        <v>607.83500000000004</v>
      </c>
      <c r="K72" s="180">
        <f t="shared" si="61"/>
        <v>313.35599999999999</v>
      </c>
      <c r="L72" s="180">
        <f t="shared" si="61"/>
        <v>327.80277069876576</v>
      </c>
      <c r="M72" s="180">
        <f t="shared" ref="M72:V72" si="62">M220</f>
        <v>377.16206964214831</v>
      </c>
      <c r="N72" s="180">
        <f t="shared" si="62"/>
        <v>460.48067170573563</v>
      </c>
      <c r="O72" s="180">
        <f t="shared" si="62"/>
        <v>549.40863502216189</v>
      </c>
      <c r="P72" s="180">
        <f t="shared" si="62"/>
        <v>625.8256591554242</v>
      </c>
      <c r="Q72" s="180">
        <f t="shared" si="62"/>
        <v>708.38103760522813</v>
      </c>
      <c r="R72" s="180">
        <f t="shared" si="62"/>
        <v>795.58956442758972</v>
      </c>
      <c r="S72" s="180">
        <f t="shared" si="62"/>
        <v>888.78548765090682</v>
      </c>
      <c r="T72" s="180">
        <f t="shared" si="62"/>
        <v>1003.1908380813319</v>
      </c>
      <c r="U72" s="180">
        <f t="shared" si="62"/>
        <v>1113.3291667621152</v>
      </c>
      <c r="V72" s="180">
        <f t="shared" si="62"/>
        <v>1232.5910114963247</v>
      </c>
      <c r="W72" s="180"/>
      <c r="X72" s="180"/>
      <c r="Y72" s="251"/>
      <c r="Z72" s="251"/>
      <c r="AA72" s="251"/>
      <c r="AB72" s="251"/>
      <c r="AC72" s="171"/>
      <c r="AD72" s="171"/>
      <c r="AE72" s="171"/>
      <c r="AF72" s="171"/>
      <c r="AG72" s="171"/>
      <c r="AH72" s="171"/>
      <c r="AI72" s="171"/>
      <c r="AJ72" s="171"/>
    </row>
    <row r="73" spans="1:36" s="9" customFormat="1" ht="15.75">
      <c r="A73" s="171"/>
      <c r="B73" s="171" t="s">
        <v>34</v>
      </c>
      <c r="C73" s="198">
        <v>0</v>
      </c>
      <c r="D73" s="198">
        <v>0</v>
      </c>
      <c r="E73" s="198">
        <v>0</v>
      </c>
      <c r="F73" s="198">
        <v>0</v>
      </c>
      <c r="G73" s="198">
        <v>0</v>
      </c>
      <c r="H73" s="198">
        <v>0</v>
      </c>
      <c r="I73" s="198">
        <v>0</v>
      </c>
      <c r="J73" s="198">
        <v>0</v>
      </c>
      <c r="K73" s="198">
        <v>0</v>
      </c>
      <c r="L73" s="193">
        <v>0</v>
      </c>
      <c r="M73" s="193">
        <v>0</v>
      </c>
      <c r="N73" s="193">
        <v>0</v>
      </c>
      <c r="O73" s="193">
        <v>0</v>
      </c>
      <c r="P73" s="193">
        <v>0</v>
      </c>
      <c r="Q73" s="193">
        <v>0</v>
      </c>
      <c r="R73" s="193">
        <v>0</v>
      </c>
      <c r="S73" s="193">
        <v>0</v>
      </c>
      <c r="T73" s="193">
        <v>0</v>
      </c>
      <c r="U73" s="193">
        <v>0</v>
      </c>
      <c r="V73" s="193">
        <v>0</v>
      </c>
      <c r="W73" s="180"/>
      <c r="X73" s="180"/>
      <c r="Y73" s="251"/>
      <c r="Z73" s="251"/>
      <c r="AA73" s="251"/>
      <c r="AB73" s="251"/>
      <c r="AC73" s="171"/>
      <c r="AD73" s="171"/>
      <c r="AE73" s="171"/>
      <c r="AF73" s="171"/>
      <c r="AG73" s="171"/>
      <c r="AH73" s="171"/>
      <c r="AI73" s="171"/>
      <c r="AJ73" s="171"/>
    </row>
    <row r="74" spans="1:36" s="9" customFormat="1" ht="15.75">
      <c r="A74" s="171"/>
      <c r="B74" s="171" t="s">
        <v>306</v>
      </c>
      <c r="C74" s="180">
        <f>C75-SUM(C70:C73)</f>
        <v>20.466000000000008</v>
      </c>
      <c r="D74" s="180">
        <f t="shared" ref="D74:K74" si="63">D75-SUM(D70:D73)</f>
        <v>23.40300000000002</v>
      </c>
      <c r="E74" s="180">
        <f t="shared" si="63"/>
        <v>16.224999999999994</v>
      </c>
      <c r="F74" s="180">
        <f t="shared" si="63"/>
        <v>6.3999999999850843E-2</v>
      </c>
      <c r="G74" s="180">
        <f t="shared" si="63"/>
        <v>27.516999999999939</v>
      </c>
      <c r="H74" s="180">
        <f t="shared" si="63"/>
        <v>0.12799999999992906</v>
      </c>
      <c r="I74" s="180">
        <f t="shared" si="63"/>
        <v>1.1739999999999782</v>
      </c>
      <c r="J74" s="180">
        <f t="shared" si="63"/>
        <v>30.3599999999999</v>
      </c>
      <c r="K74" s="180">
        <f t="shared" si="63"/>
        <v>2.25</v>
      </c>
      <c r="L74" s="193">
        <f t="shared" ref="L74:V74" si="64">K74</f>
        <v>2.25</v>
      </c>
      <c r="M74" s="193">
        <f t="shared" si="64"/>
        <v>2.25</v>
      </c>
      <c r="N74" s="193">
        <f t="shared" si="64"/>
        <v>2.25</v>
      </c>
      <c r="O74" s="193">
        <f t="shared" si="64"/>
        <v>2.25</v>
      </c>
      <c r="P74" s="193">
        <f t="shared" si="64"/>
        <v>2.25</v>
      </c>
      <c r="Q74" s="193">
        <f t="shared" si="64"/>
        <v>2.25</v>
      </c>
      <c r="R74" s="193">
        <f t="shared" si="64"/>
        <v>2.25</v>
      </c>
      <c r="S74" s="193">
        <f t="shared" si="64"/>
        <v>2.25</v>
      </c>
      <c r="T74" s="193">
        <f t="shared" si="64"/>
        <v>2.25</v>
      </c>
      <c r="U74" s="193">
        <f t="shared" si="64"/>
        <v>2.25</v>
      </c>
      <c r="V74" s="193">
        <f t="shared" si="64"/>
        <v>2.25</v>
      </c>
      <c r="W74" s="180"/>
      <c r="X74" s="180"/>
      <c r="Y74" s="174"/>
      <c r="Z74" s="174"/>
      <c r="AA74" s="174"/>
      <c r="AB74" s="174"/>
      <c r="AC74" s="173"/>
      <c r="AD74" s="171"/>
      <c r="AE74" s="171"/>
      <c r="AF74" s="171"/>
      <c r="AG74" s="171"/>
      <c r="AH74" s="171"/>
      <c r="AI74" s="171"/>
      <c r="AJ74" s="171"/>
    </row>
    <row r="75" spans="1:36" s="7" customFormat="1" ht="15.75">
      <c r="A75" s="173"/>
      <c r="B75" s="173" t="s">
        <v>35</v>
      </c>
      <c r="C75" s="219">
        <v>300.63499999999999</v>
      </c>
      <c r="D75" s="219">
        <v>261.13200000000001</v>
      </c>
      <c r="E75" s="219">
        <v>217.727</v>
      </c>
      <c r="F75" s="219">
        <v>1223.7059999999999</v>
      </c>
      <c r="G75" s="219">
        <v>989.32</v>
      </c>
      <c r="H75" s="219">
        <v>1427.768</v>
      </c>
      <c r="I75" s="219">
        <v>1252.9349999999999</v>
      </c>
      <c r="J75" s="219">
        <v>972.60699999999997</v>
      </c>
      <c r="K75" s="219">
        <v>924.30799999999999</v>
      </c>
      <c r="L75" s="184">
        <f t="shared" ref="L75:Q75" si="65">SUM(L70:L74)</f>
        <v>1191.4660872114873</v>
      </c>
      <c r="M75" s="184">
        <f t="shared" si="65"/>
        <v>1346.8235859559913</v>
      </c>
      <c r="N75" s="184">
        <f t="shared" si="65"/>
        <v>1531.2954089409463</v>
      </c>
      <c r="O75" s="184">
        <f t="shared" si="65"/>
        <v>1695.3194891950195</v>
      </c>
      <c r="P75" s="184">
        <f t="shared" si="65"/>
        <v>1861.9483646011058</v>
      </c>
      <c r="Q75" s="184">
        <f t="shared" si="65"/>
        <v>2039.3729219582028</v>
      </c>
      <c r="R75" s="184">
        <f t="shared" ref="R75:V75" si="66">SUM(R70:R74)</f>
        <v>2240.6587928063977</v>
      </c>
      <c r="S75" s="184">
        <f t="shared" si="66"/>
        <v>2446.5760539772191</v>
      </c>
      <c r="T75" s="184">
        <f t="shared" si="66"/>
        <v>2698.3796585196551</v>
      </c>
      <c r="U75" s="184">
        <f t="shared" si="66"/>
        <v>2959.4914834519786</v>
      </c>
      <c r="V75" s="184">
        <f t="shared" si="66"/>
        <v>3230.1529250104741</v>
      </c>
      <c r="W75" s="184"/>
      <c r="X75" s="184"/>
      <c r="Y75" s="251"/>
      <c r="Z75" s="251"/>
      <c r="AA75" s="251"/>
      <c r="AB75" s="251"/>
      <c r="AC75" s="171"/>
      <c r="AD75" s="173"/>
      <c r="AE75" s="173"/>
      <c r="AF75" s="173"/>
      <c r="AG75" s="173"/>
      <c r="AH75" s="173"/>
      <c r="AI75" s="173"/>
      <c r="AJ75" s="173"/>
    </row>
    <row r="76" spans="1:36" s="9" customFormat="1" ht="15.75">
      <c r="A76" s="171"/>
      <c r="B76" s="171"/>
      <c r="C76" s="184"/>
      <c r="D76" s="184"/>
      <c r="E76" s="184"/>
      <c r="F76" s="184"/>
      <c r="G76" s="184"/>
      <c r="H76" s="184"/>
      <c r="I76" s="184"/>
      <c r="J76" s="184"/>
      <c r="K76" s="184"/>
      <c r="L76" s="184"/>
      <c r="M76" s="184"/>
      <c r="N76" s="184"/>
      <c r="O76" s="184"/>
      <c r="P76" s="184"/>
      <c r="Q76" s="184"/>
      <c r="R76" s="184"/>
      <c r="S76" s="184"/>
      <c r="T76" s="184"/>
      <c r="U76" s="184"/>
      <c r="V76" s="184"/>
      <c r="W76" s="184"/>
      <c r="X76" s="184"/>
      <c r="Y76" s="251"/>
      <c r="Z76" s="251"/>
      <c r="AA76" s="251"/>
      <c r="AB76" s="251"/>
      <c r="AC76" s="171"/>
      <c r="AD76" s="171"/>
      <c r="AE76" s="171"/>
      <c r="AF76" s="171"/>
      <c r="AG76" s="171"/>
      <c r="AH76" s="171"/>
      <c r="AI76" s="171"/>
      <c r="AJ76" s="171"/>
    </row>
    <row r="77" spans="1:36" s="9" customFormat="1" ht="15.75">
      <c r="A77" s="171"/>
      <c r="B77" s="171" t="s">
        <v>36</v>
      </c>
      <c r="C77" s="180">
        <f t="shared" ref="C77:O77" si="67">C144</f>
        <v>0</v>
      </c>
      <c r="D77" s="180">
        <f t="shared" si="67"/>
        <v>0</v>
      </c>
      <c r="E77" s="180">
        <f t="shared" si="67"/>
        <v>1531.9760000000001</v>
      </c>
      <c r="F77" s="180">
        <f t="shared" si="67"/>
        <v>1907.0170000000001</v>
      </c>
      <c r="G77" s="180">
        <f t="shared" si="67"/>
        <v>1906.17</v>
      </c>
      <c r="H77" s="180">
        <f t="shared" si="67"/>
        <v>1708.8340000000001</v>
      </c>
      <c r="I77" s="180">
        <f t="shared" si="67"/>
        <v>2075.4409999999998</v>
      </c>
      <c r="J77" s="180">
        <f t="shared" si="67"/>
        <v>1740.2349999999999</v>
      </c>
      <c r="K77" s="180">
        <f t="shared" si="67"/>
        <v>1352.645</v>
      </c>
      <c r="L77" s="180">
        <f t="shared" si="67"/>
        <v>1269.1280225370128</v>
      </c>
      <c r="M77" s="180">
        <f t="shared" si="67"/>
        <v>1296.9630947381597</v>
      </c>
      <c r="N77" s="180">
        <f t="shared" si="67"/>
        <v>1326.9448910205624</v>
      </c>
      <c r="O77" s="180">
        <f t="shared" si="67"/>
        <v>1360.3255062917374</v>
      </c>
      <c r="P77" s="180">
        <f t="shared" ref="P77:V77" si="68">P144</f>
        <v>1389.0400502556945</v>
      </c>
      <c r="Q77" s="180">
        <f t="shared" si="68"/>
        <v>1424.0962691852765</v>
      </c>
      <c r="R77" s="180">
        <f t="shared" si="68"/>
        <v>1455.1135910259009</v>
      </c>
      <c r="S77" s="180">
        <f t="shared" si="68"/>
        <v>1494.050696665221</v>
      </c>
      <c r="T77" s="180">
        <f t="shared" si="68"/>
        <v>1530.3636866432562</v>
      </c>
      <c r="U77" s="180">
        <f t="shared" si="68"/>
        <v>1577.6240543784661</v>
      </c>
      <c r="V77" s="180">
        <f t="shared" si="68"/>
        <v>1637.2769224291842</v>
      </c>
      <c r="W77" s="180"/>
      <c r="X77" s="180"/>
      <c r="Y77" s="251"/>
      <c r="Z77" s="251"/>
      <c r="AA77" s="185"/>
      <c r="AB77" s="185"/>
      <c r="AC77" s="171"/>
      <c r="AD77" s="171"/>
      <c r="AE77" s="171"/>
      <c r="AF77" s="171"/>
      <c r="AG77" s="171"/>
      <c r="AH77" s="171"/>
      <c r="AI77" s="171"/>
      <c r="AJ77" s="171"/>
    </row>
    <row r="78" spans="1:36" s="9" customFormat="1" ht="15.75">
      <c r="A78" s="171"/>
      <c r="B78" s="171" t="s">
        <v>667</v>
      </c>
      <c r="C78" s="180"/>
      <c r="D78" s="180"/>
      <c r="E78" s="180"/>
      <c r="F78" s="180"/>
      <c r="G78" s="180"/>
      <c r="H78" s="180">
        <f>H151</f>
        <v>520.65099999999995</v>
      </c>
      <c r="I78" s="180">
        <f t="shared" ref="I78:Q78" si="69">I151</f>
        <v>965.01900000000001</v>
      </c>
      <c r="J78" s="180">
        <f t="shared" si="69"/>
        <v>886.90899999999999</v>
      </c>
      <c r="K78" s="180">
        <f t="shared" si="69"/>
        <v>699.05700000000002</v>
      </c>
      <c r="L78" s="180">
        <f t="shared" si="69"/>
        <v>699.05700000000002</v>
      </c>
      <c r="M78" s="180">
        <f t="shared" si="69"/>
        <v>699.05700000000002</v>
      </c>
      <c r="N78" s="180">
        <f t="shared" si="69"/>
        <v>699.05700000000002</v>
      </c>
      <c r="O78" s="180">
        <f t="shared" si="69"/>
        <v>699.05700000000002</v>
      </c>
      <c r="P78" s="180">
        <f t="shared" si="69"/>
        <v>699.05700000000002</v>
      </c>
      <c r="Q78" s="180">
        <f t="shared" si="69"/>
        <v>699.05700000000002</v>
      </c>
      <c r="R78" s="180">
        <f t="shared" ref="R78:V78" si="70">R151</f>
        <v>699.05700000000002</v>
      </c>
      <c r="S78" s="180">
        <f t="shared" si="70"/>
        <v>699.05700000000002</v>
      </c>
      <c r="T78" s="180">
        <f t="shared" si="70"/>
        <v>699.05700000000002</v>
      </c>
      <c r="U78" s="180">
        <f t="shared" si="70"/>
        <v>699.05700000000002</v>
      </c>
      <c r="V78" s="180">
        <f t="shared" si="70"/>
        <v>699.05700000000002</v>
      </c>
      <c r="W78" s="180"/>
      <c r="X78" s="180"/>
      <c r="AA78" s="251"/>
      <c r="AB78" s="251"/>
      <c r="AC78" s="171"/>
      <c r="AD78" s="171"/>
      <c r="AE78" s="171"/>
      <c r="AF78" s="171"/>
      <c r="AG78" s="171"/>
      <c r="AH78" s="171"/>
      <c r="AI78" s="171"/>
      <c r="AJ78" s="171"/>
    </row>
    <row r="79" spans="1:36" s="9" customFormat="1" ht="15.75">
      <c r="A79" s="171"/>
      <c r="B79" s="171" t="s">
        <v>37</v>
      </c>
      <c r="C79" s="180">
        <f t="shared" ref="C79:L79" si="71">C173</f>
        <v>0</v>
      </c>
      <c r="D79" s="180">
        <f t="shared" si="71"/>
        <v>0</v>
      </c>
      <c r="E79" s="180">
        <f t="shared" si="71"/>
        <v>0</v>
      </c>
      <c r="F79" s="180">
        <f t="shared" si="71"/>
        <v>518.14099999999996</v>
      </c>
      <c r="G79" s="180">
        <f t="shared" si="71"/>
        <v>656.25599999999997</v>
      </c>
      <c r="H79" s="180">
        <f t="shared" si="71"/>
        <v>869.31899999999996</v>
      </c>
      <c r="I79" s="180">
        <f t="shared" si="71"/>
        <v>763.38800000000003</v>
      </c>
      <c r="J79" s="180">
        <f t="shared" si="71"/>
        <v>619.298</v>
      </c>
      <c r="K79" s="180">
        <f t="shared" si="71"/>
        <v>403.24200000000002</v>
      </c>
      <c r="L79" s="180">
        <f t="shared" si="71"/>
        <v>403.24200000000002</v>
      </c>
      <c r="M79" s="180">
        <f t="shared" ref="M79:V79" si="72">M173</f>
        <v>403.24200000000002</v>
      </c>
      <c r="N79" s="180">
        <f t="shared" si="72"/>
        <v>403.24200000000002</v>
      </c>
      <c r="O79" s="180">
        <f t="shared" si="72"/>
        <v>403.24200000000002</v>
      </c>
      <c r="P79" s="180">
        <f t="shared" si="72"/>
        <v>403.24200000000002</v>
      </c>
      <c r="Q79" s="180">
        <f t="shared" si="72"/>
        <v>403.24200000000002</v>
      </c>
      <c r="R79" s="180">
        <f t="shared" si="72"/>
        <v>403.24200000000002</v>
      </c>
      <c r="S79" s="180">
        <f t="shared" si="72"/>
        <v>403.24200000000002</v>
      </c>
      <c r="T79" s="180">
        <f t="shared" si="72"/>
        <v>403.24200000000002</v>
      </c>
      <c r="U79" s="180">
        <f t="shared" si="72"/>
        <v>403.24200000000002</v>
      </c>
      <c r="V79" s="180">
        <f t="shared" si="72"/>
        <v>403.24200000000002</v>
      </c>
      <c r="W79" s="180"/>
      <c r="X79" s="180"/>
      <c r="Y79" s="251"/>
      <c r="Z79" s="251"/>
      <c r="AA79" s="251"/>
      <c r="AB79" s="251"/>
      <c r="AC79" s="171"/>
      <c r="AD79" s="171"/>
      <c r="AE79" s="171"/>
      <c r="AF79" s="171"/>
      <c r="AG79" s="171"/>
      <c r="AH79" s="171"/>
      <c r="AI79" s="171"/>
      <c r="AJ79" s="171"/>
    </row>
    <row r="80" spans="1:36" s="9" customFormat="1" ht="15.75">
      <c r="A80" s="171"/>
      <c r="B80" s="171" t="s">
        <v>38</v>
      </c>
      <c r="C80" s="180">
        <f t="shared" ref="C80:L80" si="73">C170</f>
        <v>35.555999999999997</v>
      </c>
      <c r="D80" s="180">
        <f t="shared" si="73"/>
        <v>17.960999999999999</v>
      </c>
      <c r="E80" s="180">
        <f t="shared" si="73"/>
        <v>12.406000000000001</v>
      </c>
      <c r="F80" s="180">
        <f t="shared" si="73"/>
        <v>449.63200000000001</v>
      </c>
      <c r="G80" s="180">
        <f t="shared" si="73"/>
        <v>690.84100000000001</v>
      </c>
      <c r="H80" s="180">
        <f t="shared" si="73"/>
        <v>701.42499999999995</v>
      </c>
      <c r="I80" s="180">
        <f t="shared" si="73"/>
        <v>1049.1030000000001</v>
      </c>
      <c r="J80" s="180">
        <f t="shared" si="73"/>
        <v>933.03</v>
      </c>
      <c r="K80" s="180">
        <f t="shared" si="73"/>
        <v>673.952</v>
      </c>
      <c r="L80" s="180">
        <f t="shared" si="73"/>
        <v>651.23730508952963</v>
      </c>
      <c r="M80" s="180">
        <f t="shared" ref="M80:V80" si="74">M170</f>
        <v>678.08459126023263</v>
      </c>
      <c r="N80" s="180">
        <f t="shared" si="74"/>
        <v>701.35582759886597</v>
      </c>
      <c r="O80" s="180">
        <f t="shared" si="74"/>
        <v>721.80402128560809</v>
      </c>
      <c r="P80" s="180">
        <f t="shared" si="74"/>
        <v>739.60230002985008</v>
      </c>
      <c r="Q80" s="180">
        <f t="shared" si="74"/>
        <v>755.93778561118802</v>
      </c>
      <c r="R80" s="180">
        <f t="shared" si="74"/>
        <v>769.64081524202118</v>
      </c>
      <c r="S80" s="180">
        <f t="shared" si="74"/>
        <v>782.01136029049133</v>
      </c>
      <c r="T80" s="180">
        <f t="shared" si="74"/>
        <v>791.8658375742973</v>
      </c>
      <c r="U80" s="180">
        <f t="shared" si="74"/>
        <v>800.69288331600887</v>
      </c>
      <c r="V80" s="180">
        <f t="shared" si="74"/>
        <v>808.64684090780145</v>
      </c>
      <c r="W80" s="180"/>
      <c r="X80" s="180"/>
      <c r="Y80" s="234"/>
      <c r="Z80" s="234"/>
      <c r="AA80" s="234"/>
      <c r="AB80" s="234"/>
      <c r="AC80" s="171"/>
      <c r="AD80" s="171"/>
      <c r="AE80" s="171"/>
      <c r="AF80" s="171"/>
      <c r="AG80" s="171"/>
      <c r="AH80" s="171"/>
      <c r="AI80" s="171"/>
      <c r="AJ80" s="171"/>
    </row>
    <row r="81" spans="1:36" s="9" customFormat="1" ht="15.75">
      <c r="A81" s="171"/>
      <c r="B81" s="191" t="s">
        <v>307</v>
      </c>
      <c r="C81" s="198">
        <v>0.13200000000000001</v>
      </c>
      <c r="D81" s="198">
        <v>0.13200000000000001</v>
      </c>
      <c r="E81" s="198">
        <v>0.13200000000000001</v>
      </c>
      <c r="F81" s="198">
        <v>18.777000000000001</v>
      </c>
      <c r="G81" s="198">
        <v>36.408999999999999</v>
      </c>
      <c r="H81" s="198">
        <v>69.478999999999999</v>
      </c>
      <c r="I81" s="198">
        <v>130.34700000000001</v>
      </c>
      <c r="J81" s="198">
        <v>147.292</v>
      </c>
      <c r="K81" s="198">
        <v>121.033</v>
      </c>
      <c r="L81" s="193">
        <f t="shared" ref="L81:V81" si="75">K81</f>
        <v>121.033</v>
      </c>
      <c r="M81" s="193">
        <f t="shared" si="75"/>
        <v>121.033</v>
      </c>
      <c r="N81" s="193">
        <f t="shared" si="75"/>
        <v>121.033</v>
      </c>
      <c r="O81" s="193">
        <f t="shared" si="75"/>
        <v>121.033</v>
      </c>
      <c r="P81" s="193">
        <f t="shared" si="75"/>
        <v>121.033</v>
      </c>
      <c r="Q81" s="193">
        <f t="shared" si="75"/>
        <v>121.033</v>
      </c>
      <c r="R81" s="193">
        <f t="shared" si="75"/>
        <v>121.033</v>
      </c>
      <c r="S81" s="193">
        <f t="shared" si="75"/>
        <v>121.033</v>
      </c>
      <c r="T81" s="193">
        <f t="shared" si="75"/>
        <v>121.033</v>
      </c>
      <c r="U81" s="193">
        <f t="shared" si="75"/>
        <v>121.033</v>
      </c>
      <c r="V81" s="193">
        <f t="shared" si="75"/>
        <v>121.033</v>
      </c>
      <c r="W81" s="180"/>
      <c r="X81" s="180"/>
      <c r="Y81" s="234"/>
      <c r="Z81" s="234"/>
      <c r="AA81" s="251"/>
      <c r="AB81" s="251"/>
      <c r="AC81" s="171"/>
      <c r="AD81" s="171"/>
      <c r="AE81" s="171"/>
      <c r="AF81" s="171"/>
      <c r="AG81" s="171"/>
      <c r="AH81" s="171"/>
      <c r="AI81" s="171"/>
      <c r="AJ81" s="171"/>
    </row>
    <row r="82" spans="1:36" s="9" customFormat="1" ht="15.75">
      <c r="A82" s="171"/>
      <c r="B82" s="191" t="s">
        <v>39</v>
      </c>
      <c r="C82" s="198">
        <f>102.406+1393</f>
        <v>1495.4059999999999</v>
      </c>
      <c r="D82" s="198">
        <f>23.917+104.983</f>
        <v>128.9</v>
      </c>
      <c r="E82" s="198">
        <f>7.086+103.786</f>
        <v>110.872</v>
      </c>
      <c r="F82" s="198">
        <f>0.011+4.82+42.604</f>
        <v>47.435000000000002</v>
      </c>
      <c r="G82" s="198">
        <f>0.008+13.443+155.196</f>
        <v>168.64699999999999</v>
      </c>
      <c r="H82" s="198">
        <f>0.011+11.064+165.1</f>
        <v>176.17499999999998</v>
      </c>
      <c r="I82" s="198">
        <f>0.01+78.394+6.121</f>
        <v>84.525000000000006</v>
      </c>
      <c r="J82" s="198">
        <f>0.013+63.786+1.54</f>
        <v>65.338999999999999</v>
      </c>
      <c r="K82" s="198">
        <f>73.345+29.41</f>
        <v>102.755</v>
      </c>
      <c r="L82" s="193">
        <f t="shared" ref="L82:V82" si="76">K82</f>
        <v>102.755</v>
      </c>
      <c r="M82" s="193">
        <f t="shared" si="76"/>
        <v>102.755</v>
      </c>
      <c r="N82" s="193">
        <f t="shared" si="76"/>
        <v>102.755</v>
      </c>
      <c r="O82" s="193">
        <f t="shared" si="76"/>
        <v>102.755</v>
      </c>
      <c r="P82" s="193">
        <f t="shared" si="76"/>
        <v>102.755</v>
      </c>
      <c r="Q82" s="193">
        <f t="shared" si="76"/>
        <v>102.755</v>
      </c>
      <c r="R82" s="193">
        <f t="shared" si="76"/>
        <v>102.755</v>
      </c>
      <c r="S82" s="193">
        <f t="shared" si="76"/>
        <v>102.755</v>
      </c>
      <c r="T82" s="193">
        <f t="shared" si="76"/>
        <v>102.755</v>
      </c>
      <c r="U82" s="193">
        <f t="shared" si="76"/>
        <v>102.755</v>
      </c>
      <c r="V82" s="193">
        <f t="shared" si="76"/>
        <v>102.755</v>
      </c>
      <c r="W82" s="180"/>
      <c r="X82" s="180"/>
      <c r="Y82" s="220"/>
      <c r="Z82" s="220"/>
      <c r="AA82" s="171"/>
      <c r="AB82" s="171"/>
      <c r="AC82" s="171"/>
      <c r="AD82" s="171"/>
      <c r="AE82" s="171"/>
      <c r="AF82" s="171"/>
      <c r="AG82" s="171"/>
      <c r="AH82" s="171"/>
      <c r="AI82" s="171"/>
      <c r="AJ82" s="171"/>
    </row>
    <row r="83" spans="1:36" s="9" customFormat="1" ht="15.75">
      <c r="A83" s="171"/>
      <c r="B83" s="171"/>
      <c r="C83" s="184"/>
      <c r="D83" s="184"/>
      <c r="E83" s="184"/>
      <c r="F83" s="184"/>
      <c r="G83" s="184"/>
      <c r="H83" s="184"/>
      <c r="I83" s="184"/>
      <c r="J83" s="184"/>
      <c r="K83" s="184"/>
      <c r="L83" s="184"/>
      <c r="M83" s="184"/>
      <c r="N83" s="184"/>
      <c r="O83" s="184"/>
      <c r="P83" s="184"/>
      <c r="Q83" s="184"/>
      <c r="R83" s="184"/>
      <c r="S83" s="184"/>
      <c r="T83" s="184"/>
      <c r="U83" s="184"/>
      <c r="V83" s="184"/>
      <c r="W83" s="184"/>
      <c r="X83" s="184"/>
      <c r="Y83" s="220"/>
      <c r="Z83" s="220"/>
      <c r="AA83" s="171"/>
      <c r="AB83" s="171"/>
      <c r="AC83" s="171"/>
      <c r="AD83" s="171"/>
      <c r="AE83" s="171"/>
      <c r="AF83" s="171"/>
      <c r="AG83" s="171"/>
      <c r="AH83" s="171"/>
      <c r="AI83" s="171"/>
      <c r="AJ83" s="171"/>
    </row>
    <row r="84" spans="1:36" s="9" customFormat="1" ht="16.5" thickBot="1">
      <c r="A84" s="171"/>
      <c r="B84" s="202" t="s">
        <v>40</v>
      </c>
      <c r="C84" s="203">
        <f t="shared" ref="C84:K84" si="77">SUM(C75:C82)</f>
        <v>1831.7289999999998</v>
      </c>
      <c r="D84" s="203">
        <f t="shared" si="77"/>
        <v>408.125</v>
      </c>
      <c r="E84" s="203">
        <f t="shared" si="77"/>
        <v>1873.1130000000003</v>
      </c>
      <c r="F84" s="203">
        <f t="shared" si="77"/>
        <v>4164.7080000000005</v>
      </c>
      <c r="G84" s="203">
        <f t="shared" si="77"/>
        <v>4447.643</v>
      </c>
      <c r="H84" s="203">
        <f t="shared" si="77"/>
        <v>5473.6510000000007</v>
      </c>
      <c r="I84" s="203">
        <f t="shared" si="77"/>
        <v>6320.7579999999989</v>
      </c>
      <c r="J84" s="203">
        <f t="shared" si="77"/>
        <v>5364.71</v>
      </c>
      <c r="K84" s="203">
        <f t="shared" si="77"/>
        <v>4276.9920000000011</v>
      </c>
      <c r="L84" s="203">
        <f t="shared" ref="L84:Q84" si="78">SUM(L75:L82)</f>
        <v>4437.91841483803</v>
      </c>
      <c r="M84" s="203">
        <f t="shared" si="78"/>
        <v>4647.9582719543841</v>
      </c>
      <c r="N84" s="203">
        <f t="shared" si="78"/>
        <v>4885.6831275603754</v>
      </c>
      <c r="O84" s="203">
        <f t="shared" si="78"/>
        <v>5103.5360167723647</v>
      </c>
      <c r="P84" s="203">
        <f t="shared" si="78"/>
        <v>5316.6777148866513</v>
      </c>
      <c r="Q84" s="203">
        <f t="shared" si="78"/>
        <v>5545.4939767546675</v>
      </c>
      <c r="R84" s="203">
        <f t="shared" ref="R84:V84" si="79">SUM(R75:R82)</f>
        <v>5791.5001990743203</v>
      </c>
      <c r="S84" s="203">
        <f t="shared" si="79"/>
        <v>6048.7251109329318</v>
      </c>
      <c r="T84" s="203">
        <f t="shared" si="79"/>
        <v>6346.6961827372088</v>
      </c>
      <c r="U84" s="203">
        <f t="shared" si="79"/>
        <v>6663.8954211464543</v>
      </c>
      <c r="V84" s="203">
        <f t="shared" si="79"/>
        <v>7002.1636883474603</v>
      </c>
      <c r="W84" s="184"/>
      <c r="X84" s="184"/>
      <c r="Y84" s="220"/>
      <c r="Z84" s="220"/>
      <c r="AA84" s="171"/>
      <c r="AB84" s="171"/>
      <c r="AC84" s="171"/>
      <c r="AD84" s="171"/>
      <c r="AE84" s="171"/>
      <c r="AF84" s="171"/>
      <c r="AG84" s="171"/>
      <c r="AH84" s="171"/>
      <c r="AI84" s="171"/>
      <c r="AJ84" s="171"/>
    </row>
    <row r="85" spans="1:36" s="9" customFormat="1" ht="16.5" thickTop="1">
      <c r="A85" s="171"/>
      <c r="B85" s="171"/>
      <c r="C85" s="184"/>
      <c r="D85" s="184"/>
      <c r="E85" s="184"/>
      <c r="F85" s="184"/>
      <c r="G85" s="184"/>
      <c r="H85" s="184"/>
      <c r="I85" s="184"/>
      <c r="J85" s="184"/>
      <c r="K85" s="184"/>
      <c r="L85" s="184"/>
      <c r="M85" s="184"/>
      <c r="N85" s="184"/>
      <c r="O85" s="184"/>
      <c r="P85" s="184"/>
      <c r="Q85" s="184"/>
      <c r="R85" s="184"/>
      <c r="S85" s="184"/>
      <c r="T85" s="184"/>
      <c r="U85" s="184"/>
      <c r="V85" s="184"/>
      <c r="W85" s="184"/>
      <c r="X85" s="184"/>
      <c r="Y85" s="220"/>
      <c r="Z85" s="220"/>
      <c r="AA85" s="171"/>
      <c r="AB85" s="171"/>
      <c r="AC85" s="171"/>
      <c r="AD85" s="171"/>
      <c r="AE85" s="171"/>
      <c r="AF85" s="171"/>
      <c r="AG85" s="171"/>
      <c r="AH85" s="171"/>
      <c r="AI85" s="171"/>
      <c r="AJ85" s="171"/>
    </row>
    <row r="86" spans="1:36" s="9" customFormat="1" ht="15.75">
      <c r="A86" s="171"/>
      <c r="B86" s="171" t="s">
        <v>41</v>
      </c>
      <c r="C86" s="180">
        <f>C224</f>
        <v>163.857</v>
      </c>
      <c r="D86" s="180">
        <f>D224</f>
        <v>147.32400000000001</v>
      </c>
      <c r="E86" s="180">
        <f t="shared" ref="E86:L86" si="80">E224</f>
        <v>149.75200000000001</v>
      </c>
      <c r="F86" s="180">
        <f t="shared" si="80"/>
        <v>444.459</v>
      </c>
      <c r="G86" s="180">
        <f t="shared" si="80"/>
        <v>469.27800000000002</v>
      </c>
      <c r="H86" s="180">
        <f t="shared" si="80"/>
        <v>572.38000000000011</v>
      </c>
      <c r="I86" s="180">
        <f t="shared" si="80"/>
        <v>741.03300000000002</v>
      </c>
      <c r="J86" s="180">
        <f t="shared" si="80"/>
        <v>676.649</v>
      </c>
      <c r="K86" s="180">
        <f t="shared" si="80"/>
        <v>482.76400000000001</v>
      </c>
      <c r="L86" s="180">
        <f t="shared" si="80"/>
        <v>362.30832550916216</v>
      </c>
      <c r="M86" s="180">
        <f t="shared" ref="M86:V86" si="81">M224</f>
        <v>287.3615768702083</v>
      </c>
      <c r="N86" s="180">
        <f t="shared" si="81"/>
        <v>268.61372516167916</v>
      </c>
      <c r="O86" s="180">
        <f t="shared" si="81"/>
        <v>254.35584954729717</v>
      </c>
      <c r="P86" s="180">
        <f t="shared" si="81"/>
        <v>226.59204900455012</v>
      </c>
      <c r="Q86" s="180">
        <f t="shared" si="81"/>
        <v>205.65901091764684</v>
      </c>
      <c r="R86" s="180">
        <f t="shared" si="81"/>
        <v>192.87019743699142</v>
      </c>
      <c r="S86" s="180">
        <f t="shared" si="81"/>
        <v>177.75709753018134</v>
      </c>
      <c r="T86" s="180">
        <f t="shared" si="81"/>
        <v>187.26228977518198</v>
      </c>
      <c r="U86" s="180">
        <f t="shared" si="81"/>
        <v>197.29883967936217</v>
      </c>
      <c r="V86" s="180">
        <f t="shared" si="81"/>
        <v>207.9069176017897</v>
      </c>
      <c r="W86" s="180"/>
      <c r="X86" s="180"/>
      <c r="Y86" s="220"/>
      <c r="Z86" s="220"/>
      <c r="AA86" s="171"/>
      <c r="AB86" s="171"/>
      <c r="AC86" s="171"/>
      <c r="AD86" s="171"/>
      <c r="AE86" s="171"/>
      <c r="AF86" s="171"/>
      <c r="AG86" s="171"/>
      <c r="AH86" s="171"/>
      <c r="AI86" s="171"/>
      <c r="AJ86" s="171"/>
    </row>
    <row r="87" spans="1:36" s="9" customFormat="1" ht="15.75">
      <c r="A87" s="171"/>
      <c r="B87" s="171" t="s">
        <v>42</v>
      </c>
      <c r="C87" s="198">
        <v>0</v>
      </c>
      <c r="D87" s="198">
        <v>0</v>
      </c>
      <c r="E87" s="198">
        <v>0</v>
      </c>
      <c r="F87" s="198">
        <v>0</v>
      </c>
      <c r="G87" s="198">
        <v>0</v>
      </c>
      <c r="H87" s="198">
        <v>0</v>
      </c>
      <c r="I87" s="198">
        <v>0</v>
      </c>
      <c r="J87" s="198">
        <v>0</v>
      </c>
      <c r="K87" s="198">
        <v>0</v>
      </c>
      <c r="L87" s="193">
        <v>0</v>
      </c>
      <c r="M87" s="193">
        <v>0</v>
      </c>
      <c r="N87" s="193">
        <v>0</v>
      </c>
      <c r="O87" s="193">
        <v>0</v>
      </c>
      <c r="P87" s="193">
        <v>0</v>
      </c>
      <c r="Q87" s="193">
        <v>0</v>
      </c>
      <c r="R87" s="193">
        <v>0</v>
      </c>
      <c r="S87" s="193">
        <v>0</v>
      </c>
      <c r="T87" s="193">
        <v>0</v>
      </c>
      <c r="U87" s="193">
        <v>0</v>
      </c>
      <c r="V87" s="193">
        <v>0</v>
      </c>
      <c r="W87" s="180"/>
      <c r="X87" s="180"/>
      <c r="Y87" s="220"/>
      <c r="Z87" s="220"/>
      <c r="AA87" s="171"/>
      <c r="AB87" s="171"/>
      <c r="AC87" s="171"/>
      <c r="AD87" s="171"/>
      <c r="AE87" s="171"/>
      <c r="AF87" s="171"/>
      <c r="AG87" s="171"/>
      <c r="AH87" s="171"/>
      <c r="AI87" s="171"/>
      <c r="AJ87" s="171"/>
    </row>
    <row r="88" spans="1:36" s="9" customFormat="1" ht="15.75">
      <c r="A88" s="171"/>
      <c r="B88" s="171" t="s">
        <v>43</v>
      </c>
      <c r="C88" s="221">
        <f t="shared" ref="C88:O88" si="82">C209</f>
        <v>81.45</v>
      </c>
      <c r="D88" s="221">
        <f t="shared" si="82"/>
        <v>37.706000000000003</v>
      </c>
      <c r="E88" s="221">
        <f t="shared" si="82"/>
        <v>36.813000000000002</v>
      </c>
      <c r="F88" s="221">
        <f t="shared" si="82"/>
        <v>122.001</v>
      </c>
      <c r="G88" s="221">
        <f t="shared" si="82"/>
        <v>214.36500000000001</v>
      </c>
      <c r="H88" s="221">
        <f t="shared" si="82"/>
        <v>258.17899999999997</v>
      </c>
      <c r="I88" s="221">
        <f t="shared" si="82"/>
        <v>525.35399999999993</v>
      </c>
      <c r="J88" s="221">
        <f t="shared" si="82"/>
        <v>545.30700000000002</v>
      </c>
      <c r="K88" s="221">
        <f t="shared" si="82"/>
        <v>210.80200000000002</v>
      </c>
      <c r="L88" s="221">
        <f t="shared" si="82"/>
        <v>210.80200000000002</v>
      </c>
      <c r="M88" s="221">
        <f t="shared" si="82"/>
        <v>210.80200000000002</v>
      </c>
      <c r="N88" s="221">
        <f t="shared" si="82"/>
        <v>210.80200000000002</v>
      </c>
      <c r="O88" s="221">
        <f t="shared" si="82"/>
        <v>210.80200000000002</v>
      </c>
      <c r="P88" s="221">
        <f t="shared" ref="P88:V88" si="83">P209</f>
        <v>210.80200000000002</v>
      </c>
      <c r="Q88" s="221">
        <f t="shared" si="83"/>
        <v>210.80200000000002</v>
      </c>
      <c r="R88" s="221">
        <f t="shared" si="83"/>
        <v>210.80200000000002</v>
      </c>
      <c r="S88" s="221">
        <f t="shared" si="83"/>
        <v>210.80200000000002</v>
      </c>
      <c r="T88" s="221">
        <f t="shared" si="83"/>
        <v>210.80200000000002</v>
      </c>
      <c r="U88" s="221">
        <f t="shared" si="83"/>
        <v>210.80200000000002</v>
      </c>
      <c r="V88" s="221">
        <f t="shared" si="83"/>
        <v>210.80200000000002</v>
      </c>
      <c r="W88" s="180"/>
      <c r="X88" s="180"/>
      <c r="Y88" s="220"/>
      <c r="Z88" s="220"/>
      <c r="AA88" s="171"/>
      <c r="AB88" s="171"/>
      <c r="AC88" s="171"/>
      <c r="AD88" s="171"/>
      <c r="AE88" s="171"/>
      <c r="AF88" s="171"/>
      <c r="AG88" s="171"/>
      <c r="AH88" s="171"/>
      <c r="AI88" s="171"/>
      <c r="AJ88" s="171"/>
    </row>
    <row r="89" spans="1:36" s="7" customFormat="1" ht="15.75">
      <c r="A89" s="173"/>
      <c r="B89" s="173" t="s">
        <v>44</v>
      </c>
      <c r="C89" s="184">
        <f t="shared" ref="C89:O89" si="84">SUM(C86:C88)</f>
        <v>245.30700000000002</v>
      </c>
      <c r="D89" s="184">
        <f t="shared" si="84"/>
        <v>185.03000000000003</v>
      </c>
      <c r="E89" s="184">
        <f t="shared" si="84"/>
        <v>186.565</v>
      </c>
      <c r="F89" s="184">
        <f t="shared" si="84"/>
        <v>566.46</v>
      </c>
      <c r="G89" s="184">
        <f t="shared" si="84"/>
        <v>683.64300000000003</v>
      </c>
      <c r="H89" s="184">
        <f t="shared" si="84"/>
        <v>830.55900000000008</v>
      </c>
      <c r="I89" s="184">
        <f t="shared" si="84"/>
        <v>1266.3869999999999</v>
      </c>
      <c r="J89" s="184">
        <f t="shared" si="84"/>
        <v>1221.9560000000001</v>
      </c>
      <c r="K89" s="184">
        <f t="shared" si="84"/>
        <v>693.56600000000003</v>
      </c>
      <c r="L89" s="184">
        <f t="shared" si="84"/>
        <v>573.11032550916218</v>
      </c>
      <c r="M89" s="184">
        <f t="shared" si="84"/>
        <v>498.16357687020832</v>
      </c>
      <c r="N89" s="184">
        <f t="shared" si="84"/>
        <v>479.41572516167918</v>
      </c>
      <c r="O89" s="184">
        <f t="shared" si="84"/>
        <v>465.15784954729719</v>
      </c>
      <c r="P89" s="184">
        <f t="shared" ref="P89:V89" si="85">SUM(P86:P88)</f>
        <v>437.39404900455014</v>
      </c>
      <c r="Q89" s="184">
        <f t="shared" si="85"/>
        <v>416.46101091764683</v>
      </c>
      <c r="R89" s="184">
        <f t="shared" si="85"/>
        <v>403.67219743699144</v>
      </c>
      <c r="S89" s="184">
        <f t="shared" si="85"/>
        <v>388.55909753018136</v>
      </c>
      <c r="T89" s="184">
        <f t="shared" si="85"/>
        <v>398.06428977518203</v>
      </c>
      <c r="U89" s="184">
        <f t="shared" si="85"/>
        <v>408.1008396793622</v>
      </c>
      <c r="V89" s="184">
        <f t="shared" si="85"/>
        <v>418.70891760178972</v>
      </c>
      <c r="W89" s="184"/>
      <c r="X89" s="184"/>
      <c r="Y89" s="189"/>
      <c r="Z89" s="189"/>
      <c r="AA89" s="173"/>
      <c r="AB89" s="173"/>
      <c r="AC89" s="173"/>
      <c r="AD89" s="173"/>
      <c r="AE89" s="173"/>
      <c r="AF89" s="173"/>
      <c r="AG89" s="173"/>
      <c r="AH89" s="173"/>
      <c r="AI89" s="173"/>
      <c r="AJ89" s="173"/>
    </row>
    <row r="90" spans="1:36" s="9" customFormat="1" ht="15.75">
      <c r="A90" s="171"/>
      <c r="B90" s="171"/>
      <c r="C90" s="184"/>
      <c r="D90" s="184"/>
      <c r="E90" s="184"/>
      <c r="F90" s="184"/>
      <c r="G90" s="184"/>
      <c r="H90" s="184"/>
      <c r="I90" s="184"/>
      <c r="J90" s="184"/>
      <c r="K90" s="184"/>
      <c r="L90" s="184"/>
      <c r="M90" s="184"/>
      <c r="N90" s="184"/>
      <c r="O90" s="184"/>
      <c r="P90" s="184"/>
      <c r="Q90" s="184"/>
      <c r="R90" s="184"/>
      <c r="S90" s="184"/>
      <c r="T90" s="184"/>
      <c r="U90" s="184"/>
      <c r="V90" s="184"/>
      <c r="W90" s="184"/>
      <c r="X90" s="184"/>
      <c r="Y90" s="169"/>
      <c r="Z90" s="169"/>
      <c r="AA90" s="171"/>
      <c r="AB90" s="171"/>
      <c r="AC90" s="171"/>
      <c r="AD90" s="171"/>
      <c r="AE90" s="171"/>
      <c r="AF90" s="171"/>
      <c r="AG90" s="171"/>
      <c r="AH90" s="171"/>
      <c r="AI90" s="171"/>
      <c r="AJ90" s="171"/>
    </row>
    <row r="91" spans="1:36" s="9" customFormat="1" ht="15.75">
      <c r="A91" s="171"/>
      <c r="B91" s="171" t="s">
        <v>45</v>
      </c>
      <c r="C91" s="180">
        <f t="shared" ref="C91:L91" si="86">C210</f>
        <v>430.74399999999997</v>
      </c>
      <c r="D91" s="180">
        <f t="shared" si="86"/>
        <v>677.197</v>
      </c>
      <c r="E91" s="180">
        <f t="shared" si="86"/>
        <v>709.51</v>
      </c>
      <c r="F91" s="180">
        <f t="shared" si="86"/>
        <v>2118.3710000000001</v>
      </c>
      <c r="G91" s="180">
        <f t="shared" si="86"/>
        <v>2303.5909999999999</v>
      </c>
      <c r="H91" s="180">
        <f t="shared" si="86"/>
        <v>2727.0120000000002</v>
      </c>
      <c r="I91" s="180">
        <f t="shared" si="86"/>
        <v>3424.6059999999998</v>
      </c>
      <c r="J91" s="180">
        <f t="shared" si="86"/>
        <v>3567.5340000000001</v>
      </c>
      <c r="K91" s="180">
        <f t="shared" si="86"/>
        <v>3689.6910000000003</v>
      </c>
      <c r="L91" s="180">
        <f t="shared" si="86"/>
        <v>3689.6910000000003</v>
      </c>
      <c r="M91" s="180">
        <f t="shared" ref="M91:V91" si="87">M210</f>
        <v>3689.6910000000003</v>
      </c>
      <c r="N91" s="180">
        <f t="shared" si="87"/>
        <v>3689.6910000000003</v>
      </c>
      <c r="O91" s="180">
        <f t="shared" si="87"/>
        <v>3689.6910000000003</v>
      </c>
      <c r="P91" s="180">
        <f t="shared" si="87"/>
        <v>3689.6910000000003</v>
      </c>
      <c r="Q91" s="180">
        <f t="shared" si="87"/>
        <v>3689.6910000000003</v>
      </c>
      <c r="R91" s="180">
        <f t="shared" si="87"/>
        <v>3689.6910000000003</v>
      </c>
      <c r="S91" s="180">
        <f t="shared" si="87"/>
        <v>3689.6910000000003</v>
      </c>
      <c r="T91" s="180">
        <f t="shared" si="87"/>
        <v>3689.6910000000003</v>
      </c>
      <c r="U91" s="180">
        <f t="shared" si="87"/>
        <v>3689.6910000000003</v>
      </c>
      <c r="V91" s="180">
        <f t="shared" si="87"/>
        <v>3689.6910000000003</v>
      </c>
      <c r="W91" s="180"/>
      <c r="X91" s="180"/>
      <c r="Y91" s="192"/>
      <c r="Z91" s="192"/>
      <c r="AA91" s="171"/>
      <c r="AB91" s="171"/>
      <c r="AC91" s="171"/>
      <c r="AD91" s="171"/>
      <c r="AE91" s="171"/>
      <c r="AF91" s="171"/>
      <c r="AG91" s="171"/>
      <c r="AH91" s="171"/>
      <c r="AI91" s="171"/>
      <c r="AJ91" s="171"/>
    </row>
    <row r="92" spans="1:36" s="9" customFormat="1" ht="15.75">
      <c r="A92" s="171"/>
      <c r="B92" s="171" t="s">
        <v>259</v>
      </c>
      <c r="C92" s="180"/>
      <c r="D92" s="180"/>
      <c r="E92" s="180"/>
      <c r="F92" s="198">
        <f>29.801+19.757</f>
        <v>49.558</v>
      </c>
      <c r="G92" s="198">
        <f>49.469+177.184+9.565</f>
        <v>236.21799999999999</v>
      </c>
      <c r="H92" s="198">
        <f>71.598+118.21+0.312</f>
        <v>190.12</v>
      </c>
      <c r="I92" s="198">
        <f>84.533+186.261+1.459</f>
        <v>272.25299999999999</v>
      </c>
      <c r="J92" s="198">
        <f>86.131+137.106+4.629</f>
        <v>227.86599999999999</v>
      </c>
      <c r="K92" s="198">
        <f>83.876+100.45+5.218</f>
        <v>189.54400000000001</v>
      </c>
      <c r="L92" s="193">
        <f t="shared" ref="L92:V92" si="88">K92</f>
        <v>189.54400000000001</v>
      </c>
      <c r="M92" s="193">
        <f t="shared" si="88"/>
        <v>189.54400000000001</v>
      </c>
      <c r="N92" s="193">
        <f t="shared" si="88"/>
        <v>189.54400000000001</v>
      </c>
      <c r="O92" s="193">
        <f t="shared" si="88"/>
        <v>189.54400000000001</v>
      </c>
      <c r="P92" s="193">
        <f t="shared" si="88"/>
        <v>189.54400000000001</v>
      </c>
      <c r="Q92" s="193">
        <f t="shared" si="88"/>
        <v>189.54400000000001</v>
      </c>
      <c r="R92" s="193">
        <f t="shared" si="88"/>
        <v>189.54400000000001</v>
      </c>
      <c r="S92" s="193">
        <f t="shared" si="88"/>
        <v>189.54400000000001</v>
      </c>
      <c r="T92" s="193">
        <f t="shared" si="88"/>
        <v>189.54400000000001</v>
      </c>
      <c r="U92" s="193">
        <f t="shared" si="88"/>
        <v>189.54400000000001</v>
      </c>
      <c r="V92" s="193">
        <f t="shared" si="88"/>
        <v>189.54400000000001</v>
      </c>
      <c r="W92" s="180"/>
      <c r="X92" s="180"/>
      <c r="Y92" s="192"/>
      <c r="Z92" s="192"/>
      <c r="AA92" s="171"/>
      <c r="AB92" s="171"/>
      <c r="AC92" s="171"/>
      <c r="AD92" s="171"/>
      <c r="AE92" s="171"/>
      <c r="AF92" s="171"/>
      <c r="AG92" s="171"/>
      <c r="AH92" s="171"/>
      <c r="AI92" s="171"/>
      <c r="AJ92" s="171"/>
    </row>
    <row r="93" spans="1:36" s="9" customFormat="1" ht="15.75">
      <c r="A93" s="171"/>
      <c r="B93" s="173" t="s">
        <v>46</v>
      </c>
      <c r="C93" s="222">
        <f>SUM(C89:C91)</f>
        <v>676.05099999999993</v>
      </c>
      <c r="D93" s="222">
        <f>SUM(D89:D91)</f>
        <v>862.22700000000009</v>
      </c>
      <c r="E93" s="222">
        <f>SUM(E89:E91)</f>
        <v>896.07500000000005</v>
      </c>
      <c r="F93" s="222">
        <f>SUM(F89:F92)</f>
        <v>2734.3890000000001</v>
      </c>
      <c r="G93" s="222">
        <f t="shared" ref="G93:O93" si="89">SUM(G89:G92)</f>
        <v>3223.4519999999998</v>
      </c>
      <c r="H93" s="222">
        <f t="shared" si="89"/>
        <v>3747.6910000000003</v>
      </c>
      <c r="I93" s="222">
        <f t="shared" si="89"/>
        <v>4963.2459999999992</v>
      </c>
      <c r="J93" s="222">
        <f t="shared" si="89"/>
        <v>5017.3559999999998</v>
      </c>
      <c r="K93" s="222">
        <f t="shared" si="89"/>
        <v>4572.8010000000004</v>
      </c>
      <c r="L93" s="222">
        <f t="shared" si="89"/>
        <v>4452.3453255091626</v>
      </c>
      <c r="M93" s="222">
        <f t="shared" si="89"/>
        <v>4377.3985768702087</v>
      </c>
      <c r="N93" s="222">
        <f t="shared" si="89"/>
        <v>4358.6507251616795</v>
      </c>
      <c r="O93" s="222">
        <f t="shared" si="89"/>
        <v>4344.3928495472974</v>
      </c>
      <c r="P93" s="222">
        <f t="shared" ref="P93:V93" si="90">SUM(P89:P92)</f>
        <v>4316.6290490045503</v>
      </c>
      <c r="Q93" s="222">
        <f t="shared" si="90"/>
        <v>4295.6960109176471</v>
      </c>
      <c r="R93" s="222">
        <f t="shared" si="90"/>
        <v>4282.9071974369917</v>
      </c>
      <c r="S93" s="222">
        <f t="shared" si="90"/>
        <v>4267.7940975301817</v>
      </c>
      <c r="T93" s="222">
        <f t="shared" si="90"/>
        <v>4277.2992897751819</v>
      </c>
      <c r="U93" s="222">
        <f t="shared" si="90"/>
        <v>4287.3358396793619</v>
      </c>
      <c r="V93" s="222">
        <f t="shared" si="90"/>
        <v>4297.9439176017895</v>
      </c>
      <c r="W93" s="184"/>
      <c r="X93" s="184"/>
      <c r="Y93" s="192"/>
      <c r="Z93" s="192"/>
      <c r="AA93" s="171"/>
      <c r="AB93" s="171"/>
      <c r="AC93" s="171"/>
      <c r="AD93" s="171"/>
      <c r="AE93" s="171"/>
      <c r="AF93" s="171"/>
      <c r="AG93" s="171"/>
      <c r="AH93" s="171"/>
      <c r="AI93" s="171"/>
      <c r="AJ93" s="171"/>
    </row>
    <row r="94" spans="1:36" s="9" customFormat="1" ht="15.75">
      <c r="A94" s="171"/>
      <c r="B94" s="173"/>
      <c r="C94" s="184"/>
      <c r="D94" s="184"/>
      <c r="E94" s="184"/>
      <c r="F94" s="184"/>
      <c r="G94" s="184"/>
      <c r="H94" s="184"/>
      <c r="I94" s="184"/>
      <c r="J94" s="184"/>
      <c r="K94" s="184"/>
      <c r="L94" s="184"/>
      <c r="M94" s="184"/>
      <c r="N94" s="184"/>
      <c r="O94" s="184"/>
      <c r="P94" s="184"/>
      <c r="Q94" s="184"/>
      <c r="R94" s="184"/>
      <c r="S94" s="184"/>
      <c r="T94" s="184"/>
      <c r="U94" s="184"/>
      <c r="V94" s="184"/>
      <c r="W94" s="184"/>
      <c r="X94" s="184"/>
      <c r="Y94" s="192"/>
      <c r="Z94" s="192"/>
      <c r="AA94" s="171"/>
      <c r="AB94" s="171"/>
      <c r="AC94" s="171"/>
      <c r="AD94" s="171"/>
      <c r="AE94" s="171"/>
      <c r="AF94" s="171"/>
      <c r="AG94" s="171"/>
      <c r="AH94" s="171"/>
      <c r="AI94" s="171"/>
      <c r="AJ94" s="171"/>
    </row>
    <row r="95" spans="1:36" s="9" customFormat="1" ht="15.75">
      <c r="A95" s="171"/>
      <c r="B95" s="171" t="s">
        <v>47</v>
      </c>
      <c r="C95" s="198">
        <v>-54.429000000000002</v>
      </c>
      <c r="D95" s="198">
        <v>0</v>
      </c>
      <c r="E95" s="198">
        <v>0</v>
      </c>
      <c r="F95" s="180">
        <f>F251</f>
        <v>0</v>
      </c>
      <c r="G95" s="180">
        <f t="shared" ref="G95:O95" si="91">G251</f>
        <v>14.215999999999999</v>
      </c>
      <c r="H95" s="180">
        <f t="shared" si="91"/>
        <v>142.953</v>
      </c>
      <c r="I95" s="180">
        <f t="shared" si="91"/>
        <v>227.2</v>
      </c>
      <c r="J95" s="180">
        <f t="shared" si="91"/>
        <v>237.506</v>
      </c>
      <c r="K95" s="180">
        <f t="shared" si="91"/>
        <v>158.77000000000001</v>
      </c>
      <c r="L95" s="180">
        <f t="shared" si="91"/>
        <v>145.98520000000002</v>
      </c>
      <c r="M95" s="180">
        <f t="shared" si="91"/>
        <v>132.56116000000003</v>
      </c>
      <c r="N95" s="180">
        <f t="shared" si="91"/>
        <v>118.46591800000003</v>
      </c>
      <c r="O95" s="180">
        <f t="shared" si="91"/>
        <v>103.66591390000002</v>
      </c>
      <c r="P95" s="180">
        <f t="shared" ref="P95:V95" si="92">P251</f>
        <v>88.125909595000024</v>
      </c>
      <c r="Q95" s="180">
        <f t="shared" si="92"/>
        <v>71.808905074750015</v>
      </c>
      <c r="R95" s="180">
        <f t="shared" si="92"/>
        <v>54.676050328487506</v>
      </c>
      <c r="S95" s="180">
        <f t="shared" si="92"/>
        <v>36.686552844911873</v>
      </c>
      <c r="T95" s="180">
        <f t="shared" si="92"/>
        <v>17.797580487157457</v>
      </c>
      <c r="U95" s="180">
        <f t="shared" si="92"/>
        <v>-2.0358404884846806</v>
      </c>
      <c r="V95" s="180">
        <f t="shared" si="92"/>
        <v>-22.860932512908928</v>
      </c>
      <c r="W95" s="180"/>
      <c r="X95" s="180"/>
      <c r="Y95" s="192"/>
      <c r="Z95" s="192"/>
      <c r="AA95" s="171"/>
      <c r="AB95" s="171"/>
      <c r="AC95" s="171"/>
      <c r="AD95" s="171"/>
      <c r="AE95" s="171"/>
      <c r="AF95" s="171"/>
      <c r="AG95" s="171"/>
      <c r="AH95" s="171"/>
      <c r="AI95" s="171"/>
      <c r="AJ95" s="171"/>
    </row>
    <row r="96" spans="1:36" s="9" customFormat="1" ht="15.75">
      <c r="A96" s="171"/>
      <c r="B96" s="171" t="s">
        <v>48</v>
      </c>
      <c r="C96" s="180">
        <f t="shared" ref="C96:L96" si="93">C243</f>
        <v>1095.9290000000001</v>
      </c>
      <c r="D96" s="180">
        <f t="shared" si="93"/>
        <v>1096.105</v>
      </c>
      <c r="E96" s="180">
        <f t="shared" si="93"/>
        <v>1096.105</v>
      </c>
      <c r="F96" s="180">
        <f t="shared" si="93"/>
        <v>4530.87</v>
      </c>
      <c r="G96" s="180">
        <f t="shared" si="93"/>
        <v>4530.87</v>
      </c>
      <c r="H96" s="180">
        <f t="shared" si="93"/>
        <v>5223.4840000000004</v>
      </c>
      <c r="I96" s="180">
        <f t="shared" si="93"/>
        <v>5311.9530000000004</v>
      </c>
      <c r="J96" s="180">
        <f t="shared" si="93"/>
        <v>5394.8119999999999</v>
      </c>
      <c r="K96" s="180">
        <f t="shared" si="93"/>
        <v>5403.1390000000001</v>
      </c>
      <c r="L96" s="180">
        <f t="shared" si="93"/>
        <v>5363.1390000000001</v>
      </c>
      <c r="M96" s="180">
        <f t="shared" ref="M96:V96" si="94">M243</f>
        <v>5313.1390000000001</v>
      </c>
      <c r="N96" s="180">
        <f t="shared" si="94"/>
        <v>5253.1390000000001</v>
      </c>
      <c r="O96" s="180">
        <f t="shared" si="94"/>
        <v>5183.1390000000001</v>
      </c>
      <c r="P96" s="180">
        <f t="shared" si="94"/>
        <v>5103.1390000000001</v>
      </c>
      <c r="Q96" s="180">
        <f t="shared" si="94"/>
        <v>5013.1390000000001</v>
      </c>
      <c r="R96" s="180">
        <f t="shared" si="94"/>
        <v>4913.1390000000001</v>
      </c>
      <c r="S96" s="180">
        <f t="shared" si="94"/>
        <v>4803.1390000000001</v>
      </c>
      <c r="T96" s="180">
        <f t="shared" si="94"/>
        <v>4683.1390000000001</v>
      </c>
      <c r="U96" s="180">
        <f t="shared" si="94"/>
        <v>4553.1390000000001</v>
      </c>
      <c r="V96" s="180">
        <f t="shared" si="94"/>
        <v>4413.1390000000001</v>
      </c>
      <c r="W96" s="180"/>
      <c r="X96" s="180"/>
      <c r="Y96" s="192"/>
      <c r="Z96" s="192"/>
      <c r="AA96" s="169"/>
      <c r="AB96" s="169"/>
      <c r="AC96" s="169"/>
      <c r="AD96" s="169"/>
      <c r="AE96" s="169"/>
      <c r="AF96" s="169"/>
      <c r="AG96" s="171"/>
      <c r="AH96" s="171"/>
      <c r="AI96" s="171"/>
      <c r="AJ96" s="171"/>
    </row>
    <row r="97" spans="1:36" s="9" customFormat="1" ht="15.75">
      <c r="A97" s="171"/>
      <c r="B97" s="171" t="s">
        <v>49</v>
      </c>
      <c r="C97" s="223">
        <f t="shared" ref="C97:L97" si="95">C247</f>
        <v>-88.974999999999994</v>
      </c>
      <c r="D97" s="223">
        <f t="shared" si="95"/>
        <v>-92.227000000000004</v>
      </c>
      <c r="E97" s="223">
        <f t="shared" si="95"/>
        <v>-94.441000000000003</v>
      </c>
      <c r="F97" s="223">
        <f t="shared" si="95"/>
        <v>-587.15499999999997</v>
      </c>
      <c r="G97" s="223">
        <f t="shared" si="95"/>
        <v>-485.505</v>
      </c>
      <c r="H97" s="223">
        <f t="shared" si="95"/>
        <v>-780.27200000000005</v>
      </c>
      <c r="I97" s="223">
        <f t="shared" si="95"/>
        <v>-861.42200000000003</v>
      </c>
      <c r="J97" s="223">
        <f t="shared" si="95"/>
        <v>8.43</v>
      </c>
      <c r="K97" s="223">
        <f t="shared" si="95"/>
        <v>1067.701</v>
      </c>
      <c r="L97" s="223">
        <f t="shared" si="95"/>
        <v>1067.701</v>
      </c>
      <c r="M97" s="223">
        <f t="shared" ref="M97:V97" si="96">M247</f>
        <v>1067.701</v>
      </c>
      <c r="N97" s="223">
        <f t="shared" si="96"/>
        <v>1067.701</v>
      </c>
      <c r="O97" s="223">
        <f t="shared" si="96"/>
        <v>1067.701</v>
      </c>
      <c r="P97" s="223">
        <f t="shared" si="96"/>
        <v>1067.701</v>
      </c>
      <c r="Q97" s="223">
        <f t="shared" si="96"/>
        <v>1067.701</v>
      </c>
      <c r="R97" s="223">
        <f t="shared" si="96"/>
        <v>1067.701</v>
      </c>
      <c r="S97" s="223">
        <f t="shared" si="96"/>
        <v>1067.701</v>
      </c>
      <c r="T97" s="223">
        <f t="shared" si="96"/>
        <v>1067.701</v>
      </c>
      <c r="U97" s="223">
        <f t="shared" si="96"/>
        <v>1067.701</v>
      </c>
      <c r="V97" s="223">
        <f t="shared" si="96"/>
        <v>1067.701</v>
      </c>
      <c r="W97" s="223"/>
      <c r="X97" s="223"/>
      <c r="Y97" s="192"/>
      <c r="Z97" s="192"/>
      <c r="AA97" s="169"/>
      <c r="AB97" s="169"/>
      <c r="AC97" s="169"/>
      <c r="AD97" s="169"/>
      <c r="AE97" s="169"/>
      <c r="AF97" s="169"/>
      <c r="AG97" s="171"/>
      <c r="AH97" s="171"/>
      <c r="AI97" s="171"/>
      <c r="AJ97" s="171"/>
    </row>
    <row r="98" spans="1:36" s="9" customFormat="1" ht="15.75">
      <c r="A98" s="171"/>
      <c r="B98" s="171" t="s">
        <v>50</v>
      </c>
      <c r="C98" s="221">
        <f t="shared" ref="C98:L98" si="97">C257</f>
        <v>-554.87800000000004</v>
      </c>
      <c r="D98" s="221">
        <f t="shared" si="97"/>
        <v>-752.28</v>
      </c>
      <c r="E98" s="221">
        <f t="shared" si="97"/>
        <v>-879.95899999999995</v>
      </c>
      <c r="F98" s="221">
        <f t="shared" si="97"/>
        <v>-2513.3960000000002</v>
      </c>
      <c r="G98" s="221">
        <f t="shared" si="97"/>
        <v>-2835.39</v>
      </c>
      <c r="H98" s="221">
        <f t="shared" si="97"/>
        <v>-2860.2049999999999</v>
      </c>
      <c r="I98" s="221">
        <f t="shared" si="97"/>
        <v>-3317.652</v>
      </c>
      <c r="J98" s="221">
        <f t="shared" si="97"/>
        <v>-5293.3940000000002</v>
      </c>
      <c r="K98" s="221">
        <f t="shared" si="97"/>
        <v>-6925.4189999999999</v>
      </c>
      <c r="L98" s="221">
        <f t="shared" si="97"/>
        <v>-6496.4708106711323</v>
      </c>
      <c r="M98" s="221">
        <f t="shared" ref="M98:V98" si="98">M257</f>
        <v>-6218.2032349158244</v>
      </c>
      <c r="N98" s="221">
        <f t="shared" si="98"/>
        <v>-5912.0951626013039</v>
      </c>
      <c r="O98" s="221">
        <f t="shared" si="98"/>
        <v>-5595.2927583749315</v>
      </c>
      <c r="P98" s="221">
        <f t="shared" si="98"/>
        <v>-5258.868956582899</v>
      </c>
      <c r="Q98" s="221">
        <f t="shared" si="98"/>
        <v>-4902.4290233947304</v>
      </c>
      <c r="R98" s="221">
        <f t="shared" si="98"/>
        <v>-4526.7888569816851</v>
      </c>
      <c r="S98" s="221">
        <f t="shared" si="98"/>
        <v>-4126.4897080728888</v>
      </c>
      <c r="T98" s="221">
        <f t="shared" si="98"/>
        <v>-3699.1408845130691</v>
      </c>
      <c r="U98" s="221">
        <f t="shared" si="98"/>
        <v>-3241.8523548074336</v>
      </c>
      <c r="V98" s="221">
        <f t="shared" si="98"/>
        <v>-2753.4862822682562</v>
      </c>
      <c r="W98" s="180"/>
      <c r="X98" s="180"/>
      <c r="Y98" s="192"/>
      <c r="Z98" s="192"/>
      <c r="AA98" s="169"/>
      <c r="AB98" s="169"/>
      <c r="AC98" s="169"/>
      <c r="AD98" s="169"/>
      <c r="AE98" s="169"/>
      <c r="AF98" s="169"/>
      <c r="AG98" s="171"/>
      <c r="AH98" s="171"/>
      <c r="AI98" s="171"/>
      <c r="AJ98" s="171"/>
    </row>
    <row r="99" spans="1:36" s="7" customFormat="1" ht="15.75">
      <c r="A99" s="173"/>
      <c r="B99" s="173" t="s">
        <v>51</v>
      </c>
      <c r="C99" s="184">
        <f t="shared" ref="C99:O99" si="99">SUM(C95:C98)</f>
        <v>397.64699999999993</v>
      </c>
      <c r="D99" s="184">
        <f t="shared" si="99"/>
        <v>251.59800000000007</v>
      </c>
      <c r="E99" s="184">
        <f t="shared" si="99"/>
        <v>121.70500000000004</v>
      </c>
      <c r="F99" s="184">
        <f t="shared" si="99"/>
        <v>1430.319</v>
      </c>
      <c r="G99" s="184">
        <f t="shared" si="99"/>
        <v>1224.1910000000003</v>
      </c>
      <c r="H99" s="184">
        <f t="shared" si="99"/>
        <v>1725.9600000000009</v>
      </c>
      <c r="I99" s="184">
        <f t="shared" si="99"/>
        <v>1360.0789999999997</v>
      </c>
      <c r="J99" s="184">
        <f t="shared" si="99"/>
        <v>347.35400000000027</v>
      </c>
      <c r="K99" s="184">
        <f t="shared" si="99"/>
        <v>-295.80899999999929</v>
      </c>
      <c r="L99" s="184">
        <f t="shared" si="99"/>
        <v>80.35438932886791</v>
      </c>
      <c r="M99" s="184">
        <f t="shared" si="99"/>
        <v>295.19792508417595</v>
      </c>
      <c r="N99" s="184">
        <f t="shared" si="99"/>
        <v>527.21075539869616</v>
      </c>
      <c r="O99" s="184">
        <f t="shared" si="99"/>
        <v>759.21315552506894</v>
      </c>
      <c r="P99" s="184">
        <f t="shared" ref="P99:V99" si="100">SUM(P95:P98)</f>
        <v>1000.096953012101</v>
      </c>
      <c r="Q99" s="184">
        <f t="shared" si="100"/>
        <v>1250.2198816800201</v>
      </c>
      <c r="R99" s="184">
        <f t="shared" si="100"/>
        <v>1508.7271933468028</v>
      </c>
      <c r="S99" s="184">
        <f t="shared" si="100"/>
        <v>1781.036844772023</v>
      </c>
      <c r="T99" s="184">
        <f t="shared" si="100"/>
        <v>2069.4966959740887</v>
      </c>
      <c r="U99" s="184">
        <f t="shared" si="100"/>
        <v>2376.951804704082</v>
      </c>
      <c r="V99" s="184">
        <f t="shared" si="100"/>
        <v>2704.4927852188348</v>
      </c>
      <c r="W99" s="184"/>
      <c r="X99" s="184"/>
      <c r="Y99" s="189"/>
      <c r="Z99" s="189"/>
      <c r="AA99" s="224"/>
      <c r="AB99" s="224"/>
      <c r="AC99" s="224"/>
      <c r="AD99" s="224"/>
      <c r="AE99" s="224"/>
      <c r="AF99" s="224"/>
      <c r="AG99" s="173"/>
      <c r="AH99" s="173"/>
      <c r="AI99" s="173"/>
      <c r="AJ99" s="173"/>
    </row>
    <row r="100" spans="1:36" s="9" customFormat="1" ht="15.75">
      <c r="A100" s="171"/>
      <c r="B100" s="171"/>
      <c r="C100" s="184"/>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92"/>
      <c r="Z100" s="192"/>
      <c r="AA100" s="171"/>
      <c r="AB100" s="171"/>
      <c r="AC100" s="171"/>
      <c r="AD100" s="171"/>
      <c r="AE100" s="171"/>
      <c r="AF100" s="171"/>
      <c r="AG100" s="171"/>
      <c r="AH100" s="171"/>
      <c r="AI100" s="171"/>
      <c r="AJ100" s="171"/>
    </row>
    <row r="101" spans="1:36" s="9" customFormat="1" ht="16.5" thickBot="1">
      <c r="A101" s="171"/>
      <c r="B101" s="202" t="s">
        <v>52</v>
      </c>
      <c r="C101" s="203">
        <f t="shared" ref="C101:K101" si="101">C99+C93</f>
        <v>1073.6979999999999</v>
      </c>
      <c r="D101" s="203">
        <f t="shared" si="101"/>
        <v>1113.8250000000003</v>
      </c>
      <c r="E101" s="203">
        <f t="shared" si="101"/>
        <v>1017.7800000000001</v>
      </c>
      <c r="F101" s="203">
        <f t="shared" si="101"/>
        <v>4164.7080000000005</v>
      </c>
      <c r="G101" s="203">
        <f t="shared" si="101"/>
        <v>4447.643</v>
      </c>
      <c r="H101" s="203">
        <f t="shared" si="101"/>
        <v>5473.6510000000017</v>
      </c>
      <c r="I101" s="203">
        <f t="shared" si="101"/>
        <v>6323.3249999999989</v>
      </c>
      <c r="J101" s="203">
        <f t="shared" si="101"/>
        <v>5364.71</v>
      </c>
      <c r="K101" s="203">
        <f t="shared" si="101"/>
        <v>4276.9920000000011</v>
      </c>
      <c r="L101" s="203">
        <f>L99+L93</f>
        <v>4532.6997148380306</v>
      </c>
      <c r="M101" s="203">
        <f t="shared" ref="M101:V101" si="102">M99+M93</f>
        <v>4672.5965019543846</v>
      </c>
      <c r="N101" s="203">
        <f t="shared" si="102"/>
        <v>4885.8614805603756</v>
      </c>
      <c r="O101" s="203">
        <f t="shared" si="102"/>
        <v>5103.6060050723663</v>
      </c>
      <c r="P101" s="203">
        <f t="shared" si="102"/>
        <v>5316.7260020166514</v>
      </c>
      <c r="Q101" s="203">
        <f t="shared" si="102"/>
        <v>5545.9158925976672</v>
      </c>
      <c r="R101" s="203">
        <f t="shared" si="102"/>
        <v>5791.6343907837945</v>
      </c>
      <c r="S101" s="203">
        <f t="shared" si="102"/>
        <v>6048.8309423022047</v>
      </c>
      <c r="T101" s="203">
        <f t="shared" si="102"/>
        <v>6346.7959857492706</v>
      </c>
      <c r="U101" s="203">
        <f t="shared" si="102"/>
        <v>6664.2876443834439</v>
      </c>
      <c r="V101" s="203">
        <f t="shared" si="102"/>
        <v>7002.4367028206243</v>
      </c>
      <c r="W101" s="184"/>
      <c r="X101" s="184"/>
      <c r="Y101" s="225"/>
      <c r="Z101" s="225"/>
      <c r="AA101" s="169"/>
      <c r="AB101" s="169"/>
      <c r="AC101" s="169"/>
      <c r="AD101" s="169"/>
      <c r="AE101" s="169"/>
      <c r="AF101" s="169"/>
      <c r="AG101" s="171"/>
      <c r="AH101" s="171"/>
      <c r="AI101" s="171"/>
      <c r="AJ101" s="171"/>
    </row>
    <row r="102" spans="1:36" s="9" customFormat="1" ht="16.5" thickTop="1">
      <c r="A102" s="171"/>
      <c r="B102" s="171" t="s">
        <v>53</v>
      </c>
      <c r="C102" s="180"/>
      <c r="D102" s="180">
        <f t="shared" ref="D102:K102" si="103">D101-D84</f>
        <v>705.70000000000027</v>
      </c>
      <c r="E102" s="180">
        <f t="shared" si="103"/>
        <v>-855.3330000000002</v>
      </c>
      <c r="F102" s="180">
        <f t="shared" si="103"/>
        <v>0</v>
      </c>
      <c r="G102" s="180">
        <f t="shared" si="103"/>
        <v>0</v>
      </c>
      <c r="H102" s="180">
        <f t="shared" si="103"/>
        <v>0</v>
      </c>
      <c r="I102" s="180">
        <f t="shared" si="103"/>
        <v>2.5670000000000073</v>
      </c>
      <c r="J102" s="180">
        <f t="shared" si="103"/>
        <v>0</v>
      </c>
      <c r="K102" s="180">
        <f t="shared" si="103"/>
        <v>0</v>
      </c>
      <c r="L102" s="180">
        <f t="shared" ref="L102:Q102" si="104">L101-L84</f>
        <v>94.781300000000556</v>
      </c>
      <c r="M102" s="180">
        <f t="shared" si="104"/>
        <v>24.638230000000476</v>
      </c>
      <c r="N102" s="180">
        <f t="shared" si="104"/>
        <v>0.1783530000002429</v>
      </c>
      <c r="O102" s="180">
        <f t="shared" si="104"/>
        <v>6.9988300001568859E-2</v>
      </c>
      <c r="P102" s="180">
        <f t="shared" si="104"/>
        <v>4.8287130000062461E-2</v>
      </c>
      <c r="Q102" s="180">
        <f t="shared" si="104"/>
        <v>0.42191584299962415</v>
      </c>
      <c r="R102" s="180">
        <f t="shared" ref="R102:V102" si="105">R101-R84</f>
        <v>0.13419170947418024</v>
      </c>
      <c r="S102" s="180">
        <f t="shared" si="105"/>
        <v>0.10583136927289161</v>
      </c>
      <c r="T102" s="180">
        <f t="shared" si="105"/>
        <v>9.9803012061784102E-2</v>
      </c>
      <c r="U102" s="180">
        <f t="shared" si="105"/>
        <v>0.39222323698959372</v>
      </c>
      <c r="V102" s="180">
        <f t="shared" si="105"/>
        <v>0.27301447316403937</v>
      </c>
      <c r="W102" s="180"/>
      <c r="X102" s="180"/>
      <c r="Y102" s="192"/>
      <c r="Z102" s="192"/>
      <c r="AA102" s="169"/>
      <c r="AB102" s="169"/>
      <c r="AC102" s="169"/>
      <c r="AD102" s="169"/>
      <c r="AE102" s="169"/>
      <c r="AF102" s="169"/>
      <c r="AG102" s="171"/>
      <c r="AH102" s="171"/>
      <c r="AI102" s="171"/>
      <c r="AJ102" s="171"/>
    </row>
    <row r="103" spans="1:36" ht="15.75">
      <c r="A103" s="169"/>
      <c r="B103" s="171"/>
      <c r="C103" s="226"/>
      <c r="D103" s="226"/>
      <c r="E103" s="226"/>
      <c r="F103" s="226"/>
      <c r="G103" s="226"/>
      <c r="H103" s="226"/>
      <c r="I103" s="226"/>
      <c r="J103" s="226"/>
      <c r="K103" s="226"/>
      <c r="L103" s="226"/>
      <c r="M103" s="226"/>
      <c r="N103" s="226"/>
      <c r="O103" s="226"/>
      <c r="P103" s="226"/>
      <c r="Q103" s="226"/>
      <c r="R103" s="226"/>
      <c r="S103" s="226"/>
      <c r="T103" s="226"/>
      <c r="U103" s="226"/>
      <c r="V103" s="226"/>
      <c r="W103" s="226"/>
      <c r="X103" s="226"/>
      <c r="Y103" s="192"/>
      <c r="Z103" s="192"/>
      <c r="AA103" s="169"/>
      <c r="AB103" s="169"/>
      <c r="AC103" s="169"/>
      <c r="AD103" s="169"/>
      <c r="AE103" s="169"/>
      <c r="AF103" s="169"/>
      <c r="AG103" s="169"/>
      <c r="AH103" s="169"/>
      <c r="AI103" s="169"/>
      <c r="AJ103" s="169"/>
    </row>
    <row r="104" spans="1:36" s="7" customFormat="1" ht="15.75">
      <c r="A104" s="173"/>
      <c r="B104" s="173" t="s">
        <v>54</v>
      </c>
      <c r="C104" s="184">
        <f t="shared" ref="C104:K104" si="106">C91+C88-C70</f>
        <v>378.45699999999999</v>
      </c>
      <c r="D104" s="184">
        <f t="shared" si="106"/>
        <v>595.20299999999997</v>
      </c>
      <c r="E104" s="184">
        <f t="shared" si="106"/>
        <v>657.33600000000001</v>
      </c>
      <c r="F104" s="184">
        <f t="shared" si="106"/>
        <v>1341.5700000000002</v>
      </c>
      <c r="G104" s="184">
        <f t="shared" si="106"/>
        <v>1932.54</v>
      </c>
      <c r="H104" s="184">
        <f t="shared" si="106"/>
        <v>2068.7030000000004</v>
      </c>
      <c r="I104" s="184">
        <f t="shared" si="106"/>
        <v>3435.8819999999996</v>
      </c>
      <c r="J104" s="184">
        <f t="shared" si="106"/>
        <v>3819.0180000000005</v>
      </c>
      <c r="K104" s="184">
        <f t="shared" si="106"/>
        <v>3322.5370000000003</v>
      </c>
      <c r="L104" s="184">
        <f t="shared" ref="L104:Q104" si="107">L91+L88-L70</f>
        <v>3070.0781725287679</v>
      </c>
      <c r="M104" s="184">
        <f t="shared" si="107"/>
        <v>2965.3508340143267</v>
      </c>
      <c r="N104" s="184">
        <f t="shared" si="107"/>
        <v>2866.4014684416793</v>
      </c>
      <c r="O104" s="184">
        <f t="shared" si="107"/>
        <v>2793.3927381522021</v>
      </c>
      <c r="P104" s="184">
        <f t="shared" si="107"/>
        <v>2705.3939613646803</v>
      </c>
      <c r="Q104" s="184">
        <f t="shared" si="107"/>
        <v>2612.8080709449619</v>
      </c>
      <c r="R104" s="184">
        <f t="shared" ref="R104:V104" si="108">R91+R88-R70</f>
        <v>2500.9905994082874</v>
      </c>
      <c r="S104" s="184">
        <f t="shared" si="108"/>
        <v>2390.5782257287779</v>
      </c>
      <c r="T104" s="184">
        <f t="shared" si="108"/>
        <v>2255.6197162505382</v>
      </c>
      <c r="U104" s="184">
        <f t="shared" si="108"/>
        <v>2107.2223508271968</v>
      </c>
      <c r="V104" s="184">
        <f t="shared" si="108"/>
        <v>1958.545581749976</v>
      </c>
      <c r="W104" s="184"/>
      <c r="X104" s="184"/>
      <c r="Y104" s="169"/>
      <c r="Z104" s="169"/>
      <c r="AA104" s="169"/>
      <c r="AB104" s="169"/>
      <c r="AC104" s="169"/>
      <c r="AD104" s="169"/>
      <c r="AE104" s="169"/>
      <c r="AF104" s="169"/>
      <c r="AG104" s="173"/>
      <c r="AH104" s="173"/>
      <c r="AI104" s="173"/>
      <c r="AJ104" s="173"/>
    </row>
    <row r="105" spans="1:36" ht="15.75">
      <c r="A105" s="169"/>
      <c r="B105" s="171" t="s">
        <v>55</v>
      </c>
      <c r="C105" s="180"/>
      <c r="D105" s="180">
        <f t="shared" ref="D105:K105" si="109">D104-C104</f>
        <v>216.74599999999998</v>
      </c>
      <c r="E105" s="180">
        <f t="shared" si="109"/>
        <v>62.133000000000038</v>
      </c>
      <c r="F105" s="180">
        <f t="shared" si="109"/>
        <v>684.23400000000015</v>
      </c>
      <c r="G105" s="180">
        <f t="shared" si="109"/>
        <v>590.9699999999998</v>
      </c>
      <c r="H105" s="180">
        <f t="shared" si="109"/>
        <v>136.16300000000047</v>
      </c>
      <c r="I105" s="180">
        <f t="shared" si="109"/>
        <v>1367.1789999999992</v>
      </c>
      <c r="J105" s="180">
        <f t="shared" si="109"/>
        <v>383.13600000000088</v>
      </c>
      <c r="K105" s="180">
        <f t="shared" si="109"/>
        <v>-496.48100000000022</v>
      </c>
      <c r="L105" s="180">
        <f t="shared" ref="L105:V105" si="110">L104-K104</f>
        <v>-252.45882747123233</v>
      </c>
      <c r="M105" s="180">
        <f t="shared" si="110"/>
        <v>-104.72733851444127</v>
      </c>
      <c r="N105" s="180">
        <f t="shared" si="110"/>
        <v>-98.949365572647366</v>
      </c>
      <c r="O105" s="180">
        <f t="shared" si="110"/>
        <v>-73.008730289477171</v>
      </c>
      <c r="P105" s="180">
        <f t="shared" si="110"/>
        <v>-87.99877678752182</v>
      </c>
      <c r="Q105" s="180">
        <f t="shared" si="110"/>
        <v>-92.585890419718453</v>
      </c>
      <c r="R105" s="180">
        <f t="shared" si="110"/>
        <v>-111.81747153667447</v>
      </c>
      <c r="S105" s="180">
        <f t="shared" si="110"/>
        <v>-110.41237367950953</v>
      </c>
      <c r="T105" s="180">
        <f t="shared" si="110"/>
        <v>-134.95850947823965</v>
      </c>
      <c r="U105" s="180">
        <f t="shared" si="110"/>
        <v>-148.3973654233414</v>
      </c>
      <c r="V105" s="180">
        <f t="shared" si="110"/>
        <v>-148.6767690772208</v>
      </c>
      <c r="W105" s="180"/>
      <c r="X105" s="180"/>
      <c r="Y105" s="169"/>
      <c r="Z105" s="169"/>
      <c r="AA105" s="169"/>
      <c r="AB105" s="169"/>
      <c r="AC105" s="169"/>
      <c r="AD105" s="169"/>
      <c r="AE105" s="169"/>
      <c r="AF105" s="169"/>
      <c r="AG105" s="169"/>
      <c r="AH105" s="169"/>
      <c r="AI105" s="169"/>
      <c r="AJ105" s="169"/>
    </row>
    <row r="106" spans="1:36" ht="15.75">
      <c r="A106" s="169"/>
      <c r="B106" s="171"/>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69"/>
      <c r="Z106" s="169"/>
      <c r="AA106" s="169"/>
      <c r="AB106" s="169"/>
      <c r="AC106" s="169"/>
      <c r="AD106" s="169"/>
      <c r="AE106" s="169"/>
      <c r="AF106" s="169"/>
      <c r="AG106" s="169"/>
      <c r="AH106" s="169"/>
      <c r="AI106" s="169"/>
      <c r="AJ106" s="169"/>
    </row>
    <row r="107" spans="1:36" ht="15.75">
      <c r="A107" s="169"/>
      <c r="B107" s="171"/>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69"/>
      <c r="Z107" s="169"/>
      <c r="AA107" s="169"/>
      <c r="AB107" s="169"/>
      <c r="AC107" s="169"/>
      <c r="AD107" s="169"/>
      <c r="AE107" s="169"/>
      <c r="AF107" s="169"/>
      <c r="AG107" s="169"/>
      <c r="AH107" s="169"/>
      <c r="AI107" s="169"/>
      <c r="AJ107" s="169"/>
    </row>
    <row r="108" spans="1:36" ht="15.75">
      <c r="A108" s="169"/>
      <c r="B108" s="171"/>
      <c r="C108" s="183"/>
      <c r="D108" s="183"/>
      <c r="E108" s="745"/>
      <c r="F108" s="745"/>
      <c r="G108" s="745"/>
      <c r="H108" s="745"/>
      <c r="I108" s="745"/>
      <c r="J108" s="745"/>
      <c r="K108" s="745"/>
      <c r="L108" s="745"/>
      <c r="M108" s="745"/>
      <c r="N108" s="745"/>
      <c r="O108" s="745"/>
      <c r="P108" s="745"/>
      <c r="Q108" s="745"/>
      <c r="R108" s="745"/>
      <c r="S108" s="745"/>
      <c r="T108" s="745"/>
      <c r="U108" s="745"/>
      <c r="V108" s="745"/>
      <c r="W108" s="183"/>
      <c r="X108" s="183"/>
      <c r="Y108" s="169"/>
      <c r="Z108" s="169"/>
      <c r="AA108" s="169"/>
      <c r="AB108" s="169"/>
      <c r="AC108" s="169"/>
      <c r="AD108" s="169"/>
      <c r="AE108" s="169"/>
      <c r="AF108" s="169"/>
      <c r="AG108" s="169"/>
      <c r="AH108" s="169"/>
      <c r="AI108" s="169"/>
      <c r="AJ108" s="169"/>
    </row>
    <row r="109" spans="1:36" s="9" customFormat="1" ht="15.75">
      <c r="A109" s="171"/>
      <c r="B109" s="186" t="s">
        <v>56</v>
      </c>
      <c r="C109" s="187">
        <v>2016</v>
      </c>
      <c r="D109" s="187">
        <f t="shared" ref="D109:V109" si="111">C109+1</f>
        <v>2017</v>
      </c>
      <c r="E109" s="187">
        <f t="shared" si="111"/>
        <v>2018</v>
      </c>
      <c r="F109" s="187">
        <f t="shared" si="111"/>
        <v>2019</v>
      </c>
      <c r="G109" s="187">
        <f t="shared" si="111"/>
        <v>2020</v>
      </c>
      <c r="H109" s="187">
        <f t="shared" si="111"/>
        <v>2021</v>
      </c>
      <c r="I109" s="187">
        <f t="shared" si="111"/>
        <v>2022</v>
      </c>
      <c r="J109" s="187">
        <f t="shared" si="111"/>
        <v>2023</v>
      </c>
      <c r="K109" s="187">
        <f t="shared" si="111"/>
        <v>2024</v>
      </c>
      <c r="L109" s="187">
        <f t="shared" si="111"/>
        <v>2025</v>
      </c>
      <c r="M109" s="187">
        <f t="shared" si="111"/>
        <v>2026</v>
      </c>
      <c r="N109" s="187">
        <f t="shared" si="111"/>
        <v>2027</v>
      </c>
      <c r="O109" s="187">
        <f t="shared" si="111"/>
        <v>2028</v>
      </c>
      <c r="P109" s="187">
        <f t="shared" si="111"/>
        <v>2029</v>
      </c>
      <c r="Q109" s="187">
        <f t="shared" si="111"/>
        <v>2030</v>
      </c>
      <c r="R109" s="187">
        <f t="shared" si="111"/>
        <v>2031</v>
      </c>
      <c r="S109" s="187">
        <f t="shared" si="111"/>
        <v>2032</v>
      </c>
      <c r="T109" s="187">
        <f t="shared" si="111"/>
        <v>2033</v>
      </c>
      <c r="U109" s="187">
        <f t="shared" si="111"/>
        <v>2034</v>
      </c>
      <c r="V109" s="187">
        <f t="shared" si="111"/>
        <v>2035</v>
      </c>
      <c r="W109" s="174"/>
      <c r="X109" s="174"/>
      <c r="Y109" s="192"/>
      <c r="Z109" s="220"/>
      <c r="AA109" s="171"/>
      <c r="AB109" s="171"/>
      <c r="AC109" s="171"/>
      <c r="AD109" s="171"/>
      <c r="AE109" s="171"/>
      <c r="AF109" s="171"/>
      <c r="AG109" s="171"/>
      <c r="AH109" s="171"/>
      <c r="AI109" s="171"/>
      <c r="AJ109" s="171"/>
    </row>
    <row r="110" spans="1:36" s="9" customFormat="1" ht="15.75">
      <c r="A110" s="171"/>
      <c r="B110" s="173" t="s">
        <v>57</v>
      </c>
      <c r="C110" s="184">
        <f t="shared" ref="C110:Q110" si="112">C32</f>
        <v>0</v>
      </c>
      <c r="D110" s="184">
        <f t="shared" si="112"/>
        <v>0</v>
      </c>
      <c r="E110" s="184">
        <f t="shared" si="112"/>
        <v>0</v>
      </c>
      <c r="F110" s="184">
        <f t="shared" si="112"/>
        <v>409.61399999999992</v>
      </c>
      <c r="G110" s="184">
        <f t="shared" si="112"/>
        <v>590.01400000000001</v>
      </c>
      <c r="H110" s="184">
        <f t="shared" si="112"/>
        <v>524.39599999999996</v>
      </c>
      <c r="I110" s="184">
        <f t="shared" si="112"/>
        <v>397.38599999999997</v>
      </c>
      <c r="J110" s="184">
        <f t="shared" si="112"/>
        <v>546.53500000000008</v>
      </c>
      <c r="K110" s="184">
        <f t="shared" si="112"/>
        <v>671.35399999999993</v>
      </c>
      <c r="L110" s="184">
        <f t="shared" si="112"/>
        <v>739.86683591510814</v>
      </c>
      <c r="M110" s="184">
        <f t="shared" si="112"/>
        <v>781.89486860196962</v>
      </c>
      <c r="N110" s="184">
        <f t="shared" si="112"/>
        <v>858.68016569403994</v>
      </c>
      <c r="O110" s="184">
        <f t="shared" si="112"/>
        <v>920.65980627022805</v>
      </c>
      <c r="P110" s="184">
        <f t="shared" si="112"/>
        <v>997.79439935551204</v>
      </c>
      <c r="Q110" s="184">
        <f t="shared" si="112"/>
        <v>1067.524691326495</v>
      </c>
      <c r="R110" s="184">
        <f t="shared" ref="R110:V110" si="113">R32</f>
        <v>1149.3105923280136</v>
      </c>
      <c r="S110" s="184">
        <f t="shared" si="113"/>
        <v>1221.8906610976712</v>
      </c>
      <c r="T110" s="184">
        <f t="shared" si="113"/>
        <v>1312.6262547692747</v>
      </c>
      <c r="U110" s="184">
        <f t="shared" si="113"/>
        <v>1395.7461309288647</v>
      </c>
      <c r="V110" s="184">
        <f t="shared" si="113"/>
        <v>1484.3635201258021</v>
      </c>
      <c r="W110" s="184"/>
      <c r="X110" s="184"/>
      <c r="Y110" s="192"/>
      <c r="Z110" s="220"/>
      <c r="AA110" s="171"/>
      <c r="AB110" s="171"/>
      <c r="AC110" s="171"/>
      <c r="AD110" s="171"/>
      <c r="AE110" s="171"/>
      <c r="AF110" s="171"/>
      <c r="AG110" s="171"/>
      <c r="AH110" s="171"/>
      <c r="AI110" s="171"/>
      <c r="AJ110" s="171"/>
    </row>
    <row r="111" spans="1:36" s="9" customFormat="1" ht="15.75">
      <c r="A111" s="171"/>
      <c r="B111" s="171" t="s">
        <v>675</v>
      </c>
      <c r="C111" s="180">
        <f>-C50+C49</f>
        <v>-59.811</v>
      </c>
      <c r="D111" s="198">
        <f>-51.633+0.704</f>
        <v>-50.929000000000002</v>
      </c>
      <c r="E111" s="198">
        <f>-69.875+0.951</f>
        <v>-68.924000000000007</v>
      </c>
      <c r="F111" s="198">
        <f>-11.634-171.883+14.732</f>
        <v>-168.785</v>
      </c>
      <c r="G111" s="198">
        <f>-167.938-19.239+5.101</f>
        <v>-182.07599999999999</v>
      </c>
      <c r="H111" s="198">
        <f>-168.285-32.923+7.798</f>
        <v>-193.41</v>
      </c>
      <c r="I111" s="198">
        <f>-234.567-36.178+15.17</f>
        <v>-255.57500000000002</v>
      </c>
      <c r="J111" s="198">
        <f>-299.029-58.443+25.008</f>
        <v>-332.464</v>
      </c>
      <c r="K111" s="198">
        <f>-326.984-66.041+18.66</f>
        <v>-374.36499999999995</v>
      </c>
      <c r="L111" s="180">
        <f>-L50+L49</f>
        <v>-386.51656725155664</v>
      </c>
      <c r="M111" s="180">
        <f t="shared" ref="M111:Q111" si="114">-M50+M49</f>
        <v>-381.28046923133184</v>
      </c>
      <c r="N111" s="180">
        <f t="shared" si="114"/>
        <v>-381.74327613737455</v>
      </c>
      <c r="O111" s="180">
        <f t="shared" si="114"/>
        <v>-381.86701110161994</v>
      </c>
      <c r="P111" s="180">
        <f t="shared" si="114"/>
        <v>-382.06778073325887</v>
      </c>
      <c r="Q111" s="180">
        <f t="shared" si="114"/>
        <v>-382.24070564658905</v>
      </c>
      <c r="R111" s="180">
        <f t="shared" ref="R111:V111" si="115">-R50+R49</f>
        <v>-382.44515346579732</v>
      </c>
      <c r="S111" s="180">
        <f t="shared" si="115"/>
        <v>-383.0112717254525</v>
      </c>
      <c r="T111" s="180">
        <f t="shared" si="115"/>
        <v>-384.09148599816046</v>
      </c>
      <c r="U111" s="180">
        <f t="shared" si="115"/>
        <v>-385.59477106074706</v>
      </c>
      <c r="V111" s="180">
        <f t="shared" si="115"/>
        <v>-387.69777264614646</v>
      </c>
      <c r="W111" s="976" t="s">
        <v>1129</v>
      </c>
      <c r="Y111" s="192"/>
      <c r="Z111" s="220"/>
      <c r="AA111" s="171"/>
      <c r="AB111" s="171"/>
      <c r="AC111" s="171"/>
      <c r="AD111" s="171"/>
      <c r="AE111" s="171"/>
      <c r="AF111" s="171"/>
      <c r="AG111" s="171"/>
      <c r="AH111" s="171"/>
      <c r="AI111" s="171"/>
      <c r="AJ111" s="171"/>
    </row>
    <row r="112" spans="1:36" s="9" customFormat="1" ht="15.75">
      <c r="A112" s="171"/>
      <c r="B112" s="171" t="s">
        <v>59</v>
      </c>
      <c r="C112" s="180">
        <f>-C54</f>
        <v>0</v>
      </c>
      <c r="D112" s="198">
        <v>-1.2509999999999999</v>
      </c>
      <c r="E112" s="198">
        <v>-2.9409999999999998</v>
      </c>
      <c r="F112" s="198">
        <v>-13.396000000000001</v>
      </c>
      <c r="G112" s="198">
        <v>-14.54</v>
      </c>
      <c r="H112" s="198">
        <v>-29.146999999999998</v>
      </c>
      <c r="I112" s="198">
        <v>-51.244999999999997</v>
      </c>
      <c r="J112" s="198">
        <v>-45.411000000000001</v>
      </c>
      <c r="K112" s="198">
        <v>-38.628999999999998</v>
      </c>
      <c r="L112" s="180">
        <f t="shared" ref="L112:Q112" si="116">-L54</f>
        <v>-44.980206961226379</v>
      </c>
      <c r="M112" s="180">
        <f t="shared" si="116"/>
        <v>-65.646527322746209</v>
      </c>
      <c r="N112" s="180">
        <f t="shared" si="116"/>
        <v>-88.114476653310433</v>
      </c>
      <c r="O112" s="180">
        <f t="shared" si="116"/>
        <v>-106.84398123795764</v>
      </c>
      <c r="P112" s="180">
        <f t="shared" si="116"/>
        <v>-127.7293323991356</v>
      </c>
      <c r="Q112" s="180">
        <f t="shared" si="116"/>
        <v>-150.06020705724754</v>
      </c>
      <c r="R112" s="180">
        <f t="shared" ref="R112:V112" si="117">-R54</f>
        <v>-172.53323710010218</v>
      </c>
      <c r="S112" s="180">
        <f t="shared" si="117"/>
        <v>-196.1136120180027</v>
      </c>
      <c r="T112" s="180">
        <f t="shared" si="117"/>
        <v>-221.46817080988657</v>
      </c>
      <c r="U112" s="180">
        <f t="shared" si="117"/>
        <v>-248.92913200351177</v>
      </c>
      <c r="V112" s="180">
        <f t="shared" si="117"/>
        <v>-278.33927193664994</v>
      </c>
      <c r="W112" s="180"/>
      <c r="Y112" s="192"/>
      <c r="Z112" s="220"/>
      <c r="AA112" s="171"/>
      <c r="AB112" s="171"/>
      <c r="AC112" s="171"/>
      <c r="AD112" s="171"/>
      <c r="AE112" s="171"/>
      <c r="AF112" s="171"/>
      <c r="AG112" s="171"/>
      <c r="AH112" s="171"/>
      <c r="AI112" s="171"/>
      <c r="AJ112" s="171"/>
    </row>
    <row r="113" spans="1:36" s="9" customFormat="1" ht="15.75">
      <c r="A113" s="171"/>
      <c r="B113" s="171" t="s">
        <v>60</v>
      </c>
      <c r="C113" s="180">
        <f>C228</f>
        <v>0</v>
      </c>
      <c r="D113" s="198">
        <f>-2.548+7.632+5.968-17.567</f>
        <v>-6.5150000000000006</v>
      </c>
      <c r="E113" s="198">
        <f>-1+9.3-3.8-21.2</f>
        <v>-16.7</v>
      </c>
      <c r="F113" s="198">
        <v>-18</v>
      </c>
      <c r="G113" s="198">
        <v>-157.76499999999999</v>
      </c>
      <c r="H113" s="198">
        <v>-69.826999999999998</v>
      </c>
      <c r="I113" s="198">
        <v>-46.24</v>
      </c>
      <c r="J113" s="198">
        <v>-224.982</v>
      </c>
      <c r="K113" s="198">
        <v>-158.667</v>
      </c>
      <c r="L113" s="180">
        <f t="shared" ref="L113:Q113" si="118">L228</f>
        <v>-135.15493423109282</v>
      </c>
      <c r="M113" s="180">
        <f t="shared" si="118"/>
        <v>-125.57690886901644</v>
      </c>
      <c r="N113" s="180">
        <f t="shared" si="118"/>
        <v>-104.27030912083694</v>
      </c>
      <c r="O113" s="180">
        <f t="shared" si="118"/>
        <v>-105.27322557897782</v>
      </c>
      <c r="P113" s="180">
        <f t="shared" si="118"/>
        <v>-106.39389916131162</v>
      </c>
      <c r="Q113" s="180">
        <f t="shared" si="118"/>
        <v>-105.7717050242818</v>
      </c>
      <c r="R113" s="180">
        <f t="shared" ref="R113:V113" si="119">R228</f>
        <v>-102.25721279217592</v>
      </c>
      <c r="S113" s="180">
        <f t="shared" si="119"/>
        <v>-110.61798739812178</v>
      </c>
      <c r="T113" s="180">
        <f t="shared" si="119"/>
        <v>-107.33990281919588</v>
      </c>
      <c r="U113" s="180">
        <f t="shared" si="119"/>
        <v>-102.67790960480198</v>
      </c>
      <c r="V113" s="180">
        <f t="shared" si="119"/>
        <v>-111.37659455884666</v>
      </c>
      <c r="W113" s="180"/>
      <c r="Y113" s="192"/>
      <c r="Z113" s="220"/>
      <c r="AA113" s="171"/>
      <c r="AB113" s="171"/>
      <c r="AC113" s="171"/>
      <c r="AD113" s="171"/>
      <c r="AE113" s="171"/>
      <c r="AF113" s="171"/>
      <c r="AG113" s="171"/>
      <c r="AH113" s="171"/>
      <c r="AI113" s="171"/>
      <c r="AJ113" s="171"/>
    </row>
    <row r="114" spans="1:36" s="9" customFormat="1" ht="15.75">
      <c r="A114" s="171"/>
      <c r="B114" s="171" t="s">
        <v>61</v>
      </c>
      <c r="C114" s="180">
        <f>C46</f>
        <v>-129.46299999999999</v>
      </c>
      <c r="D114" s="180">
        <f>D46</f>
        <v>-148.19500000000002</v>
      </c>
      <c r="E114" s="180">
        <f>E46</f>
        <v>121.78800000000003</v>
      </c>
      <c r="F114" s="198">
        <v>0</v>
      </c>
      <c r="G114" s="198">
        <v>0</v>
      </c>
      <c r="H114" s="198">
        <v>0</v>
      </c>
      <c r="I114" s="198">
        <v>0</v>
      </c>
      <c r="J114" s="198">
        <v>0</v>
      </c>
      <c r="K114" s="198">
        <v>0</v>
      </c>
      <c r="L114" s="193">
        <v>0</v>
      </c>
      <c r="M114" s="193">
        <v>0</v>
      </c>
      <c r="N114" s="193">
        <v>0</v>
      </c>
      <c r="O114" s="193">
        <v>0</v>
      </c>
      <c r="P114" s="193">
        <v>0</v>
      </c>
      <c r="Q114" s="193">
        <v>0</v>
      </c>
      <c r="R114" s="193">
        <v>0</v>
      </c>
      <c r="S114" s="193">
        <v>0</v>
      </c>
      <c r="T114" s="193">
        <v>0</v>
      </c>
      <c r="U114" s="193">
        <v>0</v>
      </c>
      <c r="V114" s="193">
        <v>0</v>
      </c>
      <c r="W114" s="180"/>
      <c r="Y114" s="192"/>
      <c r="Z114" s="220"/>
      <c r="AA114" s="171"/>
      <c r="AB114" s="171"/>
      <c r="AC114" s="171"/>
      <c r="AD114" s="171"/>
      <c r="AE114" s="171"/>
      <c r="AF114" s="171"/>
      <c r="AG114" s="171"/>
      <c r="AH114" s="171"/>
      <c r="AI114" s="171"/>
      <c r="AJ114" s="171"/>
    </row>
    <row r="115" spans="1:36" s="9" customFormat="1" ht="15.75">
      <c r="A115" s="171"/>
      <c r="B115" s="171" t="s">
        <v>211</v>
      </c>
      <c r="C115" s="180"/>
      <c r="D115" s="198">
        <v>-11.675000000000001</v>
      </c>
      <c r="E115" s="198">
        <v>-10.422000000000001</v>
      </c>
      <c r="F115" s="198">
        <v>-58.33</v>
      </c>
      <c r="G115" s="198">
        <v>-39.152999999999999</v>
      </c>
      <c r="H115" s="198">
        <v>-63.323999999999998</v>
      </c>
      <c r="I115" s="198">
        <v>-76.629000000000005</v>
      </c>
      <c r="J115" s="198">
        <v>-72.853999999999999</v>
      </c>
      <c r="K115" s="198">
        <v>-55.232999999999997</v>
      </c>
      <c r="L115" s="193">
        <f t="shared" ref="L115:Q115" si="120">K115*1.1</f>
        <v>-60.756300000000003</v>
      </c>
      <c r="M115" s="193">
        <f t="shared" si="120"/>
        <v>-66.831930000000014</v>
      </c>
      <c r="N115" s="193">
        <f t="shared" si="120"/>
        <v>-73.515123000000017</v>
      </c>
      <c r="O115" s="193">
        <f t="shared" si="120"/>
        <v>-80.866635300000027</v>
      </c>
      <c r="P115" s="193">
        <f t="shared" si="120"/>
        <v>-88.953298830000037</v>
      </c>
      <c r="Q115" s="193">
        <f t="shared" si="120"/>
        <v>-97.848628713000053</v>
      </c>
      <c r="R115" s="193">
        <f>Q115*1.075</f>
        <v>-105.18727586647505</v>
      </c>
      <c r="S115" s="193">
        <f>R115*1.05</f>
        <v>-110.44663965979881</v>
      </c>
      <c r="T115" s="193">
        <f t="shared" ref="T115:V115" si="121">S115*1.05</f>
        <v>-115.96897164278874</v>
      </c>
      <c r="U115" s="193">
        <f t="shared" si="121"/>
        <v>-121.76742022492819</v>
      </c>
      <c r="V115" s="193">
        <f t="shared" si="121"/>
        <v>-127.8557912361746</v>
      </c>
      <c r="W115" s="976" t="s">
        <v>1130</v>
      </c>
      <c r="Y115" s="192"/>
      <c r="Z115" s="220"/>
      <c r="AA115" s="171"/>
      <c r="AB115" s="171"/>
      <c r="AC115" s="171"/>
      <c r="AD115" s="171"/>
      <c r="AE115" s="171"/>
      <c r="AF115" s="171"/>
      <c r="AG115" s="171"/>
      <c r="AH115" s="171"/>
      <c r="AI115" s="171"/>
      <c r="AJ115" s="171"/>
    </row>
    <row r="116" spans="1:36" s="9" customFormat="1" ht="15.75">
      <c r="A116" s="171"/>
      <c r="B116" s="171" t="s">
        <v>62</v>
      </c>
      <c r="C116" s="180"/>
      <c r="D116" s="180"/>
      <c r="E116" s="180"/>
      <c r="F116" s="180"/>
      <c r="G116" s="198">
        <f>-542.905+2.227</f>
        <v>-540.678</v>
      </c>
      <c r="H116" s="198">
        <f>-401.039+4.742</f>
        <v>-396.29699999999997</v>
      </c>
      <c r="I116" s="198">
        <f>-735.74+1.826</f>
        <v>-733.91399999999999</v>
      </c>
      <c r="J116" s="198">
        <f>-4.486+2.919</f>
        <v>-1.5669999999999997</v>
      </c>
      <c r="K116" s="198">
        <f>26.706+118.96</f>
        <v>145.666</v>
      </c>
      <c r="L116" s="193">
        <f>274.5-M116-N116</f>
        <v>180</v>
      </c>
      <c r="M116" s="193">
        <v>70</v>
      </c>
      <c r="N116" s="193">
        <v>24.5</v>
      </c>
      <c r="O116" s="193"/>
      <c r="P116" s="193"/>
      <c r="Q116" s="193"/>
      <c r="R116" s="193"/>
      <c r="S116" s="193"/>
      <c r="T116" s="193"/>
      <c r="U116" s="193"/>
      <c r="V116" s="193"/>
      <c r="W116" s="180"/>
      <c r="Y116" s="192"/>
      <c r="Z116" s="220"/>
      <c r="AA116" s="171"/>
      <c r="AB116" s="171"/>
      <c r="AC116" s="171"/>
      <c r="AD116" s="171"/>
      <c r="AE116" s="171"/>
      <c r="AF116" s="171"/>
      <c r="AG116" s="171"/>
      <c r="AH116" s="171"/>
      <c r="AI116" s="171"/>
      <c r="AJ116" s="171"/>
    </row>
    <row r="117" spans="1:36" s="9" customFormat="1" ht="15.75">
      <c r="A117" s="171"/>
      <c r="B117" s="171" t="s">
        <v>63</v>
      </c>
      <c r="C117" s="180">
        <f t="shared" ref="C117:E117" si="122">-C297</f>
        <v>0</v>
      </c>
      <c r="D117" s="180">
        <f t="shared" si="122"/>
        <v>0</v>
      </c>
      <c r="E117" s="180">
        <f t="shared" si="122"/>
        <v>0</v>
      </c>
      <c r="F117" s="180">
        <f t="shared" ref="F117:L117" si="123">-F297</f>
        <v>0</v>
      </c>
      <c r="G117" s="180">
        <f t="shared" si="123"/>
        <v>0</v>
      </c>
      <c r="H117" s="180">
        <f t="shared" si="123"/>
        <v>0</v>
      </c>
      <c r="I117" s="180">
        <f t="shared" si="123"/>
        <v>0</v>
      </c>
      <c r="J117" s="180">
        <f t="shared" si="123"/>
        <v>0</v>
      </c>
      <c r="K117" s="180">
        <f t="shared" si="123"/>
        <v>0</v>
      </c>
      <c r="L117" s="180">
        <f t="shared" si="123"/>
        <v>0</v>
      </c>
      <c r="M117" s="180">
        <f t="shared" ref="M117:V117" si="124">-M297</f>
        <v>-57.831694664433911</v>
      </c>
      <c r="N117" s="180">
        <f t="shared" si="124"/>
        <v>-76.587615209870577</v>
      </c>
      <c r="O117" s="180">
        <f t="shared" si="124"/>
        <v>-102.80022276219552</v>
      </c>
      <c r="P117" s="180">
        <f t="shared" si="124"/>
        <v>-124.65131144428392</v>
      </c>
      <c r="Q117" s="180">
        <f t="shared" si="124"/>
        <v>-149.01755446565821</v>
      </c>
      <c r="R117" s="180">
        <f t="shared" si="124"/>
        <v>-175.07024156678881</v>
      </c>
      <c r="S117" s="180">
        <f t="shared" si="124"/>
        <v>-201.28877661678592</v>
      </c>
      <c r="T117" s="180">
        <f t="shared" si="124"/>
        <v>-228.79921402100317</v>
      </c>
      <c r="U117" s="180">
        <f t="shared" si="124"/>
        <v>-258.37953261153433</v>
      </c>
      <c r="V117" s="180">
        <f t="shared" si="124"/>
        <v>-290.41732067076373</v>
      </c>
      <c r="W117" s="180"/>
      <c r="Y117" s="192"/>
      <c r="Z117" s="220"/>
      <c r="AA117" s="171"/>
      <c r="AB117" s="171"/>
      <c r="AC117" s="171"/>
      <c r="AD117" s="171"/>
      <c r="AE117" s="171"/>
      <c r="AF117" s="171"/>
      <c r="AG117" s="171"/>
      <c r="AH117" s="171"/>
      <c r="AI117" s="171"/>
      <c r="AJ117" s="171"/>
    </row>
    <row r="118" spans="1:36" s="9" customFormat="1" ht="15.75">
      <c r="A118" s="171"/>
      <c r="B118" s="171" t="s">
        <v>949</v>
      </c>
      <c r="C118" s="180"/>
      <c r="D118" s="180"/>
      <c r="E118" s="180"/>
      <c r="F118" s="180"/>
      <c r="G118" s="180"/>
      <c r="H118" s="180"/>
      <c r="I118" s="180"/>
      <c r="J118" s="198">
        <v>-10.037000000000001</v>
      </c>
      <c r="K118" s="198">
        <v>0</v>
      </c>
      <c r="L118" s="193">
        <v>-40</v>
      </c>
      <c r="M118" s="193">
        <v>-50</v>
      </c>
      <c r="N118" s="193">
        <f>M118-10</f>
        <v>-60</v>
      </c>
      <c r="O118" s="193">
        <f t="shared" ref="O118:V118" si="125">N118-10</f>
        <v>-70</v>
      </c>
      <c r="P118" s="193">
        <f t="shared" si="125"/>
        <v>-80</v>
      </c>
      <c r="Q118" s="193">
        <f t="shared" si="125"/>
        <v>-90</v>
      </c>
      <c r="R118" s="193">
        <f t="shared" si="125"/>
        <v>-100</v>
      </c>
      <c r="S118" s="193">
        <f t="shared" si="125"/>
        <v>-110</v>
      </c>
      <c r="T118" s="193">
        <f t="shared" si="125"/>
        <v>-120</v>
      </c>
      <c r="U118" s="193">
        <f t="shared" si="125"/>
        <v>-130</v>
      </c>
      <c r="V118" s="193">
        <f t="shared" si="125"/>
        <v>-140</v>
      </c>
      <c r="W118" s="180"/>
      <c r="Y118" s="192"/>
      <c r="Z118" s="220"/>
      <c r="AA118" s="171"/>
      <c r="AB118" s="171"/>
      <c r="AC118" s="171"/>
      <c r="AD118" s="171"/>
      <c r="AE118" s="171"/>
      <c r="AF118" s="171"/>
      <c r="AG118" s="171"/>
      <c r="AH118" s="171"/>
      <c r="AI118" s="171"/>
      <c r="AJ118" s="171"/>
    </row>
    <row r="119" spans="1:36" ht="15.75">
      <c r="A119" s="169"/>
      <c r="B119" s="171" t="s">
        <v>21</v>
      </c>
      <c r="C119" s="227"/>
      <c r="D119" s="227">
        <f t="shared" ref="D119:H119" si="126">-D105-SUM(D110:D118)</f>
        <v>1.8190000000000452</v>
      </c>
      <c r="E119" s="227">
        <f t="shared" si="126"/>
        <v>-84.934000000000054</v>
      </c>
      <c r="F119" s="227">
        <f t="shared" si="126"/>
        <v>-835.3370000000001</v>
      </c>
      <c r="G119" s="227">
        <f t="shared" si="126"/>
        <v>-246.77199999999982</v>
      </c>
      <c r="H119" s="227">
        <f t="shared" si="126"/>
        <v>91.445999999999515</v>
      </c>
      <c r="I119" s="227">
        <f>-I105-SUM(I110:I118)</f>
        <v>-600.96199999999908</v>
      </c>
      <c r="J119" s="227">
        <f>-J105-SUM(J110:J118)</f>
        <v>-242.35600000000093</v>
      </c>
      <c r="K119" s="227">
        <f>-K105-SUM(K110:K118)</f>
        <v>306.35500000000025</v>
      </c>
      <c r="L119" s="228"/>
      <c r="M119" s="228"/>
      <c r="N119" s="228"/>
      <c r="O119" s="228"/>
      <c r="P119" s="228"/>
      <c r="Q119" s="228"/>
      <c r="R119" s="228"/>
      <c r="S119" s="228"/>
      <c r="T119" s="228"/>
      <c r="U119" s="228"/>
      <c r="V119" s="228"/>
      <c r="W119" s="200"/>
      <c r="Y119" s="181"/>
      <c r="Z119" s="169"/>
      <c r="AA119" s="169"/>
      <c r="AB119" s="169"/>
      <c r="AC119" s="169"/>
      <c r="AD119" s="169"/>
      <c r="AF119" s="169"/>
      <c r="AG119" s="169"/>
    </row>
    <row r="120" spans="1:36" ht="16.5" thickBot="1">
      <c r="A120" s="169"/>
      <c r="B120" s="202" t="s">
        <v>55</v>
      </c>
      <c r="C120" s="203">
        <f>SUM(C110:C119)</f>
        <v>-189.274</v>
      </c>
      <c r="D120" s="203">
        <f t="shared" ref="D120:L120" si="127">SUM(D110:D119)</f>
        <v>-216.74599999999998</v>
      </c>
      <c r="E120" s="203">
        <f t="shared" si="127"/>
        <v>-62.133000000000038</v>
      </c>
      <c r="F120" s="203">
        <f t="shared" si="127"/>
        <v>-684.23400000000015</v>
      </c>
      <c r="G120" s="203">
        <f>SUM(G110:G119)</f>
        <v>-590.9699999999998</v>
      </c>
      <c r="H120" s="203">
        <f t="shared" si="127"/>
        <v>-136.16300000000047</v>
      </c>
      <c r="I120" s="203">
        <f t="shared" si="127"/>
        <v>-1367.1789999999992</v>
      </c>
      <c r="J120" s="203">
        <f t="shared" si="127"/>
        <v>-383.13600000000088</v>
      </c>
      <c r="K120" s="203">
        <f t="shared" si="127"/>
        <v>496.48100000000022</v>
      </c>
      <c r="L120" s="203">
        <f t="shared" si="127"/>
        <v>252.45882747123233</v>
      </c>
      <c r="M120" s="203">
        <f t="shared" ref="M120:V120" si="128">SUM(M110:M119)</f>
        <v>104.72733851444119</v>
      </c>
      <c r="N120" s="203">
        <f t="shared" si="128"/>
        <v>98.949365572647423</v>
      </c>
      <c r="O120" s="203">
        <f t="shared" si="128"/>
        <v>73.008730289477114</v>
      </c>
      <c r="P120" s="203">
        <f t="shared" si="128"/>
        <v>87.99877678752199</v>
      </c>
      <c r="Q120" s="203">
        <f t="shared" si="128"/>
        <v>92.585890419718368</v>
      </c>
      <c r="R120" s="203">
        <f t="shared" si="128"/>
        <v>111.81747153667436</v>
      </c>
      <c r="S120" s="203">
        <f t="shared" si="128"/>
        <v>110.41237367950941</v>
      </c>
      <c r="T120" s="203">
        <f t="shared" si="128"/>
        <v>134.95850947823985</v>
      </c>
      <c r="U120" s="203">
        <f t="shared" si="128"/>
        <v>148.39736542334145</v>
      </c>
      <c r="V120" s="203">
        <f t="shared" si="128"/>
        <v>148.67676907722068</v>
      </c>
      <c r="W120" s="184"/>
      <c r="Y120" s="169"/>
      <c r="Z120" s="169"/>
      <c r="AA120" s="169"/>
      <c r="AB120" s="169"/>
      <c r="AC120" s="169"/>
      <c r="AD120" s="169"/>
      <c r="AF120" s="169"/>
      <c r="AG120" s="169"/>
    </row>
    <row r="121" spans="1:36" ht="16.5" thickTop="1">
      <c r="A121" s="169"/>
      <c r="B121" s="224" t="s">
        <v>64</v>
      </c>
      <c r="C121" s="184">
        <f t="shared" ref="C121:J121" si="129">C206</f>
        <v>378.45699999999999</v>
      </c>
      <c r="D121" s="184">
        <f t="shared" si="129"/>
        <v>595.20299999999997</v>
      </c>
      <c r="E121" s="184">
        <f t="shared" si="129"/>
        <v>657.33600000000001</v>
      </c>
      <c r="F121" s="184">
        <f t="shared" si="129"/>
        <v>1341.5700000000002</v>
      </c>
      <c r="G121" s="184">
        <f t="shared" si="129"/>
        <v>1932.54</v>
      </c>
      <c r="H121" s="184">
        <f t="shared" si="129"/>
        <v>2068.7030000000004</v>
      </c>
      <c r="I121" s="184">
        <f t="shared" si="129"/>
        <v>3435.8819999999996</v>
      </c>
      <c r="J121" s="184">
        <f t="shared" si="129"/>
        <v>3819.0180000000005</v>
      </c>
      <c r="K121" s="184">
        <f>K206</f>
        <v>3322.5370000000003</v>
      </c>
      <c r="L121" s="184">
        <f t="shared" ref="L121:V121" si="130">K121-L120</f>
        <v>3070.0781725287679</v>
      </c>
      <c r="M121" s="184">
        <f t="shared" si="130"/>
        <v>2965.3508340143267</v>
      </c>
      <c r="N121" s="184">
        <f t="shared" si="130"/>
        <v>2866.4014684416793</v>
      </c>
      <c r="O121" s="184">
        <f t="shared" si="130"/>
        <v>2793.3927381522021</v>
      </c>
      <c r="P121" s="184">
        <f t="shared" si="130"/>
        <v>2705.3939613646803</v>
      </c>
      <c r="Q121" s="184">
        <f t="shared" si="130"/>
        <v>2612.8080709449619</v>
      </c>
      <c r="R121" s="184">
        <f t="shared" si="130"/>
        <v>2500.9905994082874</v>
      </c>
      <c r="S121" s="184">
        <f t="shared" si="130"/>
        <v>2390.5782257287779</v>
      </c>
      <c r="T121" s="184">
        <f t="shared" si="130"/>
        <v>2255.6197162505382</v>
      </c>
      <c r="U121" s="184">
        <f t="shared" si="130"/>
        <v>2107.2223508271968</v>
      </c>
      <c r="V121" s="184">
        <f t="shared" si="130"/>
        <v>1958.545581749976</v>
      </c>
      <c r="W121" s="184"/>
      <c r="Y121" s="169"/>
      <c r="Z121" s="169"/>
      <c r="AA121" s="169"/>
      <c r="AB121" s="169"/>
      <c r="AC121" s="169"/>
      <c r="AD121" s="169"/>
      <c r="AF121" s="169"/>
      <c r="AG121" s="169"/>
    </row>
    <row r="122" spans="1:36" ht="15.75">
      <c r="A122" s="169"/>
      <c r="B122" s="171" t="s">
        <v>65</v>
      </c>
      <c r="C122" s="190"/>
      <c r="D122" s="190">
        <f>ROUND(D120+D105,0)</f>
        <v>0</v>
      </c>
      <c r="E122" s="190">
        <f t="shared" ref="E122:K122" si="131">ROUND(E120+E105,0)</f>
        <v>0</v>
      </c>
      <c r="F122" s="190">
        <f t="shared" si="131"/>
        <v>0</v>
      </c>
      <c r="G122" s="190">
        <f t="shared" si="131"/>
        <v>0</v>
      </c>
      <c r="H122" s="190">
        <f t="shared" si="131"/>
        <v>0</v>
      </c>
      <c r="I122" s="190">
        <f t="shared" si="131"/>
        <v>0</v>
      </c>
      <c r="J122" s="190">
        <f t="shared" si="131"/>
        <v>0</v>
      </c>
      <c r="K122" s="190">
        <f t="shared" si="131"/>
        <v>0</v>
      </c>
      <c r="L122" s="190">
        <f t="shared" ref="L122:Q122" si="132">ROUND(L120+L105,0)</f>
        <v>0</v>
      </c>
      <c r="M122" s="190">
        <f t="shared" si="132"/>
        <v>0</v>
      </c>
      <c r="N122" s="190">
        <f t="shared" si="132"/>
        <v>0</v>
      </c>
      <c r="O122" s="190">
        <f t="shared" si="132"/>
        <v>0</v>
      </c>
      <c r="P122" s="190">
        <f t="shared" si="132"/>
        <v>0</v>
      </c>
      <c r="Q122" s="190">
        <f t="shared" si="132"/>
        <v>0</v>
      </c>
      <c r="R122" s="190">
        <f t="shared" ref="R122:V122" si="133">ROUND(R120+R105,0)</f>
        <v>0</v>
      </c>
      <c r="S122" s="190">
        <f t="shared" si="133"/>
        <v>0</v>
      </c>
      <c r="T122" s="190">
        <f t="shared" si="133"/>
        <v>0</v>
      </c>
      <c r="U122" s="190">
        <f t="shared" si="133"/>
        <v>0</v>
      </c>
      <c r="V122" s="190">
        <f t="shared" si="133"/>
        <v>0</v>
      </c>
      <c r="W122" s="190"/>
      <c r="Y122" s="169"/>
      <c r="Z122" s="169"/>
      <c r="AA122" s="169"/>
      <c r="AB122" s="169"/>
      <c r="AC122" s="169"/>
      <c r="AD122" s="169"/>
      <c r="AF122" s="169"/>
      <c r="AG122" s="169"/>
      <c r="AH122" s="9"/>
      <c r="AI122" s="9"/>
      <c r="AJ122" s="9"/>
    </row>
    <row r="123" spans="1:36" ht="15.75">
      <c r="A123" s="169"/>
      <c r="B123" s="173"/>
      <c r="C123" s="190"/>
      <c r="D123" s="190"/>
      <c r="E123" s="190"/>
      <c r="F123" s="190"/>
      <c r="G123" s="190"/>
      <c r="H123" s="190"/>
      <c r="I123" s="190"/>
      <c r="J123" s="190"/>
      <c r="K123" s="190"/>
      <c r="L123" s="190"/>
      <c r="M123" s="190"/>
      <c r="N123" s="190"/>
      <c r="O123" s="190"/>
      <c r="P123" s="190"/>
      <c r="Q123" s="190"/>
      <c r="R123" s="190"/>
      <c r="S123" s="190"/>
      <c r="T123" s="190"/>
      <c r="U123" s="190"/>
      <c r="V123" s="190"/>
      <c r="W123" s="190"/>
      <c r="Y123" s="170"/>
      <c r="Z123" s="169"/>
      <c r="AA123" s="169"/>
      <c r="AB123" s="169"/>
      <c r="AC123" s="169"/>
      <c r="AD123" s="169"/>
      <c r="AF123" s="169"/>
      <c r="AG123" s="169"/>
      <c r="AH123" s="169"/>
      <c r="AJ123" s="9"/>
    </row>
    <row r="124" spans="1:36" ht="15.75">
      <c r="A124" s="169"/>
      <c r="B124" s="173" t="s">
        <v>66</v>
      </c>
      <c r="C124" s="230">
        <f t="shared" ref="C124:Q124" si="134">C121/C19</f>
        <v>4.4778272084053103</v>
      </c>
      <c r="D124" s="230">
        <f t="shared" si="134"/>
        <v>4.0767328767123283</v>
      </c>
      <c r="E124" s="230">
        <f t="shared" si="134"/>
        <v>3.7012162162162165</v>
      </c>
      <c r="F124" s="230">
        <f t="shared" si="134"/>
        <v>2.0064940309356376</v>
      </c>
      <c r="G124" s="230">
        <f t="shared" si="134"/>
        <v>2.3595933647043883</v>
      </c>
      <c r="H124" s="230">
        <f t="shared" si="134"/>
        <v>2.2330655572778819</v>
      </c>
      <c r="I124" s="230">
        <f t="shared" si="134"/>
        <v>3.3313250325290431</v>
      </c>
      <c r="J124" s="230">
        <f t="shared" si="134"/>
        <v>3.3720971095816026</v>
      </c>
      <c r="K124" s="230">
        <f t="shared" si="134"/>
        <v>3.578954795261291</v>
      </c>
      <c r="L124" s="230">
        <f t="shared" si="134"/>
        <v>3.0742022240562159</v>
      </c>
      <c r="M124" s="230">
        <f t="shared" si="134"/>
        <v>2.8206612176558945</v>
      </c>
      <c r="N124" s="230">
        <f t="shared" si="134"/>
        <v>2.5212715669348409</v>
      </c>
      <c r="O124" s="230">
        <f t="shared" si="134"/>
        <v>2.2977410591284824</v>
      </c>
      <c r="P124" s="230">
        <f t="shared" si="134"/>
        <v>2.0812049446036269</v>
      </c>
      <c r="Q124" s="230">
        <f t="shared" si="134"/>
        <v>1.8831881043080376</v>
      </c>
      <c r="R124" s="230">
        <f t="shared" ref="R124:V124" si="135">R121/R19</f>
        <v>1.6958408776930938</v>
      </c>
      <c r="S124" s="230">
        <f t="shared" si="135"/>
        <v>1.5278111615753083</v>
      </c>
      <c r="T124" s="230">
        <f t="shared" si="135"/>
        <v>1.3584804672991682</v>
      </c>
      <c r="U124" s="230">
        <f t="shared" si="135"/>
        <v>1.1958190115797003</v>
      </c>
      <c r="V124" s="230">
        <f t="shared" si="135"/>
        <v>1.0470838424897817</v>
      </c>
      <c r="W124" s="230"/>
      <c r="Y124" s="169"/>
      <c r="Z124" s="169"/>
      <c r="AA124" s="169"/>
      <c r="AB124" s="169"/>
      <c r="AC124" s="169"/>
      <c r="AD124" s="169"/>
      <c r="AF124" s="169"/>
      <c r="AG124" s="169"/>
      <c r="AH124" s="169"/>
      <c r="AJ124" s="9"/>
    </row>
    <row r="125" spans="1:36" ht="15.75">
      <c r="A125" s="169"/>
      <c r="B125" s="530" t="s">
        <v>648</v>
      </c>
      <c r="C125" s="530"/>
      <c r="D125" s="530"/>
      <c r="E125" s="530"/>
      <c r="F125" s="530"/>
      <c r="G125" s="530"/>
      <c r="H125" s="531"/>
      <c r="I125" s="531"/>
      <c r="J125" s="531"/>
      <c r="K125" s="562"/>
      <c r="L125" s="562" t="s">
        <v>980</v>
      </c>
      <c r="M125" s="748"/>
      <c r="N125" s="190"/>
      <c r="O125" s="190"/>
      <c r="P125" s="190"/>
      <c r="Q125" s="190"/>
      <c r="R125" s="190"/>
      <c r="S125" s="190"/>
      <c r="T125" s="190"/>
      <c r="U125" s="190"/>
      <c r="V125" s="190"/>
      <c r="W125" s="190"/>
      <c r="Y125" s="169"/>
      <c r="Z125" s="169"/>
      <c r="AA125" s="169"/>
      <c r="AB125" s="169"/>
      <c r="AC125" s="169"/>
      <c r="AD125" s="169"/>
      <c r="AF125" s="169"/>
      <c r="AG125" s="169"/>
      <c r="AH125" s="169"/>
      <c r="AJ125" s="9"/>
    </row>
    <row r="126" spans="1:36" ht="15.75">
      <c r="A126" s="169"/>
      <c r="B126" s="169"/>
      <c r="C126" s="190"/>
      <c r="D126" s="190"/>
      <c r="E126" s="190"/>
      <c r="F126" s="190"/>
      <c r="G126" s="190"/>
      <c r="H126" s="190"/>
      <c r="I126" s="283"/>
      <c r="J126" s="190"/>
      <c r="K126" s="190"/>
      <c r="L126" s="190"/>
      <c r="M126" s="190"/>
      <c r="N126" s="190"/>
      <c r="O126" s="190"/>
      <c r="P126" s="190"/>
      <c r="Q126" s="190"/>
      <c r="R126" s="190"/>
      <c r="S126" s="190"/>
      <c r="T126" s="190"/>
      <c r="U126" s="190"/>
      <c r="V126" s="190"/>
      <c r="W126" s="190"/>
      <c r="Y126" s="169"/>
      <c r="Z126" s="169"/>
      <c r="AA126" s="169"/>
      <c r="AB126" s="169"/>
      <c r="AC126" s="169"/>
      <c r="AD126" s="169"/>
      <c r="AF126" s="169"/>
      <c r="AG126" s="169"/>
      <c r="AH126" s="169"/>
      <c r="AJ126" s="9"/>
    </row>
    <row r="127" spans="1:36" ht="15.75">
      <c r="A127" s="169"/>
      <c r="B127" s="169" t="s">
        <v>1099</v>
      </c>
      <c r="C127" s="190"/>
      <c r="D127" s="190"/>
      <c r="E127" s="190"/>
      <c r="F127" s="190">
        <f>F121-Consolidation!E45</f>
        <v>1157.0760000000002</v>
      </c>
      <c r="G127" s="190">
        <f>G121-Consolidation!F45</f>
        <v>1617.7930000000001</v>
      </c>
      <c r="H127" s="190">
        <f>H121-Consolidation!G45</f>
        <v>1692.6020000000003</v>
      </c>
      <c r="I127" s="190">
        <f>I121-Consolidation!H45</f>
        <v>2830.3239999999996</v>
      </c>
      <c r="J127" s="190">
        <f>J121-Consolidation!I45</f>
        <v>3217.0240000000003</v>
      </c>
      <c r="K127" s="190">
        <f>K121-Consolidation!J45</f>
        <v>2769.9930000000004</v>
      </c>
      <c r="L127" s="190">
        <f>L121-Consolidation!K45</f>
        <v>2489.9069725287682</v>
      </c>
      <c r="M127" s="190">
        <f>M121-Consolidation!L45</f>
        <v>2356.1710740143267</v>
      </c>
      <c r="N127" s="190">
        <f>N121-Consolidation!M45</f>
        <v>2226.7627204416794</v>
      </c>
      <c r="O127" s="190">
        <f>O121-Consolidation!N45</f>
        <v>2121.7720527522024</v>
      </c>
      <c r="P127" s="190">
        <f>P121-Consolidation!O45</f>
        <v>2000.1922416946804</v>
      </c>
      <c r="Q127" s="190">
        <f>Q121-Consolidation!P45</f>
        <v>1872.3462652914618</v>
      </c>
      <c r="R127" s="190">
        <f>R121-Consolidation!Q45</f>
        <v>1723.5057034721121</v>
      </c>
      <c r="S127" s="190">
        <f>S121-Consolidation!R45</f>
        <v>1574.219084995794</v>
      </c>
      <c r="T127" s="190">
        <f>T121-Consolidation!S45</f>
        <v>1398.4426184809051</v>
      </c>
      <c r="U127" s="190">
        <f>U121-Consolidation!T45</f>
        <v>1207.1863981690822</v>
      </c>
      <c r="V127" s="190">
        <f>V121-Consolidation!U45</f>
        <v>1013.5078314589555</v>
      </c>
      <c r="W127" s="190"/>
      <c r="Y127" s="169"/>
      <c r="Z127" s="169"/>
      <c r="AA127" s="169"/>
      <c r="AB127" s="169"/>
      <c r="AC127" s="169"/>
      <c r="AD127" s="169"/>
      <c r="AF127" s="169"/>
      <c r="AG127" s="169"/>
      <c r="AH127" s="169"/>
      <c r="AJ127" s="9"/>
    </row>
    <row r="128" spans="1:36" ht="15.75">
      <c r="A128" s="169"/>
      <c r="B128" s="169" t="s">
        <v>1100</v>
      </c>
      <c r="C128" s="190"/>
      <c r="D128" s="190"/>
      <c r="E128" s="190"/>
      <c r="F128" s="283">
        <f>F127/Consolidation!E41</f>
        <v>1.8830778244312085</v>
      </c>
      <c r="G128" s="283">
        <f>G127/Consolidation!F41</f>
        <v>2.1934956836297919</v>
      </c>
      <c r="H128" s="283">
        <f>H127/Consolidation!G41</f>
        <v>2.0322157320638508</v>
      </c>
      <c r="I128" s="283">
        <f>I127/Consolidation!H41</f>
        <v>3.178221679728074</v>
      </c>
      <c r="J128" s="283">
        <f>J127/Consolidation!I41</f>
        <v>3.2994339620706383</v>
      </c>
      <c r="K128" s="283">
        <f>K127/Consolidation!J41</f>
        <v>3.6211898972468441</v>
      </c>
      <c r="L128" s="283">
        <f>L127/Consolidation!K41</f>
        <v>2.9762387436066202</v>
      </c>
      <c r="M128" s="283">
        <f>M127/Consolidation!L41</f>
        <v>2.677018686592886</v>
      </c>
      <c r="N128" s="283">
        <f>N127/Consolidation!M41</f>
        <v>2.3263761499103262</v>
      </c>
      <c r="O128" s="283">
        <f>O127/Consolidation!N41</f>
        <v>2.0659482849679391</v>
      </c>
      <c r="P128" s="283">
        <f>P127/Consolidation!O41</f>
        <v>1.8154010315961373</v>
      </c>
      <c r="Q128" s="283">
        <f>Q127/Consolidation!P41</f>
        <v>1.5875331224043436</v>
      </c>
      <c r="R128" s="283">
        <f>R127/Consolidation!Q41</f>
        <v>1.3718412907772737</v>
      </c>
      <c r="S128" s="283">
        <f>S127/Consolidation!R41</f>
        <v>1.1788795064344681</v>
      </c>
      <c r="T128" s="283">
        <f>T127/Consolidation!S41</f>
        <v>0.9851133479430112</v>
      </c>
      <c r="U128" s="283">
        <f>U127/Consolidation!T41</f>
        <v>0.79983550379078538</v>
      </c>
      <c r="V128" s="283">
        <f>V127/Consolidation!U41</f>
        <v>0.63148156617290241</v>
      </c>
      <c r="W128" s="190"/>
      <c r="Y128" s="169"/>
      <c r="Z128" s="169"/>
      <c r="AA128" s="169"/>
      <c r="AB128" s="169"/>
      <c r="AC128" s="169"/>
      <c r="AD128" s="169"/>
      <c r="AF128" s="169"/>
      <c r="AG128" s="169"/>
      <c r="AH128" s="9"/>
      <c r="AI128" s="9"/>
      <c r="AJ128" s="9"/>
    </row>
    <row r="129" spans="1:39" ht="15.75">
      <c r="A129" s="169"/>
      <c r="B129" s="169"/>
      <c r="C129" s="190"/>
      <c r="D129" s="190"/>
      <c r="E129" s="190"/>
      <c r="F129" s="190"/>
      <c r="G129" s="190"/>
      <c r="H129" s="190"/>
      <c r="I129" s="190"/>
      <c r="J129" s="190"/>
      <c r="K129" s="190"/>
      <c r="L129" s="190"/>
      <c r="M129" s="190"/>
      <c r="N129" s="190"/>
      <c r="O129" s="190"/>
      <c r="P129" s="190"/>
      <c r="Q129" s="190"/>
      <c r="R129" s="190"/>
      <c r="S129" s="190"/>
      <c r="T129" s="190"/>
      <c r="U129" s="190"/>
      <c r="V129" s="190"/>
      <c r="W129" s="190"/>
      <c r="Y129" s="169"/>
      <c r="Z129" s="169"/>
      <c r="AA129" s="169"/>
      <c r="AB129" s="169"/>
      <c r="AC129" s="169"/>
      <c r="AD129" s="169"/>
      <c r="AE129" s="169"/>
      <c r="AF129" s="169"/>
      <c r="AG129" s="169"/>
      <c r="AH129" s="9"/>
      <c r="AI129" s="9"/>
      <c r="AJ129" s="9"/>
    </row>
    <row r="130" spans="1:39" ht="24" customHeight="1">
      <c r="A130" s="169"/>
      <c r="B130" s="284" t="s">
        <v>672</v>
      </c>
      <c r="C130" s="285"/>
      <c r="D130" s="285"/>
      <c r="E130" s="285"/>
      <c r="F130" s="285"/>
      <c r="G130" s="285"/>
      <c r="H130" s="285"/>
      <c r="I130" s="285"/>
      <c r="J130" s="285"/>
      <c r="K130" s="285"/>
      <c r="L130" s="285"/>
      <c r="M130" s="285"/>
      <c r="N130" s="285"/>
      <c r="O130" s="285"/>
      <c r="P130" s="285"/>
      <c r="Q130" s="285"/>
      <c r="R130" s="285"/>
      <c r="S130" s="285"/>
      <c r="T130" s="285"/>
      <c r="U130" s="285"/>
      <c r="V130" s="285"/>
      <c r="W130" s="190"/>
      <c r="Y130" s="169"/>
      <c r="Z130" s="169"/>
      <c r="AA130" s="169"/>
      <c r="AB130" s="169"/>
      <c r="AC130" s="169"/>
      <c r="AD130" s="169"/>
      <c r="AE130" s="169"/>
      <c r="AF130" s="169"/>
      <c r="AG130" s="169"/>
      <c r="AH130" s="9"/>
      <c r="AI130" s="9"/>
      <c r="AJ130" s="9"/>
    </row>
    <row r="131" spans="1:39" ht="15.75">
      <c r="A131" s="169"/>
      <c r="B131" s="169"/>
      <c r="C131" s="190"/>
      <c r="D131" s="190"/>
      <c r="E131" s="190"/>
      <c r="F131" s="190"/>
      <c r="G131" s="190"/>
      <c r="H131" s="190"/>
      <c r="I131" s="190"/>
      <c r="J131" s="190"/>
      <c r="K131" s="190"/>
      <c r="L131" s="190"/>
      <c r="M131" s="190"/>
      <c r="N131" s="190"/>
      <c r="O131" s="190"/>
      <c r="P131" s="190"/>
      <c r="Q131" s="190"/>
      <c r="R131" s="190"/>
      <c r="S131" s="190"/>
      <c r="T131" s="190"/>
      <c r="U131" s="190"/>
      <c r="V131" s="190"/>
      <c r="W131" s="190"/>
      <c r="Y131" s="190"/>
      <c r="Z131" s="169"/>
      <c r="AA131" s="169"/>
      <c r="AB131" s="169"/>
      <c r="AC131" s="169"/>
      <c r="AD131" s="169"/>
      <c r="AE131" s="169"/>
      <c r="AF131" s="169"/>
      <c r="AG131" s="169"/>
    </row>
    <row r="132" spans="1:39" s="9" customFormat="1" ht="15.75">
      <c r="A132" s="171"/>
      <c r="B132" s="186" t="s">
        <v>19</v>
      </c>
      <c r="C132" s="187">
        <v>2016</v>
      </c>
      <c r="D132" s="187">
        <f t="shared" ref="D132:V132" si="136">C132+1</f>
        <v>2017</v>
      </c>
      <c r="E132" s="187">
        <f t="shared" si="136"/>
        <v>2018</v>
      </c>
      <c r="F132" s="187">
        <f t="shared" si="136"/>
        <v>2019</v>
      </c>
      <c r="G132" s="187">
        <f t="shared" si="136"/>
        <v>2020</v>
      </c>
      <c r="H132" s="187">
        <f t="shared" si="136"/>
        <v>2021</v>
      </c>
      <c r="I132" s="187">
        <f t="shared" si="136"/>
        <v>2022</v>
      </c>
      <c r="J132" s="187">
        <f t="shared" si="136"/>
        <v>2023</v>
      </c>
      <c r="K132" s="187">
        <f t="shared" si="136"/>
        <v>2024</v>
      </c>
      <c r="L132" s="187">
        <f t="shared" si="136"/>
        <v>2025</v>
      </c>
      <c r="M132" s="187">
        <f t="shared" si="136"/>
        <v>2026</v>
      </c>
      <c r="N132" s="187">
        <f t="shared" si="136"/>
        <v>2027</v>
      </c>
      <c r="O132" s="187">
        <f t="shared" si="136"/>
        <v>2028</v>
      </c>
      <c r="P132" s="187">
        <f t="shared" si="136"/>
        <v>2029</v>
      </c>
      <c r="Q132" s="187">
        <f t="shared" si="136"/>
        <v>2030</v>
      </c>
      <c r="R132" s="187">
        <f t="shared" si="136"/>
        <v>2031</v>
      </c>
      <c r="S132" s="187">
        <f t="shared" si="136"/>
        <v>2032</v>
      </c>
      <c r="T132" s="187">
        <f t="shared" si="136"/>
        <v>2033</v>
      </c>
      <c r="U132" s="187">
        <f t="shared" si="136"/>
        <v>2034</v>
      </c>
      <c r="V132" s="187">
        <f t="shared" si="136"/>
        <v>2035</v>
      </c>
      <c r="W132" s="174"/>
      <c r="Y132" s="169"/>
      <c r="Z132" s="169"/>
      <c r="AA132" s="169"/>
      <c r="AB132" s="169"/>
      <c r="AC132" s="169"/>
      <c r="AD132" s="169"/>
      <c r="AE132" s="169"/>
      <c r="AF132" s="169"/>
      <c r="AG132" s="169"/>
      <c r="AL132" s="8"/>
      <c r="AM132" s="8"/>
    </row>
    <row r="133" spans="1:39" s="9" customFormat="1" ht="15.75">
      <c r="A133" s="171"/>
      <c r="B133" s="171" t="s">
        <v>19</v>
      </c>
      <c r="C133" s="231"/>
      <c r="D133" s="231"/>
      <c r="E133" s="232">
        <v>287.70800000000003</v>
      </c>
      <c r="F133" s="232">
        <f>317.63+38.13</f>
        <v>355.76</v>
      </c>
      <c r="G133" s="232">
        <f>319.968+54.089-0.81</f>
        <v>373.24700000000001</v>
      </c>
      <c r="H133" s="232">
        <f>284.438+60.685</f>
        <v>345.12299999999999</v>
      </c>
      <c r="I133" s="232">
        <f>333.876+88.615</f>
        <v>422.49099999999999</v>
      </c>
      <c r="J133" s="232">
        <f>290.57+95.895</f>
        <v>386.46499999999997</v>
      </c>
      <c r="K133" s="232">
        <f>221.774+95.383</f>
        <v>317.15699999999998</v>
      </c>
      <c r="L133" s="231">
        <f t="shared" ref="L133:O133" si="137">L137</f>
        <v>316.42947243316257</v>
      </c>
      <c r="M133" s="231">
        <f t="shared" si="137"/>
        <v>314.6262582830916</v>
      </c>
      <c r="N133" s="231">
        <f t="shared" si="137"/>
        <v>320.40456895759104</v>
      </c>
      <c r="O133" s="231">
        <f t="shared" si="137"/>
        <v>332.16689165620301</v>
      </c>
      <c r="P133" s="231">
        <f t="shared" ref="P133:V133" si="138">P137</f>
        <v>343.19591484150334</v>
      </c>
      <c r="Q133" s="231">
        <f t="shared" si="138"/>
        <v>352.8663963551241</v>
      </c>
      <c r="R133" s="231">
        <f t="shared" si="138"/>
        <v>361.90429051680616</v>
      </c>
      <c r="S133" s="231">
        <f t="shared" si="138"/>
        <v>369.59842793092349</v>
      </c>
      <c r="T133" s="231">
        <f t="shared" si="138"/>
        <v>376.68255150334079</v>
      </c>
      <c r="U133" s="231">
        <f t="shared" si="138"/>
        <v>382.51055001458133</v>
      </c>
      <c r="V133" s="231">
        <f t="shared" si="138"/>
        <v>387.84869422655896</v>
      </c>
      <c r="W133" s="231" t="s">
        <v>1154</v>
      </c>
      <c r="Y133" s="169"/>
      <c r="Z133" s="169"/>
      <c r="AA133" s="169"/>
      <c r="AB133" s="169"/>
      <c r="AC133" s="169"/>
      <c r="AD133" s="169"/>
      <c r="AE133" s="169"/>
      <c r="AF133" s="169"/>
      <c r="AG133" s="169"/>
      <c r="AL133" s="8"/>
      <c r="AM133" s="8"/>
    </row>
    <row r="134" spans="1:39" s="9" customFormat="1" ht="15.75">
      <c r="A134" s="171"/>
      <c r="B134" s="171" t="s">
        <v>13</v>
      </c>
      <c r="C134" s="185"/>
      <c r="D134" s="185"/>
      <c r="E134" s="185"/>
      <c r="F134" s="185">
        <f t="shared" ref="F134:V134" si="139">F133/E133-1</f>
        <v>0.23653148330946649</v>
      </c>
      <c r="G134" s="185">
        <f t="shared" si="139"/>
        <v>4.9153923993703774E-2</v>
      </c>
      <c r="H134" s="185">
        <f t="shared" si="139"/>
        <v>-7.5349567444614518E-2</v>
      </c>
      <c r="I134" s="185">
        <f t="shared" si="139"/>
        <v>0.22417514914972347</v>
      </c>
      <c r="J134" s="185">
        <f t="shared" si="139"/>
        <v>-8.5270455465323525E-2</v>
      </c>
      <c r="K134" s="185">
        <f t="shared" si="139"/>
        <v>-0.1793383618180171</v>
      </c>
      <c r="L134" s="185">
        <f t="shared" si="139"/>
        <v>-2.2939035456805978E-3</v>
      </c>
      <c r="M134" s="185">
        <f t="shared" si="139"/>
        <v>-5.6986289431426584E-3</v>
      </c>
      <c r="N134" s="185">
        <f t="shared" si="139"/>
        <v>1.8365633898554945E-2</v>
      </c>
      <c r="O134" s="185">
        <f t="shared" si="139"/>
        <v>3.6710845718834983E-2</v>
      </c>
      <c r="P134" s="185">
        <f t="shared" si="139"/>
        <v>3.3203258549667547E-2</v>
      </c>
      <c r="Q134" s="185">
        <f t="shared" si="139"/>
        <v>2.8177729091230175E-2</v>
      </c>
      <c r="R134" s="185">
        <f t="shared" si="139"/>
        <v>2.5612793553133839E-2</v>
      </c>
      <c r="S134" s="185">
        <f t="shared" si="139"/>
        <v>2.1260144230757616E-2</v>
      </c>
      <c r="T134" s="185">
        <f t="shared" si="139"/>
        <v>1.9167082533536384E-2</v>
      </c>
      <c r="U134" s="185">
        <f t="shared" si="139"/>
        <v>1.5471909935782735E-2</v>
      </c>
      <c r="V134" s="185">
        <f t="shared" si="139"/>
        <v>1.3955547662081846E-2</v>
      </c>
      <c r="W134" s="185"/>
      <c r="Y134" s="169"/>
      <c r="Z134" s="169"/>
      <c r="AA134" s="169"/>
      <c r="AB134" s="169"/>
      <c r="AC134" s="169"/>
      <c r="AD134" s="169"/>
      <c r="AE134" s="169"/>
      <c r="AF134" s="169"/>
      <c r="AG134" s="169"/>
      <c r="AL134" s="8"/>
      <c r="AM134" s="8"/>
    </row>
    <row r="135" spans="1:39" s="9" customFormat="1" ht="15.75">
      <c r="A135" s="171"/>
      <c r="B135" s="171" t="s">
        <v>67</v>
      </c>
      <c r="C135" s="185"/>
      <c r="D135" s="185"/>
      <c r="E135" s="185">
        <f t="shared" ref="E135:L135" si="140">E133/E144</f>
        <v>0.18780189767985922</v>
      </c>
      <c r="F135" s="185">
        <f t="shared" si="140"/>
        <v>0.18655313507955093</v>
      </c>
      <c r="G135" s="185">
        <f t="shared" si="140"/>
        <v>0.19580992251478094</v>
      </c>
      <c r="H135" s="185">
        <f t="shared" si="140"/>
        <v>0.20196402927376209</v>
      </c>
      <c r="I135" s="185">
        <f t="shared" si="140"/>
        <v>0.20356685639341229</v>
      </c>
      <c r="J135" s="185">
        <f t="shared" si="140"/>
        <v>0.22207632877168887</v>
      </c>
      <c r="K135" s="185">
        <f t="shared" si="140"/>
        <v>0.23447172022223126</v>
      </c>
      <c r="L135" s="185">
        <f t="shared" si="140"/>
        <v>0.24932825279565854</v>
      </c>
      <c r="M135" s="185">
        <f t="shared" ref="M135:V135" si="141">M133/M144</f>
        <v>0.24258690132321045</v>
      </c>
      <c r="N135" s="185">
        <f t="shared" si="141"/>
        <v>0.24146034332380276</v>
      </c>
      <c r="O135" s="185">
        <f t="shared" si="141"/>
        <v>0.24418191831284095</v>
      </c>
      <c r="P135" s="185">
        <f t="shared" si="141"/>
        <v>0.2470741680762393</v>
      </c>
      <c r="Q135" s="185">
        <f t="shared" si="141"/>
        <v>0.24778268435251113</v>
      </c>
      <c r="R135" s="185">
        <f t="shared" si="141"/>
        <v>0.24871205433635751</v>
      </c>
      <c r="S135" s="185">
        <f t="shared" si="141"/>
        <v>0.24738011150216085</v>
      </c>
      <c r="T135" s="185">
        <f t="shared" si="141"/>
        <v>0.24613923787591116</v>
      </c>
      <c r="U135" s="185">
        <f t="shared" si="141"/>
        <v>0.2424598870389805</v>
      </c>
      <c r="V135" s="185">
        <f t="shared" si="141"/>
        <v>0.23688643558911107</v>
      </c>
      <c r="W135" s="185"/>
      <c r="Y135" s="169"/>
      <c r="Z135" s="169"/>
      <c r="AA135" s="169"/>
      <c r="AB135" s="169"/>
      <c r="AC135" s="169"/>
      <c r="AD135" s="169"/>
      <c r="AE135" s="169"/>
      <c r="AF135" s="169"/>
      <c r="AG135" s="169"/>
      <c r="AL135" s="8"/>
      <c r="AM135" s="8"/>
    </row>
    <row r="136" spans="1:39" s="9" customFormat="1" ht="15.75">
      <c r="A136" s="171"/>
      <c r="B136" s="171" t="s">
        <v>68</v>
      </c>
      <c r="C136" s="231"/>
      <c r="D136" s="231"/>
      <c r="E136" s="232">
        <v>0</v>
      </c>
      <c r="F136" s="232">
        <v>0</v>
      </c>
      <c r="G136" s="232">
        <v>0</v>
      </c>
      <c r="H136" s="232">
        <v>0</v>
      </c>
      <c r="I136" s="232">
        <v>0</v>
      </c>
      <c r="J136" s="232">
        <v>0</v>
      </c>
      <c r="K136" s="232">
        <v>0</v>
      </c>
      <c r="L136" s="233">
        <v>0</v>
      </c>
      <c r="M136" s="233">
        <v>0</v>
      </c>
      <c r="N136" s="233">
        <v>0</v>
      </c>
      <c r="O136" s="233">
        <v>0</v>
      </c>
      <c r="P136" s="233">
        <v>0</v>
      </c>
      <c r="Q136" s="233">
        <v>0</v>
      </c>
      <c r="R136" s="233">
        <v>0</v>
      </c>
      <c r="S136" s="233">
        <v>0</v>
      </c>
      <c r="T136" s="233">
        <v>0</v>
      </c>
      <c r="U136" s="233">
        <v>0</v>
      </c>
      <c r="V136" s="233">
        <v>0</v>
      </c>
      <c r="W136" s="231"/>
      <c r="Y136" s="169"/>
      <c r="Z136" s="169"/>
      <c r="AA136" s="169"/>
      <c r="AB136" s="169"/>
      <c r="AC136" s="169"/>
      <c r="AD136" s="169"/>
      <c r="AE136" s="169"/>
      <c r="AF136" s="169"/>
      <c r="AG136" s="169"/>
      <c r="AL136" s="8"/>
      <c r="AM136" s="8"/>
    </row>
    <row r="137" spans="1:39" s="9" customFormat="1" ht="15.75">
      <c r="A137" s="171"/>
      <c r="B137" s="171" t="s">
        <v>69</v>
      </c>
      <c r="C137" s="234"/>
      <c r="D137" s="234"/>
      <c r="E137" s="234">
        <f t="shared" ref="E137:J137" si="142">E133-E136</f>
        <v>287.70800000000003</v>
      </c>
      <c r="F137" s="234">
        <f t="shared" si="142"/>
        <v>355.76</v>
      </c>
      <c r="G137" s="234">
        <f t="shared" si="142"/>
        <v>373.24700000000001</v>
      </c>
      <c r="H137" s="234">
        <f t="shared" si="142"/>
        <v>345.12299999999999</v>
      </c>
      <c r="I137" s="234">
        <f t="shared" si="142"/>
        <v>422.49099999999999</v>
      </c>
      <c r="J137" s="234">
        <f t="shared" si="142"/>
        <v>386.46499999999997</v>
      </c>
      <c r="K137" s="234">
        <f t="shared" ref="K137" si="143">K133-K136</f>
        <v>317.15699999999998</v>
      </c>
      <c r="L137" s="234">
        <f t="shared" ref="L137:V137" si="144">(K141)/L138*2</f>
        <v>316.42947243316257</v>
      </c>
      <c r="M137" s="234">
        <f t="shared" si="144"/>
        <v>314.6262582830916</v>
      </c>
      <c r="N137" s="234">
        <f t="shared" si="144"/>
        <v>320.40456895759104</v>
      </c>
      <c r="O137" s="234">
        <f t="shared" si="144"/>
        <v>332.16689165620301</v>
      </c>
      <c r="P137" s="234">
        <f t="shared" si="144"/>
        <v>343.19591484150334</v>
      </c>
      <c r="Q137" s="234">
        <f t="shared" si="144"/>
        <v>352.8663963551241</v>
      </c>
      <c r="R137" s="234">
        <f t="shared" si="144"/>
        <v>361.90429051680616</v>
      </c>
      <c r="S137" s="234">
        <f t="shared" si="144"/>
        <v>369.59842793092349</v>
      </c>
      <c r="T137" s="234">
        <f t="shared" si="144"/>
        <v>376.68255150334079</v>
      </c>
      <c r="U137" s="234">
        <f t="shared" si="144"/>
        <v>382.51055001458133</v>
      </c>
      <c r="V137" s="234">
        <f t="shared" si="144"/>
        <v>387.84869422655896</v>
      </c>
      <c r="W137" s="234"/>
      <c r="Y137" s="169"/>
      <c r="Z137" s="169"/>
      <c r="AA137" s="169"/>
      <c r="AB137" s="169"/>
      <c r="AC137" s="169"/>
      <c r="AD137" s="169"/>
      <c r="AE137" s="169"/>
      <c r="AF137" s="169"/>
      <c r="AG137" s="169"/>
      <c r="AH137" s="169"/>
      <c r="AI137" s="169"/>
      <c r="AJ137" s="169"/>
      <c r="AK137" s="8"/>
      <c r="AL137" s="8"/>
      <c r="AM137" s="8"/>
    </row>
    <row r="138" spans="1:39" s="9" customFormat="1" ht="15.75">
      <c r="A138" s="171"/>
      <c r="B138" s="171" t="s">
        <v>70</v>
      </c>
      <c r="C138" s="235"/>
      <c r="D138" s="235"/>
      <c r="E138" s="235">
        <f t="shared" ref="E138:K138" si="145">D141/E137*2</f>
        <v>0</v>
      </c>
      <c r="F138" s="235">
        <f t="shared" si="145"/>
        <v>13.924078030132675</v>
      </c>
      <c r="G138" s="235">
        <f t="shared" si="145"/>
        <v>16.648648214185243</v>
      </c>
      <c r="H138" s="235">
        <f t="shared" si="145"/>
        <v>19.529924114011525</v>
      </c>
      <c r="I138" s="235">
        <f t="shared" si="145"/>
        <v>18.810208974865738</v>
      </c>
      <c r="J138" s="235">
        <f t="shared" si="145"/>
        <v>25.364563414539479</v>
      </c>
      <c r="K138" s="235">
        <f t="shared" si="145"/>
        <v>25.90817166261505</v>
      </c>
      <c r="L138" s="235">
        <f t="shared" ref="L138:V138" si="146">K138*(1+L139)</f>
        <v>21.374241621657415</v>
      </c>
      <c r="M138" s="235">
        <f t="shared" si="146"/>
        <v>22.977309743281719</v>
      </c>
      <c r="N138" s="235">
        <f t="shared" si="146"/>
        <v>24.700607974027847</v>
      </c>
      <c r="O138" s="235">
        <f t="shared" si="146"/>
        <v>25.93563837272924</v>
      </c>
      <c r="P138" s="235">
        <f t="shared" si="146"/>
        <v>27.232420291365703</v>
      </c>
      <c r="Q138" s="235">
        <f t="shared" si="146"/>
        <v>28.594041305933988</v>
      </c>
      <c r="R138" s="235">
        <f t="shared" si="146"/>
        <v>30.02374337123069</v>
      </c>
      <c r="S138" s="235">
        <f t="shared" si="146"/>
        <v>31.524930539792226</v>
      </c>
      <c r="T138" s="235">
        <f t="shared" si="146"/>
        <v>33.101177066781837</v>
      </c>
      <c r="U138" s="235">
        <f t="shared" si="146"/>
        <v>34.756235920120929</v>
      </c>
      <c r="V138" s="235">
        <f t="shared" si="146"/>
        <v>36.494047716126978</v>
      </c>
      <c r="W138" s="239"/>
      <c r="Y138" s="169"/>
      <c r="Z138" s="169"/>
      <c r="AA138" s="169"/>
      <c r="AB138" s="169"/>
      <c r="AC138" s="169"/>
      <c r="AD138" s="169"/>
      <c r="AE138" s="169"/>
      <c r="AF138" s="169"/>
      <c r="AG138" s="169"/>
      <c r="AH138" s="169"/>
      <c r="AI138" s="169"/>
      <c r="AJ138" s="169"/>
      <c r="AK138" s="8"/>
      <c r="AL138" s="8"/>
      <c r="AM138" s="8"/>
    </row>
    <row r="139" spans="1:39" s="9" customFormat="1" ht="15.75">
      <c r="A139" s="171"/>
      <c r="B139" s="171" t="s">
        <v>13</v>
      </c>
      <c r="C139" s="185"/>
      <c r="D139" s="185"/>
      <c r="E139" s="185"/>
      <c r="F139" s="185"/>
      <c r="G139" s="185">
        <f>G138/F138-1</f>
        <v>0.19567329184427207</v>
      </c>
      <c r="H139" s="185">
        <f>H138/G138-1</f>
        <v>0.1730636543434998</v>
      </c>
      <c r="I139" s="185">
        <f>I138/H138-1</f>
        <v>-3.6851916830001219E-2</v>
      </c>
      <c r="J139" s="185">
        <f>J138/I138-1</f>
        <v>0.34844665726104851</v>
      </c>
      <c r="K139" s="185">
        <f>K138/J138-1</f>
        <v>2.1431799916728167E-2</v>
      </c>
      <c r="L139" s="236">
        <v>-0.17499999999999999</v>
      </c>
      <c r="M139" s="236">
        <v>7.4999999999999997E-2</v>
      </c>
      <c r="N139" s="236">
        <v>7.4999999999999997E-2</v>
      </c>
      <c r="O139" s="236">
        <v>0.05</v>
      </c>
      <c r="P139" s="236">
        <v>0.05</v>
      </c>
      <c r="Q139" s="236">
        <v>0.05</v>
      </c>
      <c r="R139" s="236">
        <v>0.05</v>
      </c>
      <c r="S139" s="236">
        <v>0.05</v>
      </c>
      <c r="T139" s="236">
        <v>0.05</v>
      </c>
      <c r="U139" s="236">
        <v>0.05</v>
      </c>
      <c r="V139" s="236">
        <v>0.05</v>
      </c>
      <c r="W139" s="245"/>
      <c r="Y139" s="169"/>
      <c r="Z139" s="169"/>
      <c r="AA139" s="169"/>
      <c r="AB139" s="169"/>
      <c r="AC139" s="169"/>
      <c r="AD139" s="169"/>
      <c r="AE139" s="169"/>
      <c r="AF139" s="169"/>
      <c r="AG139" s="169"/>
      <c r="AH139" s="169"/>
      <c r="AI139" s="169"/>
      <c r="AJ139" s="169"/>
      <c r="AK139" s="8"/>
      <c r="AL139" s="8"/>
      <c r="AM139" s="8"/>
    </row>
    <row r="140" spans="1:39" ht="15.75">
      <c r="A140" s="169"/>
      <c r="B140" s="169"/>
      <c r="C140" s="183"/>
      <c r="D140" s="183"/>
      <c r="E140" s="183"/>
      <c r="F140" s="183"/>
      <c r="G140" s="183"/>
      <c r="H140" s="183"/>
      <c r="I140" s="183"/>
      <c r="J140" s="183"/>
      <c r="K140" s="183"/>
      <c r="L140" s="183"/>
      <c r="M140" s="183"/>
      <c r="N140" s="183"/>
      <c r="O140" s="183"/>
      <c r="P140" s="183"/>
      <c r="Q140" s="183"/>
      <c r="R140" s="183"/>
      <c r="S140" s="183"/>
      <c r="T140" s="183"/>
      <c r="U140" s="183"/>
      <c r="V140" s="183"/>
      <c r="W140" s="183"/>
      <c r="Y140" s="169"/>
      <c r="Z140" s="169"/>
      <c r="AA140" s="169"/>
      <c r="AB140" s="169"/>
      <c r="AC140" s="169"/>
      <c r="AD140" s="169"/>
      <c r="AE140" s="169"/>
      <c r="AF140" s="169"/>
      <c r="AG140" s="169"/>
      <c r="AH140" s="169"/>
      <c r="AI140" s="169"/>
      <c r="AJ140" s="169"/>
    </row>
    <row r="141" spans="1:39" s="9" customFormat="1" ht="15.75">
      <c r="A141" s="171"/>
      <c r="B141" s="171" t="s">
        <v>71</v>
      </c>
      <c r="C141" s="234"/>
      <c r="D141" s="234"/>
      <c r="E141" s="237">
        <v>2476.8150000000001</v>
      </c>
      <c r="F141" s="237">
        <f>2700.132+406.897</f>
        <v>3107.029</v>
      </c>
      <c r="G141" s="237">
        <f>2820.519+549.594</f>
        <v>3370.1129999999998</v>
      </c>
      <c r="H141" s="237">
        <f>3323.068+650.504</f>
        <v>3973.5720000000001</v>
      </c>
      <c r="I141" s="237">
        <f>3736.078+1165.18</f>
        <v>4901.2579999999998</v>
      </c>
      <c r="J141" s="237">
        <f>2938.489+1169.99</f>
        <v>4108.4790000000003</v>
      </c>
      <c r="K141" s="237">
        <f>2462.192+919.528</f>
        <v>3381.7200000000003</v>
      </c>
      <c r="L141" s="238">
        <f t="shared" ref="L141" si="147">K141+(0.9*L28)</f>
        <v>3614.6324949701757</v>
      </c>
      <c r="M141" s="238">
        <f t="shared" ref="M141:V141" si="148">L141+(0.9*M28)+100</f>
        <v>3957.0938254544139</v>
      </c>
      <c r="N141" s="238">
        <f t="shared" si="148"/>
        <v>4307.4801906944076</v>
      </c>
      <c r="O141" s="238">
        <f t="shared" si="148"/>
        <v>4673.0276976217856</v>
      </c>
      <c r="P141" s="238">
        <f t="shared" si="148"/>
        <v>5044.9381564272462</v>
      </c>
      <c r="Q141" s="238">
        <f t="shared" si="148"/>
        <v>5432.8607717119521</v>
      </c>
      <c r="R141" s="238">
        <f t="shared" si="148"/>
        <v>5825.7823840693827</v>
      </c>
      <c r="S141" s="238">
        <f t="shared" si="148"/>
        <v>6234.3179176396261</v>
      </c>
      <c r="T141" s="238">
        <f t="shared" si="148"/>
        <v>6647.3134591210019</v>
      </c>
      <c r="U141" s="238">
        <f t="shared" si="148"/>
        <v>7077.0843768707928</v>
      </c>
      <c r="V141" s="238">
        <f t="shared" si="148"/>
        <v>7524.5859391480699</v>
      </c>
      <c r="W141" s="234"/>
      <c r="Y141" s="169"/>
      <c r="Z141" s="169"/>
      <c r="AA141" s="199"/>
      <c r="AB141" s="199"/>
      <c r="AC141" s="199"/>
      <c r="AD141" s="199"/>
      <c r="AE141" s="199"/>
      <c r="AF141" s="199"/>
      <c r="AG141" s="199"/>
      <c r="AH141" s="199"/>
      <c r="AI141" s="199"/>
      <c r="AJ141" s="199"/>
      <c r="AK141" s="199"/>
      <c r="AL141" s="8"/>
      <c r="AM141" s="8"/>
    </row>
    <row r="142" spans="1:39" s="9" customFormat="1" ht="15.75">
      <c r="A142" s="171"/>
      <c r="B142" s="171" t="s">
        <v>72</v>
      </c>
      <c r="C142" s="234"/>
      <c r="D142" s="234"/>
      <c r="E142" s="237">
        <v>944.83900000000006</v>
      </c>
      <c r="F142" s="234">
        <f t="shared" ref="F142:K142" si="149">F141-F144</f>
        <v>1200.0119999999999</v>
      </c>
      <c r="G142" s="234">
        <f t="shared" si="149"/>
        <v>1463.9429999999998</v>
      </c>
      <c r="H142" s="234">
        <f t="shared" si="149"/>
        <v>2264.7380000000003</v>
      </c>
      <c r="I142" s="234">
        <f t="shared" si="149"/>
        <v>2825.817</v>
      </c>
      <c r="J142" s="234">
        <f t="shared" si="149"/>
        <v>2368.2440000000006</v>
      </c>
      <c r="K142" s="234">
        <f t="shared" si="149"/>
        <v>2029.0750000000003</v>
      </c>
      <c r="L142" s="234">
        <f t="shared" ref="L142:V142" si="150">K142+L137</f>
        <v>2345.5044724331628</v>
      </c>
      <c r="M142" s="234">
        <f t="shared" si="150"/>
        <v>2660.1307307162542</v>
      </c>
      <c r="N142" s="234">
        <f t="shared" si="150"/>
        <v>2980.5352996738452</v>
      </c>
      <c r="O142" s="234">
        <f t="shared" si="150"/>
        <v>3312.7021913300482</v>
      </c>
      <c r="P142" s="234">
        <f t="shared" si="150"/>
        <v>3655.8981061715517</v>
      </c>
      <c r="Q142" s="234">
        <f t="shared" si="150"/>
        <v>4008.7645025266756</v>
      </c>
      <c r="R142" s="234">
        <f t="shared" si="150"/>
        <v>4370.6687930434819</v>
      </c>
      <c r="S142" s="234">
        <f t="shared" si="150"/>
        <v>4740.2672209744051</v>
      </c>
      <c r="T142" s="234">
        <f t="shared" si="150"/>
        <v>5116.9497724777457</v>
      </c>
      <c r="U142" s="234">
        <f t="shared" si="150"/>
        <v>5499.4603224923267</v>
      </c>
      <c r="V142" s="234">
        <f t="shared" si="150"/>
        <v>5887.3090167188857</v>
      </c>
      <c r="W142" s="234"/>
      <c r="Y142" s="169"/>
      <c r="Z142" s="169"/>
      <c r="AA142" s="169"/>
      <c r="AB142" s="169"/>
      <c r="AC142" s="169"/>
      <c r="AD142" s="169"/>
      <c r="AE142" s="169"/>
      <c r="AF142" s="169"/>
      <c r="AG142" s="169"/>
      <c r="AH142" s="169"/>
      <c r="AI142" s="169"/>
      <c r="AJ142" s="169"/>
      <c r="AK142" s="8"/>
      <c r="AL142" s="8"/>
      <c r="AM142" s="8"/>
    </row>
    <row r="143" spans="1:39" s="9" customFormat="1" ht="15.75">
      <c r="A143" s="171"/>
      <c r="B143" s="171"/>
      <c r="C143" s="234"/>
      <c r="D143" s="234"/>
      <c r="E143" s="234"/>
      <c r="F143" s="234"/>
      <c r="G143" s="234"/>
      <c r="H143" s="234"/>
      <c r="I143" s="234"/>
      <c r="J143" s="234"/>
      <c r="K143" s="234"/>
      <c r="L143" s="234"/>
      <c r="M143" s="234"/>
      <c r="N143" s="234"/>
      <c r="O143" s="234"/>
      <c r="P143" s="234"/>
      <c r="Q143" s="234"/>
      <c r="R143" s="234"/>
      <c r="S143" s="234"/>
      <c r="T143" s="234"/>
      <c r="U143" s="234"/>
      <c r="V143" s="234"/>
      <c r="W143" s="234"/>
      <c r="Y143" s="169"/>
      <c r="Z143" s="169"/>
      <c r="AA143" s="169"/>
      <c r="AB143" s="169"/>
      <c r="AC143" s="169"/>
      <c r="AD143" s="169"/>
      <c r="AE143" s="169"/>
      <c r="AF143" s="169"/>
      <c r="AG143" s="169"/>
      <c r="AH143" s="169"/>
      <c r="AI143" s="169"/>
      <c r="AJ143" s="169"/>
      <c r="AK143" s="8"/>
      <c r="AL143" s="8"/>
      <c r="AM143" s="8"/>
    </row>
    <row r="144" spans="1:39" s="9" customFormat="1" ht="15.75">
      <c r="A144" s="171"/>
      <c r="B144" s="171" t="s">
        <v>36</v>
      </c>
      <c r="C144" s="188"/>
      <c r="D144" s="188"/>
      <c r="E144" s="234">
        <f>E141-E142</f>
        <v>1531.9760000000001</v>
      </c>
      <c r="F144" s="237">
        <v>1907.0170000000001</v>
      </c>
      <c r="G144" s="237">
        <f>1438.04+468.13</f>
        <v>1906.17</v>
      </c>
      <c r="H144" s="237">
        <v>1708.8340000000001</v>
      </c>
      <c r="I144" s="237">
        <v>2075.4409999999998</v>
      </c>
      <c r="J144" s="237">
        <v>1740.2349999999999</v>
      </c>
      <c r="K144" s="237">
        <v>1352.645</v>
      </c>
      <c r="L144" s="234">
        <f t="shared" ref="L144:Q144" si="151">L141-L142</f>
        <v>1269.1280225370128</v>
      </c>
      <c r="M144" s="234">
        <f t="shared" si="151"/>
        <v>1296.9630947381597</v>
      </c>
      <c r="N144" s="234">
        <f t="shared" si="151"/>
        <v>1326.9448910205624</v>
      </c>
      <c r="O144" s="234">
        <f t="shared" si="151"/>
        <v>1360.3255062917374</v>
      </c>
      <c r="P144" s="234">
        <f t="shared" si="151"/>
        <v>1389.0400502556945</v>
      </c>
      <c r="Q144" s="234">
        <f t="shared" si="151"/>
        <v>1424.0962691852765</v>
      </c>
      <c r="R144" s="234">
        <f t="shared" ref="R144:V144" si="152">R141-R142</f>
        <v>1455.1135910259009</v>
      </c>
      <c r="S144" s="234">
        <f t="shared" si="152"/>
        <v>1494.050696665221</v>
      </c>
      <c r="T144" s="234">
        <f t="shared" si="152"/>
        <v>1530.3636866432562</v>
      </c>
      <c r="U144" s="234">
        <f t="shared" si="152"/>
        <v>1577.6240543784661</v>
      </c>
      <c r="V144" s="234">
        <f t="shared" si="152"/>
        <v>1637.2769224291842</v>
      </c>
      <c r="W144" s="234"/>
      <c r="Y144" s="169"/>
      <c r="Z144" s="169"/>
      <c r="AA144" s="169"/>
      <c r="AB144" s="169"/>
      <c r="AC144" s="169"/>
      <c r="AD144" s="169"/>
      <c r="AE144" s="169"/>
      <c r="AF144" s="169"/>
      <c r="AG144" s="169"/>
      <c r="AH144" s="169"/>
      <c r="AI144" s="169"/>
      <c r="AJ144" s="169"/>
      <c r="AK144" s="8"/>
      <c r="AL144" s="8"/>
      <c r="AM144" s="8"/>
    </row>
    <row r="145" spans="1:39" ht="15.75">
      <c r="A145" s="169"/>
      <c r="B145" s="171" t="s">
        <v>13</v>
      </c>
      <c r="C145" s="178"/>
      <c r="D145" s="178"/>
      <c r="E145" s="178"/>
      <c r="F145" s="178">
        <f t="shared" ref="F145:V145" si="153">F144/E144-1</f>
        <v>0.24480866540990198</v>
      </c>
      <c r="G145" s="178">
        <f t="shared" si="153"/>
        <v>-4.4414916070489863E-4</v>
      </c>
      <c r="H145" s="178">
        <f t="shared" si="153"/>
        <v>-0.10352486924041404</v>
      </c>
      <c r="I145" s="178">
        <f t="shared" si="153"/>
        <v>0.2145363446654267</v>
      </c>
      <c r="J145" s="178">
        <f t="shared" si="153"/>
        <v>-0.1615107343451343</v>
      </c>
      <c r="K145" s="178">
        <f t="shared" si="153"/>
        <v>-0.22272279318597776</v>
      </c>
      <c r="L145" s="178">
        <f t="shared" si="153"/>
        <v>-6.174345631188316E-2</v>
      </c>
      <c r="M145" s="178">
        <f t="shared" si="153"/>
        <v>2.1932438419808964E-2</v>
      </c>
      <c r="N145" s="178">
        <f t="shared" si="153"/>
        <v>2.3116923221670804E-2</v>
      </c>
      <c r="O145" s="178">
        <f t="shared" si="153"/>
        <v>2.515599215691755E-2</v>
      </c>
      <c r="P145" s="178">
        <f t="shared" si="153"/>
        <v>2.1108583078937704E-2</v>
      </c>
      <c r="Q145" s="178">
        <f t="shared" si="153"/>
        <v>2.5237730850977913E-2</v>
      </c>
      <c r="R145" s="178">
        <f t="shared" si="153"/>
        <v>2.1780354679511449E-2</v>
      </c>
      <c r="S145" s="178">
        <f t="shared" si="153"/>
        <v>2.6758808301603709E-2</v>
      </c>
      <c r="T145" s="178">
        <f t="shared" si="153"/>
        <v>2.4305058763459009E-2</v>
      </c>
      <c r="U145" s="178">
        <f t="shared" si="153"/>
        <v>3.0881788523662745E-2</v>
      </c>
      <c r="V145" s="178">
        <f t="shared" si="153"/>
        <v>3.7811839826579874E-2</v>
      </c>
      <c r="W145" s="178"/>
      <c r="Y145" s="169"/>
      <c r="Z145" s="169"/>
      <c r="AA145" s="169"/>
      <c r="AB145" s="169"/>
      <c r="AC145" s="169"/>
      <c r="AD145" s="169"/>
      <c r="AE145" s="169"/>
      <c r="AF145" s="169"/>
      <c r="AG145" s="169"/>
      <c r="AH145" s="169"/>
      <c r="AI145" s="169"/>
      <c r="AJ145" s="169"/>
    </row>
    <row r="146" spans="1:39" ht="15.75">
      <c r="A146" s="169"/>
      <c r="B146" s="169"/>
      <c r="C146" s="183"/>
      <c r="D146" s="183"/>
      <c r="E146" s="183"/>
      <c r="F146" s="183"/>
      <c r="G146" s="183"/>
      <c r="H146" s="183"/>
      <c r="I146" s="183"/>
      <c r="J146" s="183"/>
      <c r="K146" s="183"/>
      <c r="L146" s="183"/>
      <c r="M146" s="183"/>
      <c r="N146" s="183"/>
      <c r="O146" s="183"/>
      <c r="P146" s="183"/>
      <c r="Q146" s="183"/>
      <c r="R146" s="183"/>
      <c r="S146" s="183"/>
      <c r="T146" s="183"/>
      <c r="U146" s="183"/>
      <c r="V146" s="183"/>
      <c r="W146" s="183"/>
      <c r="Y146" s="169"/>
      <c r="Z146" s="169"/>
      <c r="AA146" s="169"/>
      <c r="AB146" s="169"/>
      <c r="AC146" s="169"/>
      <c r="AD146" s="169"/>
      <c r="AE146" s="169"/>
      <c r="AF146" s="169"/>
      <c r="AG146" s="169"/>
      <c r="AH146" s="169"/>
      <c r="AI146" s="169"/>
      <c r="AJ146" s="169"/>
    </row>
    <row r="147" spans="1:39" ht="15.75">
      <c r="A147" s="169"/>
      <c r="B147" s="169" t="s">
        <v>74</v>
      </c>
      <c r="C147" s="218"/>
      <c r="D147" s="218"/>
      <c r="E147" s="218"/>
      <c r="F147" s="218">
        <f t="shared" ref="F147:V147" si="154">F28/F137</f>
        <v>0.72801888913874524</v>
      </c>
      <c r="G147" s="218">
        <f t="shared" si="154"/>
        <v>0.61353473705080008</v>
      </c>
      <c r="H147" s="218">
        <f t="shared" si="154"/>
        <v>1.1648021140289115</v>
      </c>
      <c r="I147" s="218">
        <f t="shared" si="154"/>
        <v>1.5006236819245855</v>
      </c>
      <c r="J147" s="218">
        <f t="shared" si="154"/>
        <v>1.5163080744698745</v>
      </c>
      <c r="K147" s="218">
        <f t="shared" si="154"/>
        <v>0.81032422428008843</v>
      </c>
      <c r="L147" s="218">
        <f t="shared" si="154"/>
        <v>0.81784942182538289</v>
      </c>
      <c r="M147" s="218">
        <f t="shared" si="154"/>
        <v>0.85625872355962285</v>
      </c>
      <c r="N147" s="218">
        <f t="shared" si="154"/>
        <v>0.86829932979421898</v>
      </c>
      <c r="O147" s="218">
        <f t="shared" si="154"/>
        <v>0.88826669028847138</v>
      </c>
      <c r="P147" s="218">
        <f t="shared" si="154"/>
        <v>0.88032146928553878</v>
      </c>
      <c r="Q147" s="218">
        <f t="shared" si="154"/>
        <v>0.90661513900871815</v>
      </c>
      <c r="R147" s="218">
        <f t="shared" si="154"/>
        <v>0.89932191107805848</v>
      </c>
      <c r="S147" s="218">
        <f t="shared" si="154"/>
        <v>0.92753982056050244</v>
      </c>
      <c r="T147" s="218">
        <f t="shared" si="154"/>
        <v>0.92325174734065352</v>
      </c>
      <c r="U147" s="218">
        <f t="shared" si="154"/>
        <v>0.95791379040168567</v>
      </c>
      <c r="V147" s="218">
        <f t="shared" si="154"/>
        <v>0.99552442156530063</v>
      </c>
      <c r="W147" s="218"/>
      <c r="Y147" s="169"/>
      <c r="Z147" s="169"/>
      <c r="AA147" s="169"/>
      <c r="AB147" s="169"/>
      <c r="AC147" s="169"/>
      <c r="AD147" s="169"/>
      <c r="AE147" s="169"/>
      <c r="AF147" s="169"/>
      <c r="AG147" s="169"/>
      <c r="AH147" s="169"/>
      <c r="AI147" s="169"/>
      <c r="AJ147" s="169"/>
    </row>
    <row r="148" spans="1:39" ht="15.75">
      <c r="A148" s="169"/>
      <c r="B148" s="169"/>
      <c r="C148" s="210"/>
      <c r="D148" s="210"/>
      <c r="E148" s="210"/>
      <c r="F148" s="210"/>
      <c r="G148" s="210"/>
      <c r="H148" s="210"/>
      <c r="I148" s="210"/>
      <c r="J148" s="210"/>
      <c r="K148" s="210"/>
      <c r="L148" s="210"/>
      <c r="M148" s="210"/>
      <c r="N148" s="210"/>
      <c r="O148" s="210"/>
      <c r="P148" s="210"/>
      <c r="Q148" s="210"/>
      <c r="R148" s="210"/>
      <c r="S148" s="210"/>
      <c r="T148" s="210"/>
      <c r="U148" s="210"/>
      <c r="V148" s="210"/>
      <c r="W148" s="210"/>
      <c r="Y148" s="169"/>
      <c r="Z148" s="169"/>
      <c r="AA148" s="169"/>
      <c r="AB148" s="169"/>
      <c r="AC148" s="169"/>
      <c r="AD148" s="169"/>
      <c r="AE148" s="169"/>
      <c r="AF148" s="169"/>
      <c r="AG148" s="169"/>
      <c r="AH148" s="169"/>
      <c r="AI148" s="169"/>
      <c r="AJ148" s="169"/>
    </row>
    <row r="149" spans="1:39" ht="15.75">
      <c r="A149" s="169"/>
      <c r="B149" s="169"/>
      <c r="C149" s="210"/>
      <c r="D149" s="210"/>
      <c r="E149" s="210"/>
      <c r="F149" s="210"/>
      <c r="G149" s="210"/>
      <c r="H149" s="210"/>
      <c r="I149" s="210"/>
      <c r="J149" s="210"/>
      <c r="K149" s="210"/>
      <c r="L149" s="210"/>
      <c r="M149" s="210"/>
      <c r="N149" s="210"/>
      <c r="O149" s="210"/>
      <c r="P149" s="210"/>
      <c r="Q149" s="210"/>
      <c r="R149" s="210"/>
      <c r="S149" s="210"/>
      <c r="T149" s="210"/>
      <c r="U149" s="210"/>
      <c r="V149" s="210"/>
      <c r="W149" s="210"/>
      <c r="Y149" s="169"/>
      <c r="Z149" s="169"/>
      <c r="AA149" s="169"/>
      <c r="AB149" s="169"/>
      <c r="AC149" s="169"/>
      <c r="AD149" s="169"/>
      <c r="AE149" s="169"/>
      <c r="AF149" s="169"/>
      <c r="AG149" s="169"/>
      <c r="AH149" s="169"/>
      <c r="AI149" s="169"/>
      <c r="AJ149" s="169"/>
    </row>
    <row r="150" spans="1:39" ht="15.75">
      <c r="A150" s="169"/>
      <c r="B150" s="186" t="s">
        <v>668</v>
      </c>
      <c r="C150" s="187">
        <v>2016</v>
      </c>
      <c r="D150" s="187">
        <f t="shared" ref="D150:V150" si="155">C150+1</f>
        <v>2017</v>
      </c>
      <c r="E150" s="187">
        <f t="shared" si="155"/>
        <v>2018</v>
      </c>
      <c r="F150" s="187">
        <f t="shared" si="155"/>
        <v>2019</v>
      </c>
      <c r="G150" s="187">
        <f t="shared" si="155"/>
        <v>2020</v>
      </c>
      <c r="H150" s="187">
        <f t="shared" si="155"/>
        <v>2021</v>
      </c>
      <c r="I150" s="187">
        <f t="shared" si="155"/>
        <v>2022</v>
      </c>
      <c r="J150" s="187">
        <f t="shared" si="155"/>
        <v>2023</v>
      </c>
      <c r="K150" s="187">
        <f t="shared" si="155"/>
        <v>2024</v>
      </c>
      <c r="L150" s="187">
        <f t="shared" si="155"/>
        <v>2025</v>
      </c>
      <c r="M150" s="187">
        <f t="shared" si="155"/>
        <v>2026</v>
      </c>
      <c r="N150" s="187">
        <f t="shared" si="155"/>
        <v>2027</v>
      </c>
      <c r="O150" s="187">
        <f t="shared" si="155"/>
        <v>2028</v>
      </c>
      <c r="P150" s="187">
        <f t="shared" si="155"/>
        <v>2029</v>
      </c>
      <c r="Q150" s="187">
        <f t="shared" si="155"/>
        <v>2030</v>
      </c>
      <c r="R150" s="187">
        <f t="shared" si="155"/>
        <v>2031</v>
      </c>
      <c r="S150" s="187">
        <f t="shared" si="155"/>
        <v>2032</v>
      </c>
      <c r="T150" s="187">
        <f t="shared" si="155"/>
        <v>2033</v>
      </c>
      <c r="U150" s="187">
        <f t="shared" si="155"/>
        <v>2034</v>
      </c>
      <c r="V150" s="187">
        <f t="shared" si="155"/>
        <v>2035</v>
      </c>
      <c r="W150" s="174"/>
      <c r="Y150" s="169"/>
      <c r="Z150" s="169"/>
      <c r="AA150" s="169"/>
      <c r="AB150" s="169"/>
      <c r="AC150" s="169"/>
      <c r="AD150" s="169"/>
      <c r="AE150" s="169"/>
      <c r="AF150" s="169"/>
      <c r="AG150" s="169"/>
      <c r="AH150" s="169"/>
      <c r="AI150" s="169"/>
      <c r="AJ150" s="169"/>
    </row>
    <row r="151" spans="1:39" ht="15.75">
      <c r="A151" s="169"/>
      <c r="B151" s="191" t="s">
        <v>668</v>
      </c>
      <c r="C151" s="231"/>
      <c r="D151" s="232"/>
      <c r="E151" s="232"/>
      <c r="F151" s="232"/>
      <c r="G151" s="232">
        <v>468.13</v>
      </c>
      <c r="H151" s="232">
        <v>520.65099999999995</v>
      </c>
      <c r="I151" s="232">
        <v>965.01900000000001</v>
      </c>
      <c r="J151" s="232">
        <v>886.90899999999999</v>
      </c>
      <c r="K151" s="232">
        <v>699.05700000000002</v>
      </c>
      <c r="L151" s="233">
        <f t="shared" ref="L151:V151" si="156">K151</f>
        <v>699.05700000000002</v>
      </c>
      <c r="M151" s="233">
        <f t="shared" si="156"/>
        <v>699.05700000000002</v>
      </c>
      <c r="N151" s="233">
        <f t="shared" si="156"/>
        <v>699.05700000000002</v>
      </c>
      <c r="O151" s="233">
        <f t="shared" si="156"/>
        <v>699.05700000000002</v>
      </c>
      <c r="P151" s="233">
        <f t="shared" si="156"/>
        <v>699.05700000000002</v>
      </c>
      <c r="Q151" s="233">
        <f t="shared" si="156"/>
        <v>699.05700000000002</v>
      </c>
      <c r="R151" s="233">
        <f t="shared" si="156"/>
        <v>699.05700000000002</v>
      </c>
      <c r="S151" s="233">
        <f t="shared" si="156"/>
        <v>699.05700000000002</v>
      </c>
      <c r="T151" s="233">
        <f t="shared" si="156"/>
        <v>699.05700000000002</v>
      </c>
      <c r="U151" s="233">
        <f t="shared" si="156"/>
        <v>699.05700000000002</v>
      </c>
      <c r="V151" s="233">
        <f t="shared" si="156"/>
        <v>699.05700000000002</v>
      </c>
      <c r="W151" s="231"/>
      <c r="Y151" s="169"/>
      <c r="Z151" s="169"/>
      <c r="AA151" s="169"/>
      <c r="AB151" s="169"/>
      <c r="AC151" s="169"/>
      <c r="AD151" s="169"/>
      <c r="AE151" s="169"/>
      <c r="AF151" s="169"/>
      <c r="AG151" s="169"/>
      <c r="AH151" s="169"/>
      <c r="AI151" s="169"/>
      <c r="AJ151" s="169"/>
    </row>
    <row r="152" spans="1:39" ht="15.75">
      <c r="A152" s="169"/>
      <c r="B152" s="171" t="s">
        <v>13</v>
      </c>
      <c r="C152" s="185"/>
      <c r="D152" s="185"/>
      <c r="E152" s="185"/>
      <c r="F152" s="185"/>
      <c r="G152" s="185"/>
      <c r="H152" s="185">
        <f t="shared" ref="H152:V152" si="157">H151/G151-1</f>
        <v>0.11219319419819263</v>
      </c>
      <c r="I152" s="185">
        <f t="shared" si="157"/>
        <v>0.85348534815068078</v>
      </c>
      <c r="J152" s="185">
        <f t="shared" si="157"/>
        <v>-8.0941411516250006E-2</v>
      </c>
      <c r="K152" s="185">
        <f t="shared" si="157"/>
        <v>-0.21180526976273772</v>
      </c>
      <c r="L152" s="185">
        <f t="shared" si="157"/>
        <v>0</v>
      </c>
      <c r="M152" s="185">
        <f t="shared" si="157"/>
        <v>0</v>
      </c>
      <c r="N152" s="185">
        <f t="shared" si="157"/>
        <v>0</v>
      </c>
      <c r="O152" s="185">
        <f t="shared" si="157"/>
        <v>0</v>
      </c>
      <c r="P152" s="185">
        <f t="shared" si="157"/>
        <v>0</v>
      </c>
      <c r="Q152" s="185">
        <f t="shared" si="157"/>
        <v>0</v>
      </c>
      <c r="R152" s="185">
        <f t="shared" si="157"/>
        <v>0</v>
      </c>
      <c r="S152" s="185">
        <f t="shared" si="157"/>
        <v>0</v>
      </c>
      <c r="T152" s="185">
        <f t="shared" si="157"/>
        <v>0</v>
      </c>
      <c r="U152" s="185">
        <f t="shared" si="157"/>
        <v>0</v>
      </c>
      <c r="V152" s="185">
        <f t="shared" si="157"/>
        <v>0</v>
      </c>
      <c r="W152" s="185"/>
      <c r="Y152" s="169"/>
      <c r="Z152" s="169"/>
      <c r="AA152" s="169"/>
      <c r="AB152" s="169"/>
      <c r="AC152" s="169"/>
      <c r="AD152" s="169"/>
      <c r="AE152" s="169"/>
      <c r="AF152" s="169"/>
      <c r="AG152" s="169"/>
      <c r="AH152" s="169"/>
      <c r="AI152" s="169"/>
      <c r="AJ152" s="169"/>
    </row>
    <row r="153" spans="1:39" ht="15.75">
      <c r="A153" s="169"/>
      <c r="B153" s="169"/>
      <c r="C153" s="210"/>
      <c r="D153" s="210"/>
      <c r="E153" s="210"/>
      <c r="F153" s="210"/>
      <c r="G153" s="210"/>
      <c r="H153" s="210"/>
      <c r="I153" s="210"/>
      <c r="J153" s="210"/>
      <c r="K153" s="210"/>
      <c r="L153" s="210"/>
      <c r="M153" s="210"/>
      <c r="N153" s="210"/>
      <c r="O153" s="210"/>
      <c r="P153" s="210"/>
      <c r="Q153" s="210"/>
      <c r="R153" s="210"/>
      <c r="S153" s="210"/>
      <c r="T153" s="210"/>
      <c r="U153" s="210"/>
      <c r="V153" s="210"/>
      <c r="W153" s="210"/>
      <c r="Y153" s="169"/>
      <c r="Z153" s="169"/>
      <c r="AA153" s="169"/>
      <c r="AB153" s="169"/>
      <c r="AC153" s="169"/>
      <c r="AD153" s="169"/>
      <c r="AE153" s="169"/>
      <c r="AF153" s="169"/>
      <c r="AG153" s="169"/>
      <c r="AH153" s="169"/>
      <c r="AI153" s="169"/>
      <c r="AJ153" s="169"/>
    </row>
    <row r="154" spans="1:39" ht="15.75">
      <c r="A154" s="169"/>
      <c r="B154" s="169" t="s">
        <v>868</v>
      </c>
      <c r="C154" s="210"/>
      <c r="D154" s="210"/>
      <c r="E154" s="232"/>
      <c r="F154" s="232">
        <f>38.13</f>
        <v>38.130000000000003</v>
      </c>
      <c r="G154" s="232">
        <f>54.089-0.81</f>
        <v>53.278999999999996</v>
      </c>
      <c r="H154" s="232">
        <f>60.685</f>
        <v>60.685000000000002</v>
      </c>
      <c r="I154" s="232">
        <f>88.615</f>
        <v>88.614999999999995</v>
      </c>
      <c r="J154" s="232">
        <v>95.894999999999996</v>
      </c>
      <c r="K154" s="232">
        <v>95.382999999999996</v>
      </c>
      <c r="L154" s="210"/>
      <c r="M154" s="210"/>
      <c r="N154" s="210"/>
      <c r="O154" s="210"/>
      <c r="P154" s="210"/>
      <c r="Q154" s="210"/>
      <c r="R154" s="210"/>
      <c r="S154" s="210"/>
      <c r="T154" s="210"/>
      <c r="U154" s="210"/>
      <c r="V154" s="210"/>
      <c r="W154" s="210"/>
      <c r="Y154" s="169"/>
      <c r="Z154" s="169"/>
      <c r="AA154" s="169"/>
      <c r="AB154" s="169"/>
      <c r="AC154" s="169"/>
      <c r="AD154" s="169"/>
      <c r="AE154" s="169"/>
      <c r="AF154" s="169"/>
      <c r="AG154" s="169"/>
      <c r="AH154" s="169"/>
      <c r="AI154" s="169"/>
      <c r="AJ154" s="169"/>
    </row>
    <row r="155" spans="1:39" ht="15.75">
      <c r="A155" s="169"/>
      <c r="B155" s="169" t="s">
        <v>869</v>
      </c>
      <c r="C155" s="210"/>
      <c r="D155" s="210"/>
      <c r="E155" s="210"/>
      <c r="F155" s="237">
        <f>406.897</f>
        <v>406.89699999999999</v>
      </c>
      <c r="G155" s="237">
        <f>549.594</f>
        <v>549.59400000000005</v>
      </c>
      <c r="H155" s="237">
        <f>650.504</f>
        <v>650.50400000000002</v>
      </c>
      <c r="I155" s="237">
        <f>1165.18</f>
        <v>1165.18</v>
      </c>
      <c r="J155" s="237">
        <v>1116.99</v>
      </c>
      <c r="K155" s="237">
        <v>919.52800000000002</v>
      </c>
      <c r="L155" s="210"/>
      <c r="M155" s="210"/>
      <c r="N155" s="210"/>
      <c r="O155" s="210"/>
      <c r="P155" s="210"/>
      <c r="Q155" s="210"/>
      <c r="R155" s="210"/>
      <c r="S155" s="210"/>
      <c r="T155" s="210"/>
      <c r="U155" s="210"/>
      <c r="V155" s="210"/>
      <c r="W155" s="210"/>
      <c r="Y155" s="169"/>
      <c r="Z155" s="169"/>
      <c r="AA155" s="169"/>
      <c r="AB155" s="169"/>
      <c r="AC155" s="169"/>
      <c r="AD155" s="169"/>
      <c r="AE155" s="169"/>
      <c r="AF155" s="169"/>
      <c r="AG155" s="169"/>
      <c r="AH155" s="169"/>
      <c r="AI155" s="169"/>
      <c r="AJ155" s="169"/>
    </row>
    <row r="156" spans="1:39" ht="15.75">
      <c r="A156" s="169"/>
      <c r="B156" s="169"/>
      <c r="C156" s="210"/>
      <c r="D156" s="210"/>
      <c r="E156" s="210"/>
      <c r="F156" s="210"/>
      <c r="G156" s="210"/>
      <c r="H156" s="210"/>
      <c r="I156" s="210"/>
      <c r="J156" s="210"/>
      <c r="K156" s="210"/>
      <c r="L156" s="210"/>
      <c r="M156" s="210"/>
      <c r="N156" s="210"/>
      <c r="O156" s="210"/>
      <c r="P156" s="210"/>
      <c r="Q156" s="210"/>
      <c r="R156" s="210"/>
      <c r="S156" s="210"/>
      <c r="T156" s="210"/>
      <c r="U156" s="210"/>
      <c r="V156" s="210"/>
      <c r="W156" s="210"/>
      <c r="Y156" s="169"/>
      <c r="Z156" s="169"/>
      <c r="AA156" s="169"/>
      <c r="AB156" s="169"/>
      <c r="AC156" s="169"/>
      <c r="AD156" s="169"/>
      <c r="AE156" s="169"/>
      <c r="AF156" s="169"/>
      <c r="AG156" s="169"/>
      <c r="AH156" s="169"/>
      <c r="AI156" s="169"/>
      <c r="AJ156" s="169"/>
    </row>
    <row r="157" spans="1:39" ht="15.75">
      <c r="A157" s="169"/>
      <c r="B157" s="169"/>
      <c r="C157" s="210"/>
      <c r="D157" s="210"/>
      <c r="E157" s="210"/>
      <c r="F157" s="210"/>
      <c r="G157" s="210"/>
      <c r="H157" s="210"/>
      <c r="I157" s="210"/>
      <c r="J157" s="210"/>
      <c r="K157" s="210"/>
      <c r="L157" s="210"/>
      <c r="M157" s="210"/>
      <c r="N157" s="210"/>
      <c r="O157" s="210"/>
      <c r="P157" s="210"/>
      <c r="Q157" s="210"/>
      <c r="R157" s="210"/>
      <c r="S157" s="210"/>
      <c r="T157" s="210"/>
      <c r="U157" s="210"/>
      <c r="V157" s="210"/>
      <c r="W157" s="210"/>
      <c r="Y157" s="169"/>
      <c r="Z157" s="169"/>
      <c r="AA157" s="169"/>
      <c r="AB157" s="169"/>
      <c r="AC157" s="169"/>
      <c r="AD157" s="169"/>
      <c r="AE157" s="169"/>
      <c r="AF157" s="169"/>
      <c r="AG157" s="169"/>
      <c r="AH157" s="169"/>
      <c r="AI157" s="169"/>
      <c r="AJ157" s="169"/>
    </row>
    <row r="158" spans="1:39" s="9" customFormat="1" ht="15.75">
      <c r="A158" s="171"/>
      <c r="B158" s="186" t="s">
        <v>75</v>
      </c>
      <c r="C158" s="187">
        <v>2016</v>
      </c>
      <c r="D158" s="187">
        <f t="shared" ref="D158:V158" si="158">C158+1</f>
        <v>2017</v>
      </c>
      <c r="E158" s="187">
        <f t="shared" si="158"/>
        <v>2018</v>
      </c>
      <c r="F158" s="187">
        <f t="shared" si="158"/>
        <v>2019</v>
      </c>
      <c r="G158" s="187">
        <f t="shared" si="158"/>
        <v>2020</v>
      </c>
      <c r="H158" s="187">
        <f t="shared" si="158"/>
        <v>2021</v>
      </c>
      <c r="I158" s="187">
        <f t="shared" si="158"/>
        <v>2022</v>
      </c>
      <c r="J158" s="187">
        <f t="shared" si="158"/>
        <v>2023</v>
      </c>
      <c r="K158" s="187">
        <f t="shared" si="158"/>
        <v>2024</v>
      </c>
      <c r="L158" s="187">
        <f t="shared" si="158"/>
        <v>2025</v>
      </c>
      <c r="M158" s="187">
        <f t="shared" si="158"/>
        <v>2026</v>
      </c>
      <c r="N158" s="187">
        <f t="shared" si="158"/>
        <v>2027</v>
      </c>
      <c r="O158" s="187">
        <f t="shared" si="158"/>
        <v>2028</v>
      </c>
      <c r="P158" s="187">
        <f t="shared" si="158"/>
        <v>2029</v>
      </c>
      <c r="Q158" s="187">
        <f t="shared" si="158"/>
        <v>2030</v>
      </c>
      <c r="R158" s="187">
        <f t="shared" si="158"/>
        <v>2031</v>
      </c>
      <c r="S158" s="187">
        <f t="shared" si="158"/>
        <v>2032</v>
      </c>
      <c r="T158" s="187">
        <f t="shared" si="158"/>
        <v>2033</v>
      </c>
      <c r="U158" s="187">
        <f t="shared" si="158"/>
        <v>2034</v>
      </c>
      <c r="V158" s="187">
        <f t="shared" si="158"/>
        <v>2035</v>
      </c>
      <c r="W158" s="174"/>
      <c r="Y158" s="169"/>
      <c r="Z158" s="169"/>
      <c r="AA158" s="169"/>
      <c r="AB158" s="169"/>
      <c r="AC158" s="169"/>
      <c r="AD158" s="169"/>
      <c r="AE158" s="169"/>
      <c r="AF158" s="169"/>
      <c r="AG158" s="169"/>
      <c r="AH158" s="169"/>
      <c r="AI158" s="169"/>
      <c r="AJ158" s="169"/>
      <c r="AK158" s="8"/>
      <c r="AL158" s="8"/>
      <c r="AM158" s="8"/>
    </row>
    <row r="159" spans="1:39" s="9" customFormat="1" ht="15.75">
      <c r="A159" s="171"/>
      <c r="B159" s="191" t="s">
        <v>20</v>
      </c>
      <c r="C159" s="231"/>
      <c r="D159" s="232">
        <v>21.777999999999999</v>
      </c>
      <c r="E159" s="232">
        <v>8.3729999999999993</v>
      </c>
      <c r="F159" s="232">
        <v>28.747</v>
      </c>
      <c r="G159" s="232">
        <v>35.414999999999999</v>
      </c>
      <c r="H159" s="232">
        <v>38.165999999999997</v>
      </c>
      <c r="I159" s="232">
        <v>47.33</v>
      </c>
      <c r="J159" s="232">
        <v>50.383000000000003</v>
      </c>
      <c r="K159" s="232">
        <v>46.768000000000001</v>
      </c>
      <c r="L159" s="231">
        <f t="shared" ref="L159:O159" si="159">L163</f>
        <v>48.593861018267759</v>
      </c>
      <c r="M159" s="231">
        <f t="shared" si="159"/>
        <v>50.092861660878981</v>
      </c>
      <c r="N159" s="231">
        <f t="shared" si="159"/>
        <v>54.549470910254826</v>
      </c>
      <c r="O159" s="231">
        <f t="shared" si="159"/>
        <v>59.057084860744347</v>
      </c>
      <c r="P159" s="231">
        <f t="shared" ref="P159:V159" si="160">P163</f>
        <v>62.413994456364705</v>
      </c>
      <c r="Q159" s="231">
        <f t="shared" si="160"/>
        <v>65.655916116962786</v>
      </c>
      <c r="R159" s="231">
        <f t="shared" si="160"/>
        <v>68.843816186659112</v>
      </c>
      <c r="S159" s="231">
        <f t="shared" si="160"/>
        <v>71.911180903779012</v>
      </c>
      <c r="T159" s="231">
        <f t="shared" si="160"/>
        <v>74.922805103013488</v>
      </c>
      <c r="U159" s="231">
        <f t="shared" si="160"/>
        <v>77.814167341598434</v>
      </c>
      <c r="V159" s="231">
        <f t="shared" si="160"/>
        <v>80.657327105682597</v>
      </c>
      <c r="W159" s="231"/>
      <c r="Y159" s="169"/>
      <c r="Z159" s="169"/>
      <c r="AA159" s="169"/>
      <c r="AB159" s="169"/>
      <c r="AC159" s="169"/>
      <c r="AD159" s="169"/>
      <c r="AE159" s="169"/>
      <c r="AF159" s="169"/>
      <c r="AG159" s="169"/>
      <c r="AH159" s="169"/>
      <c r="AI159" s="169"/>
      <c r="AJ159" s="169"/>
      <c r="AK159" s="8"/>
      <c r="AL159" s="8"/>
      <c r="AM159" s="8"/>
    </row>
    <row r="160" spans="1:39" s="9" customFormat="1" ht="15.75">
      <c r="A160" s="171"/>
      <c r="B160" s="171" t="s">
        <v>13</v>
      </c>
      <c r="C160" s="185"/>
      <c r="D160" s="185"/>
      <c r="E160" s="185">
        <f t="shared" ref="E160:V160" si="161">E159/D159-1</f>
        <v>-0.61552943337312893</v>
      </c>
      <c r="F160" s="185">
        <f t="shared" si="161"/>
        <v>2.4332975038815241</v>
      </c>
      <c r="G160" s="185">
        <f t="shared" si="161"/>
        <v>0.23195463874491251</v>
      </c>
      <c r="H160" s="185">
        <f t="shared" si="161"/>
        <v>7.7678949597628E-2</v>
      </c>
      <c r="I160" s="185">
        <f t="shared" si="161"/>
        <v>0.24010899753707493</v>
      </c>
      <c r="J160" s="185">
        <f t="shared" si="161"/>
        <v>6.4504542573420753E-2</v>
      </c>
      <c r="K160" s="185">
        <f t="shared" si="161"/>
        <v>-7.1750391997300711E-2</v>
      </c>
      <c r="L160" s="185">
        <f t="shared" si="161"/>
        <v>3.9040818898985696E-2</v>
      </c>
      <c r="M160" s="185">
        <f t="shared" si="161"/>
        <v>3.0847531173695097E-2</v>
      </c>
      <c r="N160" s="185">
        <f t="shared" si="161"/>
        <v>8.8966952607866689E-2</v>
      </c>
      <c r="O160" s="185">
        <f t="shared" si="161"/>
        <v>8.2633504510162492E-2</v>
      </c>
      <c r="P160" s="185">
        <f t="shared" si="161"/>
        <v>5.6841776114345821E-2</v>
      </c>
      <c r="Q160" s="185">
        <f t="shared" si="161"/>
        <v>5.1942223676528121E-2</v>
      </c>
      <c r="R160" s="185">
        <f t="shared" si="161"/>
        <v>4.8554650642864239E-2</v>
      </c>
      <c r="S160" s="185">
        <f t="shared" si="161"/>
        <v>4.4555413790589693E-2</v>
      </c>
      <c r="T160" s="185">
        <f t="shared" si="161"/>
        <v>4.1879776710442185E-2</v>
      </c>
      <c r="U160" s="185">
        <f t="shared" si="161"/>
        <v>3.8591217114862797E-2</v>
      </c>
      <c r="V160" s="185">
        <f t="shared" si="161"/>
        <v>3.6537816457032912E-2</v>
      </c>
      <c r="W160" s="185"/>
      <c r="Y160" s="169"/>
      <c r="Z160" s="169"/>
      <c r="AA160" s="169"/>
      <c r="AB160" s="169"/>
      <c r="AC160" s="169"/>
      <c r="AD160" s="169"/>
      <c r="AE160" s="169"/>
      <c r="AF160" s="169"/>
      <c r="AG160" s="169"/>
      <c r="AH160" s="169"/>
      <c r="AI160" s="169"/>
      <c r="AJ160" s="169"/>
      <c r="AK160" s="8"/>
      <c r="AL160" s="8"/>
      <c r="AM160" s="8"/>
    </row>
    <row r="161" spans="1:39" s="9" customFormat="1" ht="15.75">
      <c r="A161" s="171"/>
      <c r="B161" s="191" t="s">
        <v>76</v>
      </c>
      <c r="C161" s="185"/>
      <c r="D161" s="185">
        <f t="shared" ref="D161:L161" si="162">D159/D170</f>
        <v>1.2125160069038472</v>
      </c>
      <c r="E161" s="185">
        <f t="shared" si="162"/>
        <v>0.6749153635337739</v>
      </c>
      <c r="F161" s="185">
        <f t="shared" si="162"/>
        <v>6.3934506440822714E-2</v>
      </c>
      <c r="G161" s="185">
        <f t="shared" si="162"/>
        <v>5.1263604794735691E-2</v>
      </c>
      <c r="H161" s="185">
        <f t="shared" si="162"/>
        <v>5.4412089674591012E-2</v>
      </c>
      <c r="I161" s="185">
        <f t="shared" si="162"/>
        <v>4.5114731346683784E-2</v>
      </c>
      <c r="J161" s="185">
        <f t="shared" si="162"/>
        <v>5.399933549832267E-2</v>
      </c>
      <c r="K161" s="185">
        <f t="shared" si="162"/>
        <v>6.9393666017757941E-2</v>
      </c>
      <c r="L161" s="185">
        <f t="shared" si="162"/>
        <v>7.4617747844754168E-2</v>
      </c>
      <c r="M161" s="185">
        <f t="shared" ref="M161:V161" si="163">M159/M170</f>
        <v>7.3874059824572152E-2</v>
      </c>
      <c r="N161" s="185">
        <f t="shared" si="163"/>
        <v>7.7777169253741327E-2</v>
      </c>
      <c r="O161" s="185">
        <f t="shared" si="163"/>
        <v>8.1818725192965167E-2</v>
      </c>
      <c r="P161" s="185">
        <f t="shared" si="163"/>
        <v>8.438858891304922E-2</v>
      </c>
      <c r="Q161" s="185">
        <f t="shared" si="163"/>
        <v>8.6853597434448801E-2</v>
      </c>
      <c r="R161" s="185">
        <f t="shared" si="163"/>
        <v>8.9449279226453821E-2</v>
      </c>
      <c r="S161" s="185">
        <f t="shared" si="163"/>
        <v>9.1956695970588448E-2</v>
      </c>
      <c r="T161" s="185">
        <f t="shared" si="163"/>
        <v>9.4615528979659774E-2</v>
      </c>
      <c r="U161" s="185">
        <f t="shared" si="163"/>
        <v>9.7183538111812559E-2</v>
      </c>
      <c r="V161" s="185">
        <f t="shared" si="163"/>
        <v>9.9743575347595786E-2</v>
      </c>
      <c r="W161" s="185"/>
      <c r="Y161" s="169"/>
      <c r="Z161" s="169"/>
      <c r="AA161" s="169"/>
      <c r="AB161" s="169"/>
      <c r="AC161" s="169"/>
      <c r="AD161" s="169"/>
      <c r="AE161" s="169"/>
      <c r="AF161" s="169"/>
      <c r="AG161" s="169"/>
      <c r="AH161" s="169"/>
      <c r="AI161" s="169"/>
      <c r="AJ161" s="169"/>
      <c r="AK161" s="8"/>
      <c r="AL161" s="8"/>
      <c r="AM161" s="8"/>
    </row>
    <row r="162" spans="1:39" s="9" customFormat="1" ht="15.75">
      <c r="A162" s="171"/>
      <c r="B162" s="191" t="s">
        <v>77</v>
      </c>
      <c r="C162" s="231"/>
      <c r="D162" s="232">
        <v>0</v>
      </c>
      <c r="E162" s="232">
        <v>0</v>
      </c>
      <c r="F162" s="232">
        <v>0</v>
      </c>
      <c r="G162" s="232">
        <v>0</v>
      </c>
      <c r="H162" s="232">
        <v>0</v>
      </c>
      <c r="I162" s="232">
        <v>0</v>
      </c>
      <c r="J162" s="232">
        <v>0</v>
      </c>
      <c r="K162" s="232">
        <v>0</v>
      </c>
      <c r="L162" s="233">
        <v>0</v>
      </c>
      <c r="M162" s="233">
        <v>0</v>
      </c>
      <c r="N162" s="233">
        <v>0</v>
      </c>
      <c r="O162" s="233">
        <v>0</v>
      </c>
      <c r="P162" s="233">
        <v>0</v>
      </c>
      <c r="Q162" s="233">
        <v>0</v>
      </c>
      <c r="R162" s="233">
        <v>0</v>
      </c>
      <c r="S162" s="233">
        <v>0</v>
      </c>
      <c r="T162" s="233">
        <v>0</v>
      </c>
      <c r="U162" s="233">
        <v>0</v>
      </c>
      <c r="V162" s="233">
        <v>0</v>
      </c>
      <c r="W162" s="231"/>
      <c r="Y162" s="169"/>
      <c r="Z162" s="169"/>
      <c r="AA162" s="169"/>
      <c r="AB162" s="169"/>
      <c r="AC162" s="169"/>
      <c r="AD162" s="169"/>
      <c r="AE162" s="169"/>
      <c r="AF162" s="169"/>
      <c r="AG162" s="169"/>
      <c r="AH162" s="169"/>
      <c r="AI162" s="169"/>
      <c r="AJ162" s="169"/>
      <c r="AK162" s="8"/>
      <c r="AL162" s="8"/>
      <c r="AM162" s="8"/>
    </row>
    <row r="163" spans="1:39" s="9" customFormat="1" ht="15.75">
      <c r="A163" s="171"/>
      <c r="B163" s="191" t="s">
        <v>78</v>
      </c>
      <c r="C163" s="234"/>
      <c r="D163" s="234">
        <f t="shared" ref="D163:J163" si="164">D159-D162</f>
        <v>21.777999999999999</v>
      </c>
      <c r="E163" s="234">
        <f t="shared" si="164"/>
        <v>8.3729999999999993</v>
      </c>
      <c r="F163" s="234">
        <f t="shared" si="164"/>
        <v>28.747</v>
      </c>
      <c r="G163" s="234">
        <f t="shared" si="164"/>
        <v>35.414999999999999</v>
      </c>
      <c r="H163" s="234">
        <f t="shared" si="164"/>
        <v>38.165999999999997</v>
      </c>
      <c r="I163" s="234">
        <f t="shared" si="164"/>
        <v>47.33</v>
      </c>
      <c r="J163" s="234">
        <f t="shared" si="164"/>
        <v>50.383000000000003</v>
      </c>
      <c r="K163" s="234">
        <f t="shared" ref="K163" si="165">K159-K162</f>
        <v>46.768000000000001</v>
      </c>
      <c r="L163" s="234">
        <f t="shared" ref="L163:V163" si="166">K167/L164*2</f>
        <v>48.593861018267759</v>
      </c>
      <c r="M163" s="234">
        <f t="shared" si="166"/>
        <v>50.092861660878981</v>
      </c>
      <c r="N163" s="234">
        <f t="shared" si="166"/>
        <v>54.549470910254826</v>
      </c>
      <c r="O163" s="234">
        <f t="shared" si="166"/>
        <v>59.057084860744347</v>
      </c>
      <c r="P163" s="234">
        <f t="shared" si="166"/>
        <v>62.413994456364705</v>
      </c>
      <c r="Q163" s="234">
        <f t="shared" si="166"/>
        <v>65.655916116962786</v>
      </c>
      <c r="R163" s="234">
        <f t="shared" si="166"/>
        <v>68.843816186659112</v>
      </c>
      <c r="S163" s="234">
        <f t="shared" si="166"/>
        <v>71.911180903779012</v>
      </c>
      <c r="T163" s="234">
        <f t="shared" si="166"/>
        <v>74.922805103013488</v>
      </c>
      <c r="U163" s="234">
        <f t="shared" si="166"/>
        <v>77.814167341598434</v>
      </c>
      <c r="V163" s="234">
        <f t="shared" si="166"/>
        <v>80.657327105682597</v>
      </c>
      <c r="W163" s="234"/>
      <c r="Y163" s="169"/>
      <c r="Z163" s="169"/>
      <c r="AA163" s="169"/>
      <c r="AB163" s="169"/>
      <c r="AC163" s="169"/>
      <c r="AD163" s="169"/>
      <c r="AE163" s="169"/>
      <c r="AF163" s="169"/>
      <c r="AG163" s="169"/>
      <c r="AH163" s="169"/>
      <c r="AI163" s="169"/>
      <c r="AJ163" s="169"/>
      <c r="AK163" s="8"/>
      <c r="AL163" s="8"/>
      <c r="AM163" s="8"/>
    </row>
    <row r="164" spans="1:39" s="9" customFormat="1" ht="15.75">
      <c r="A164" s="171"/>
      <c r="B164" s="171" t="s">
        <v>70</v>
      </c>
      <c r="C164" s="239"/>
      <c r="D164" s="239">
        <f t="shared" ref="D164:K164" si="167">C167/D163*2</f>
        <v>7.0165304435669036</v>
      </c>
      <c r="E164" s="239">
        <f t="shared" si="167"/>
        <v>19.148453361996896</v>
      </c>
      <c r="F164" s="239">
        <f t="shared" si="167"/>
        <v>5.7523915539012771</v>
      </c>
      <c r="G164" s="239">
        <f t="shared" si="167"/>
        <v>32.53084851051814</v>
      </c>
      <c r="H164" s="239">
        <f t="shared" si="167"/>
        <v>44.217366242205102</v>
      </c>
      <c r="I164" s="239">
        <f t="shared" si="167"/>
        <v>37.277244876399749</v>
      </c>
      <c r="J164" s="239">
        <f t="shared" si="167"/>
        <v>50.274417958438363</v>
      </c>
      <c r="K164" s="239">
        <f t="shared" si="167"/>
        <v>47.625598699965785</v>
      </c>
      <c r="L164" s="235">
        <f t="shared" ref="L164:V164" si="168">K164*(1+L165)</f>
        <v>34.528559057475192</v>
      </c>
      <c r="M164" s="235">
        <f t="shared" si="168"/>
        <v>34.528559057475192</v>
      </c>
      <c r="N164" s="235">
        <f t="shared" si="168"/>
        <v>34.528559057475192</v>
      </c>
      <c r="O164" s="235">
        <f t="shared" si="168"/>
        <v>34.528559057475192</v>
      </c>
      <c r="P164" s="235">
        <f t="shared" si="168"/>
        <v>35.219130238624693</v>
      </c>
      <c r="Q164" s="235">
        <f t="shared" si="168"/>
        <v>35.923512843397191</v>
      </c>
      <c r="R164" s="235">
        <f t="shared" si="168"/>
        <v>36.641983100265136</v>
      </c>
      <c r="S164" s="235">
        <f t="shared" si="168"/>
        <v>37.374822762270441</v>
      </c>
      <c r="T164" s="235">
        <f t="shared" si="168"/>
        <v>38.122319217515852</v>
      </c>
      <c r="U164" s="235">
        <f t="shared" si="168"/>
        <v>38.884765601866171</v>
      </c>
      <c r="V164" s="235">
        <f t="shared" si="168"/>
        <v>39.662460913903494</v>
      </c>
      <c r="W164" s="239"/>
      <c r="Y164" s="169"/>
      <c r="Z164" s="169"/>
      <c r="AA164" s="169"/>
      <c r="AB164" s="169"/>
      <c r="AC164" s="169"/>
      <c r="AD164" s="169"/>
      <c r="AE164" s="169"/>
      <c r="AF164" s="169"/>
      <c r="AG164" s="169"/>
      <c r="AH164" s="169"/>
      <c r="AI164" s="169"/>
      <c r="AJ164" s="169"/>
      <c r="AK164" s="8"/>
      <c r="AL164" s="8"/>
      <c r="AM164" s="8"/>
    </row>
    <row r="165" spans="1:39" s="9" customFormat="1" ht="15.75">
      <c r="A165" s="171"/>
      <c r="B165" s="171" t="s">
        <v>13</v>
      </c>
      <c r="C165" s="185"/>
      <c r="D165" s="185"/>
      <c r="E165" s="185">
        <f t="shared" ref="E165:K165" si="169">E164/D164-1</f>
        <v>1.7290487108985797</v>
      </c>
      <c r="F165" s="185">
        <f t="shared" si="169"/>
        <v>-0.69958975562392944</v>
      </c>
      <c r="G165" s="185">
        <f t="shared" si="169"/>
        <v>4.6551867524483255</v>
      </c>
      <c r="H165" s="185">
        <f t="shared" si="169"/>
        <v>0.35924417181766355</v>
      </c>
      <c r="I165" s="185">
        <f t="shared" si="169"/>
        <v>-0.15695465278936194</v>
      </c>
      <c r="J165" s="185">
        <f t="shared" si="169"/>
        <v>0.3486623843884753</v>
      </c>
      <c r="K165" s="185">
        <f t="shared" si="169"/>
        <v>-5.2687218789133405E-2</v>
      </c>
      <c r="L165" s="236">
        <v>-0.27500000000000002</v>
      </c>
      <c r="M165" s="236">
        <v>0</v>
      </c>
      <c r="N165" s="236">
        <f t="shared" ref="N165:V165" si="170">M165</f>
        <v>0</v>
      </c>
      <c r="O165" s="236">
        <f t="shared" si="170"/>
        <v>0</v>
      </c>
      <c r="P165" s="236">
        <v>0.02</v>
      </c>
      <c r="Q165" s="236">
        <f t="shared" si="170"/>
        <v>0.02</v>
      </c>
      <c r="R165" s="236">
        <f t="shared" si="170"/>
        <v>0.02</v>
      </c>
      <c r="S165" s="236">
        <f t="shared" si="170"/>
        <v>0.02</v>
      </c>
      <c r="T165" s="236">
        <f t="shared" si="170"/>
        <v>0.02</v>
      </c>
      <c r="U165" s="236">
        <f t="shared" si="170"/>
        <v>0.02</v>
      </c>
      <c r="V165" s="236">
        <f t="shared" si="170"/>
        <v>0.02</v>
      </c>
      <c r="W165" s="245"/>
      <c r="Y165" s="169"/>
      <c r="Z165" s="169"/>
      <c r="AA165" s="169"/>
      <c r="AB165" s="169"/>
      <c r="AC165" s="169"/>
      <c r="AD165" s="169"/>
      <c r="AE165" s="169"/>
      <c r="AF165" s="169"/>
      <c r="AG165" s="169"/>
      <c r="AH165" s="169"/>
      <c r="AI165" s="169"/>
      <c r="AJ165" s="169"/>
      <c r="AK165" s="8"/>
      <c r="AL165" s="8"/>
      <c r="AM165" s="8"/>
    </row>
    <row r="166" spans="1:39" ht="15.75">
      <c r="A166" s="169"/>
      <c r="B166" s="169"/>
      <c r="C166" s="183"/>
      <c r="D166" s="183"/>
      <c r="E166" s="183"/>
      <c r="F166" s="183"/>
      <c r="G166" s="183"/>
      <c r="H166" s="183"/>
      <c r="I166" s="183"/>
      <c r="J166" s="183"/>
      <c r="K166" s="183"/>
      <c r="L166" s="183"/>
      <c r="M166" s="183"/>
      <c r="N166" s="183"/>
      <c r="O166" s="183"/>
      <c r="P166" s="183"/>
      <c r="Q166" s="183"/>
      <c r="R166" s="183"/>
      <c r="S166" s="183"/>
      <c r="T166" s="183"/>
      <c r="U166" s="183"/>
      <c r="V166" s="183"/>
      <c r="W166" s="183"/>
      <c r="Y166" s="169"/>
      <c r="Z166" s="169"/>
      <c r="AA166" s="169"/>
      <c r="AB166" s="169"/>
      <c r="AC166" s="169"/>
      <c r="AD166" s="169"/>
      <c r="AE166" s="169"/>
      <c r="AF166" s="169"/>
      <c r="AG166" s="169"/>
      <c r="AH166" s="169"/>
      <c r="AI166" s="169"/>
      <c r="AJ166" s="169"/>
    </row>
    <row r="167" spans="1:39" s="9" customFormat="1" ht="15.75">
      <c r="A167" s="171"/>
      <c r="B167" s="191" t="s">
        <v>79</v>
      </c>
      <c r="C167" s="237">
        <v>76.403000000000006</v>
      </c>
      <c r="D167" s="237">
        <v>80.165000000000006</v>
      </c>
      <c r="E167" s="237">
        <v>82.682000000000002</v>
      </c>
      <c r="F167" s="237">
        <v>576.04</v>
      </c>
      <c r="G167" s="237">
        <v>843.8</v>
      </c>
      <c r="H167" s="237">
        <v>882.16600000000005</v>
      </c>
      <c r="I167" s="237">
        <v>1266.4880000000001</v>
      </c>
      <c r="J167" s="237">
        <v>1113.6769999999999</v>
      </c>
      <c r="K167" s="237">
        <v>838.93799999999999</v>
      </c>
      <c r="L167" s="238">
        <f t="shared" ref="L167" si="171">K167+(0.1*L28)</f>
        <v>864.81716610779733</v>
      </c>
      <c r="M167" s="238">
        <f>L167+(0.1*M28)+50</f>
        <v>941.7573139393794</v>
      </c>
      <c r="N167" s="238">
        <f>M167+(0.1*N28)+50</f>
        <v>1019.5780211882676</v>
      </c>
      <c r="O167" s="238">
        <f t="shared" ref="O167:V167" si="172">N167+(0.1*O28)+50</f>
        <v>1099.0832997357541</v>
      </c>
      <c r="P167" s="238">
        <f t="shared" si="172"/>
        <v>1179.2955729363607</v>
      </c>
      <c r="Q167" s="238">
        <f t="shared" si="172"/>
        <v>1261.2869746346614</v>
      </c>
      <c r="R167" s="238">
        <f t="shared" si="172"/>
        <v>1343.8338204521538</v>
      </c>
      <c r="S167" s="238">
        <f t="shared" si="172"/>
        <v>1428.1155464044029</v>
      </c>
      <c r="T167" s="238">
        <f t="shared" si="172"/>
        <v>1512.8928287912224</v>
      </c>
      <c r="U167" s="238">
        <f t="shared" si="172"/>
        <v>1599.5340418745325</v>
      </c>
      <c r="V167" s="238">
        <f t="shared" si="172"/>
        <v>1688.1453265720077</v>
      </c>
      <c r="W167" s="234"/>
      <c r="Y167" s="169"/>
      <c r="Z167" s="169"/>
      <c r="AA167" s="169"/>
      <c r="AB167" s="169"/>
      <c r="AC167" s="169"/>
      <c r="AD167" s="169"/>
      <c r="AE167" s="169"/>
      <c r="AF167" s="169"/>
      <c r="AG167" s="169"/>
      <c r="AH167" s="169"/>
      <c r="AI167" s="169"/>
      <c r="AJ167" s="169"/>
      <c r="AK167" s="8"/>
      <c r="AL167" s="8"/>
      <c r="AM167" s="8"/>
    </row>
    <row r="168" spans="1:39" s="9" customFormat="1" ht="15.75">
      <c r="A168" s="171"/>
      <c r="B168" s="191" t="s">
        <v>80</v>
      </c>
      <c r="C168" s="234">
        <f t="shared" ref="C168:K168" si="173">C167-C170</f>
        <v>40.847000000000008</v>
      </c>
      <c r="D168" s="234">
        <f t="shared" si="173"/>
        <v>62.204000000000008</v>
      </c>
      <c r="E168" s="234">
        <f t="shared" si="173"/>
        <v>70.275999999999996</v>
      </c>
      <c r="F168" s="234">
        <f t="shared" si="173"/>
        <v>126.40799999999996</v>
      </c>
      <c r="G168" s="234">
        <f t="shared" si="173"/>
        <v>152.95899999999995</v>
      </c>
      <c r="H168" s="234">
        <f t="shared" si="173"/>
        <v>180.7410000000001</v>
      </c>
      <c r="I168" s="234">
        <f t="shared" si="173"/>
        <v>217.38499999999999</v>
      </c>
      <c r="J168" s="234">
        <f t="shared" si="173"/>
        <v>180.64699999999993</v>
      </c>
      <c r="K168" s="234">
        <f t="shared" si="173"/>
        <v>164.98599999999999</v>
      </c>
      <c r="L168" s="238">
        <f t="shared" ref="L168:V168" si="174">K168+L163</f>
        <v>213.57986101826776</v>
      </c>
      <c r="M168" s="238">
        <f t="shared" si="174"/>
        <v>263.67272267914677</v>
      </c>
      <c r="N168" s="238">
        <f t="shared" si="174"/>
        <v>318.22219358940163</v>
      </c>
      <c r="O168" s="238">
        <f t="shared" si="174"/>
        <v>377.27927845014597</v>
      </c>
      <c r="P168" s="238">
        <f t="shared" si="174"/>
        <v>439.69327290651069</v>
      </c>
      <c r="Q168" s="238">
        <f t="shared" si="174"/>
        <v>505.34918902347346</v>
      </c>
      <c r="R168" s="238">
        <f t="shared" si="174"/>
        <v>574.19300521013258</v>
      </c>
      <c r="S168" s="238">
        <f t="shared" si="174"/>
        <v>646.10418611391162</v>
      </c>
      <c r="T168" s="238">
        <f t="shared" si="174"/>
        <v>721.02699121692513</v>
      </c>
      <c r="U168" s="238">
        <f t="shared" si="174"/>
        <v>798.8411585585236</v>
      </c>
      <c r="V168" s="238">
        <f t="shared" si="174"/>
        <v>879.49848566420621</v>
      </c>
      <c r="W168" s="234"/>
      <c r="Y168" s="169"/>
      <c r="Z168" s="169"/>
      <c r="AA168" s="169"/>
      <c r="AB168" s="169"/>
      <c r="AC168" s="169"/>
      <c r="AD168" s="169"/>
      <c r="AE168" s="169"/>
      <c r="AF168" s="169"/>
      <c r="AG168" s="169"/>
      <c r="AH168" s="169"/>
      <c r="AI168" s="169"/>
      <c r="AJ168" s="169"/>
      <c r="AK168" s="8"/>
      <c r="AL168" s="8"/>
      <c r="AM168" s="8"/>
    </row>
    <row r="169" spans="1:39" s="9" customFormat="1" ht="15.75">
      <c r="A169" s="171"/>
      <c r="B169" s="171" t="s">
        <v>73</v>
      </c>
      <c r="C169" s="234"/>
      <c r="D169" s="234"/>
      <c r="E169" s="234"/>
      <c r="F169" s="234"/>
      <c r="G169" s="234"/>
      <c r="H169" s="234"/>
      <c r="I169" s="234"/>
      <c r="J169" s="234"/>
      <c r="K169" s="234"/>
      <c r="L169" s="234"/>
      <c r="M169" s="234"/>
      <c r="N169" s="234"/>
      <c r="O169" s="234"/>
      <c r="P169" s="234"/>
      <c r="Q169" s="234"/>
      <c r="R169" s="234"/>
      <c r="S169" s="234"/>
      <c r="T169" s="234"/>
      <c r="U169" s="234"/>
      <c r="V169" s="234"/>
      <c r="W169" s="234"/>
      <c r="Y169" s="169"/>
      <c r="Z169" s="169"/>
      <c r="AA169" s="169"/>
      <c r="AB169" s="169"/>
      <c r="AC169" s="169"/>
      <c r="AD169" s="169"/>
      <c r="AE169" s="169"/>
      <c r="AF169" s="169"/>
      <c r="AG169" s="169"/>
      <c r="AH169" s="169"/>
      <c r="AI169" s="169"/>
      <c r="AJ169" s="169"/>
      <c r="AK169" s="8"/>
      <c r="AL169" s="8"/>
      <c r="AM169" s="8"/>
    </row>
    <row r="170" spans="1:39" s="9" customFormat="1" ht="15.75">
      <c r="A170" s="171"/>
      <c r="B170" s="191" t="s">
        <v>81</v>
      </c>
      <c r="C170" s="237">
        <v>35.555999999999997</v>
      </c>
      <c r="D170" s="237">
        <v>17.960999999999999</v>
      </c>
      <c r="E170" s="237">
        <v>12.406000000000001</v>
      </c>
      <c r="F170" s="237">
        <v>449.63200000000001</v>
      </c>
      <c r="G170" s="237">
        <v>690.84100000000001</v>
      </c>
      <c r="H170" s="237">
        <v>701.42499999999995</v>
      </c>
      <c r="I170" s="237">
        <v>1049.1030000000001</v>
      </c>
      <c r="J170" s="237">
        <v>933.03</v>
      </c>
      <c r="K170" s="237">
        <v>673.952</v>
      </c>
      <c r="L170" s="234">
        <f t="shared" ref="L170:Q170" si="175">L167-L168+L169</f>
        <v>651.23730508952963</v>
      </c>
      <c r="M170" s="234">
        <f t="shared" si="175"/>
        <v>678.08459126023263</v>
      </c>
      <c r="N170" s="234">
        <f t="shared" si="175"/>
        <v>701.35582759886597</v>
      </c>
      <c r="O170" s="234">
        <f t="shared" si="175"/>
        <v>721.80402128560809</v>
      </c>
      <c r="P170" s="234">
        <f t="shared" si="175"/>
        <v>739.60230002985008</v>
      </c>
      <c r="Q170" s="234">
        <f t="shared" si="175"/>
        <v>755.93778561118802</v>
      </c>
      <c r="R170" s="234">
        <f t="shared" ref="R170:V170" si="176">R167-R168+R169</f>
        <v>769.64081524202118</v>
      </c>
      <c r="S170" s="234">
        <f t="shared" si="176"/>
        <v>782.01136029049133</v>
      </c>
      <c r="T170" s="234">
        <f t="shared" si="176"/>
        <v>791.8658375742973</v>
      </c>
      <c r="U170" s="234">
        <f t="shared" si="176"/>
        <v>800.69288331600887</v>
      </c>
      <c r="V170" s="234">
        <f t="shared" si="176"/>
        <v>808.64684090780145</v>
      </c>
      <c r="W170" s="234"/>
      <c r="Y170" s="169"/>
      <c r="Z170" s="169"/>
      <c r="AA170" s="169"/>
      <c r="AB170" s="169"/>
      <c r="AC170" s="169"/>
      <c r="AD170" s="169"/>
      <c r="AE170" s="169"/>
      <c r="AF170" s="169"/>
      <c r="AG170" s="169"/>
      <c r="AH170" s="169"/>
      <c r="AI170" s="169"/>
      <c r="AJ170" s="169"/>
      <c r="AK170" s="8"/>
      <c r="AL170" s="8"/>
      <c r="AM170" s="8"/>
    </row>
    <row r="171" spans="1:39" ht="15.75">
      <c r="A171" s="169"/>
      <c r="B171" s="171" t="s">
        <v>13</v>
      </c>
      <c r="C171" s="178"/>
      <c r="D171" s="178">
        <f t="shared" ref="D171:V171" si="177">D170/C170-1</f>
        <v>-0.49485318933513334</v>
      </c>
      <c r="E171" s="178">
        <f t="shared" si="177"/>
        <v>-0.30928122042202544</v>
      </c>
      <c r="F171" s="178">
        <f t="shared" si="177"/>
        <v>35.243108173464449</v>
      </c>
      <c r="G171" s="178">
        <f t="shared" si="177"/>
        <v>0.53645870400683227</v>
      </c>
      <c r="H171" s="178">
        <f t="shared" si="177"/>
        <v>1.5320457239798912E-2</v>
      </c>
      <c r="I171" s="178">
        <f t="shared" si="177"/>
        <v>0.49567380689311058</v>
      </c>
      <c r="J171" s="178">
        <f t="shared" si="177"/>
        <v>-0.11064023265589751</v>
      </c>
      <c r="K171" s="178">
        <f t="shared" si="177"/>
        <v>-0.27767381541858249</v>
      </c>
      <c r="L171" s="178">
        <f t="shared" si="177"/>
        <v>-3.3703728025839208E-2</v>
      </c>
      <c r="M171" s="178">
        <f t="shared" si="177"/>
        <v>4.1225043407198791E-2</v>
      </c>
      <c r="N171" s="178">
        <f t="shared" si="177"/>
        <v>3.4319075582271097E-2</v>
      </c>
      <c r="O171" s="178">
        <f t="shared" si="177"/>
        <v>2.9155234592899593E-2</v>
      </c>
      <c r="P171" s="178">
        <f t="shared" si="177"/>
        <v>2.4658048749217842E-2</v>
      </c>
      <c r="Q171" s="178">
        <f t="shared" si="177"/>
        <v>2.2086850704329475E-2</v>
      </c>
      <c r="R171" s="178">
        <f t="shared" si="177"/>
        <v>1.8127192332043629E-2</v>
      </c>
      <c r="S171" s="178">
        <f t="shared" si="177"/>
        <v>1.6073140617653081E-2</v>
      </c>
      <c r="T171" s="178">
        <f t="shared" si="177"/>
        <v>1.2601450291138239E-2</v>
      </c>
      <c r="U171" s="178">
        <f t="shared" si="177"/>
        <v>1.1147148068353596E-2</v>
      </c>
      <c r="V171" s="178">
        <f t="shared" si="177"/>
        <v>9.9338432469286975E-3</v>
      </c>
      <c r="W171" s="178"/>
      <c r="Y171" s="169"/>
      <c r="Z171" s="169"/>
      <c r="AA171" s="169"/>
      <c r="AB171" s="169"/>
      <c r="AC171" s="169"/>
      <c r="AD171" s="169"/>
      <c r="AE171" s="169"/>
      <c r="AF171" s="169"/>
      <c r="AG171" s="169"/>
      <c r="AH171" s="169"/>
      <c r="AI171" s="169"/>
      <c r="AJ171" s="169"/>
    </row>
    <row r="172" spans="1:39" ht="15.75">
      <c r="A172" s="169"/>
      <c r="B172" s="169"/>
      <c r="C172" s="183"/>
      <c r="D172" s="183"/>
      <c r="E172" s="183"/>
      <c r="F172" s="183"/>
      <c r="G172" s="183"/>
      <c r="H172" s="183"/>
      <c r="I172" s="183"/>
      <c r="J172" s="183"/>
      <c r="K172" s="183"/>
      <c r="L172" s="183"/>
      <c r="M172" s="183"/>
      <c r="N172" s="183"/>
      <c r="O172" s="183"/>
      <c r="P172" s="183"/>
      <c r="Q172" s="183"/>
      <c r="R172" s="183"/>
      <c r="S172" s="183"/>
      <c r="T172" s="183"/>
      <c r="U172" s="183"/>
      <c r="V172" s="183"/>
      <c r="W172" s="183"/>
      <c r="Y172" s="169"/>
      <c r="Z172" s="169"/>
      <c r="AA172" s="169"/>
      <c r="AB172" s="169"/>
      <c r="AC172" s="169"/>
      <c r="AD172" s="169"/>
      <c r="AE172" s="169"/>
      <c r="AF172" s="169"/>
      <c r="AG172" s="169"/>
      <c r="AH172" s="169"/>
      <c r="AI172" s="169"/>
      <c r="AJ172" s="169"/>
    </row>
    <row r="173" spans="1:39" ht="15.75">
      <c r="A173" s="169"/>
      <c r="B173" s="169" t="s">
        <v>37</v>
      </c>
      <c r="C173" s="201"/>
      <c r="D173" s="201"/>
      <c r="E173" s="201"/>
      <c r="F173" s="237">
        <v>518.14099999999996</v>
      </c>
      <c r="G173" s="237">
        <v>656.25599999999997</v>
      </c>
      <c r="H173" s="237">
        <v>869.31899999999996</v>
      </c>
      <c r="I173" s="237">
        <v>763.38800000000003</v>
      </c>
      <c r="J173" s="237">
        <v>619.298</v>
      </c>
      <c r="K173" s="237">
        <v>403.24200000000002</v>
      </c>
      <c r="L173" s="201">
        <f t="shared" ref="L173:O173" si="178">K173</f>
        <v>403.24200000000002</v>
      </c>
      <c r="M173" s="201">
        <f t="shared" si="178"/>
        <v>403.24200000000002</v>
      </c>
      <c r="N173" s="201">
        <f t="shared" si="178"/>
        <v>403.24200000000002</v>
      </c>
      <c r="O173" s="201">
        <f t="shared" si="178"/>
        <v>403.24200000000002</v>
      </c>
      <c r="P173" s="201">
        <f t="shared" ref="P173:V173" si="179">O173</f>
        <v>403.24200000000002</v>
      </c>
      <c r="Q173" s="201">
        <f t="shared" si="179"/>
        <v>403.24200000000002</v>
      </c>
      <c r="R173" s="201">
        <f t="shared" si="179"/>
        <v>403.24200000000002</v>
      </c>
      <c r="S173" s="201">
        <f t="shared" si="179"/>
        <v>403.24200000000002</v>
      </c>
      <c r="T173" s="201">
        <f t="shared" si="179"/>
        <v>403.24200000000002</v>
      </c>
      <c r="U173" s="201">
        <f t="shared" si="179"/>
        <v>403.24200000000002</v>
      </c>
      <c r="V173" s="201">
        <f t="shared" si="179"/>
        <v>403.24200000000002</v>
      </c>
      <c r="W173" s="201"/>
      <c r="Y173" s="169"/>
      <c r="Z173" s="169"/>
      <c r="AA173" s="169"/>
      <c r="AB173" s="169"/>
      <c r="AC173" s="169"/>
      <c r="AD173" s="169"/>
      <c r="AE173" s="169"/>
      <c r="AF173" s="169"/>
      <c r="AG173" s="169"/>
      <c r="AH173" s="169"/>
      <c r="AI173" s="169"/>
      <c r="AJ173" s="169"/>
    </row>
    <row r="174" spans="1:39" ht="15.75">
      <c r="A174" s="169"/>
      <c r="B174" s="169"/>
      <c r="C174" s="201"/>
      <c r="D174" s="201"/>
      <c r="E174" s="201"/>
      <c r="F174" s="201"/>
      <c r="G174" s="201"/>
      <c r="H174" s="201"/>
      <c r="I174" s="201"/>
      <c r="J174" s="201"/>
      <c r="K174" s="201"/>
      <c r="L174" s="201"/>
      <c r="M174" s="201"/>
      <c r="N174" s="201"/>
      <c r="O174" s="201"/>
      <c r="P174" s="201"/>
      <c r="Q174" s="201"/>
      <c r="R174" s="201"/>
      <c r="S174" s="201"/>
      <c r="T174" s="201"/>
      <c r="U174" s="201"/>
      <c r="V174" s="201"/>
      <c r="W174" s="201"/>
      <c r="Y174" s="169"/>
      <c r="Z174" s="169"/>
      <c r="AA174" s="169"/>
      <c r="AB174" s="169"/>
      <c r="AC174" s="169"/>
      <c r="AD174" s="169"/>
      <c r="AE174" s="169"/>
      <c r="AF174" s="169"/>
      <c r="AG174" s="169"/>
      <c r="AH174" s="169"/>
      <c r="AI174" s="169"/>
      <c r="AJ174" s="169"/>
    </row>
    <row r="175" spans="1:39" ht="15.75">
      <c r="A175" s="169"/>
      <c r="B175" s="169"/>
      <c r="C175" s="201"/>
      <c r="D175" s="201"/>
      <c r="E175" s="201"/>
      <c r="F175" s="201"/>
      <c r="G175" s="201"/>
      <c r="H175" s="201"/>
      <c r="I175" s="201"/>
      <c r="J175" s="201"/>
      <c r="K175" s="201"/>
      <c r="L175" s="201"/>
      <c r="M175" s="201"/>
      <c r="N175" s="201"/>
      <c r="O175" s="201"/>
      <c r="P175" s="201"/>
      <c r="Q175" s="201"/>
      <c r="R175" s="201"/>
      <c r="S175" s="201"/>
      <c r="T175" s="201"/>
      <c r="U175" s="201"/>
      <c r="V175" s="201"/>
      <c r="W175" s="201"/>
      <c r="Y175" s="169"/>
      <c r="Z175" s="169"/>
      <c r="AA175" s="169"/>
      <c r="AB175" s="169"/>
      <c r="AC175" s="169"/>
      <c r="AD175" s="169"/>
      <c r="AE175" s="169"/>
      <c r="AF175" s="169"/>
      <c r="AG175" s="169"/>
      <c r="AH175" s="169"/>
      <c r="AI175" s="169"/>
      <c r="AJ175" s="169"/>
    </row>
    <row r="176" spans="1:39" s="9" customFormat="1" ht="15.75">
      <c r="A176" s="171"/>
      <c r="B176" s="186" t="s">
        <v>82</v>
      </c>
      <c r="C176" s="187">
        <f>C158</f>
        <v>2016</v>
      </c>
      <c r="D176" s="187">
        <f t="shared" ref="D176:V176" si="180">C176+1</f>
        <v>2017</v>
      </c>
      <c r="E176" s="187">
        <f t="shared" si="180"/>
        <v>2018</v>
      </c>
      <c r="F176" s="187">
        <f t="shared" si="180"/>
        <v>2019</v>
      </c>
      <c r="G176" s="187">
        <f t="shared" si="180"/>
        <v>2020</v>
      </c>
      <c r="H176" s="187">
        <f t="shared" si="180"/>
        <v>2021</v>
      </c>
      <c r="I176" s="187">
        <f t="shared" si="180"/>
        <v>2022</v>
      </c>
      <c r="J176" s="187">
        <f t="shared" si="180"/>
        <v>2023</v>
      </c>
      <c r="K176" s="187">
        <f t="shared" si="180"/>
        <v>2024</v>
      </c>
      <c r="L176" s="187">
        <f t="shared" si="180"/>
        <v>2025</v>
      </c>
      <c r="M176" s="187">
        <f t="shared" si="180"/>
        <v>2026</v>
      </c>
      <c r="N176" s="187">
        <f t="shared" si="180"/>
        <v>2027</v>
      </c>
      <c r="O176" s="187">
        <f t="shared" si="180"/>
        <v>2028</v>
      </c>
      <c r="P176" s="187">
        <f t="shared" si="180"/>
        <v>2029</v>
      </c>
      <c r="Q176" s="187">
        <f t="shared" si="180"/>
        <v>2030</v>
      </c>
      <c r="R176" s="187">
        <f t="shared" si="180"/>
        <v>2031</v>
      </c>
      <c r="S176" s="187">
        <f t="shared" si="180"/>
        <v>2032</v>
      </c>
      <c r="T176" s="187">
        <f t="shared" si="180"/>
        <v>2033</v>
      </c>
      <c r="U176" s="187">
        <f t="shared" si="180"/>
        <v>2034</v>
      </c>
      <c r="V176" s="187">
        <f t="shared" si="180"/>
        <v>2035</v>
      </c>
      <c r="W176" s="174"/>
      <c r="Y176" s="169"/>
      <c r="Z176" s="169"/>
      <c r="AA176" s="169"/>
      <c r="AB176" s="169"/>
      <c r="AC176" s="169"/>
      <c r="AD176" s="169"/>
      <c r="AE176" s="169"/>
      <c r="AF176" s="169"/>
      <c r="AG176" s="169"/>
      <c r="AH176" s="169"/>
      <c r="AI176" s="169"/>
      <c r="AJ176" s="169"/>
      <c r="AK176" s="8"/>
      <c r="AL176" s="8"/>
      <c r="AM176" s="8"/>
    </row>
    <row r="177" spans="1:36" ht="15.75">
      <c r="A177" s="169"/>
      <c r="B177" s="169" t="s">
        <v>83</v>
      </c>
      <c r="C177" s="240">
        <f>C179-C178</f>
        <v>60.027000000000001</v>
      </c>
      <c r="D177" s="240">
        <f>D179+D178</f>
        <v>102.75700000000001</v>
      </c>
      <c r="E177" s="240">
        <f t="shared" ref="E177:L177" si="181">E179+E178</f>
        <v>107.005</v>
      </c>
      <c r="F177" s="240">
        <f t="shared" si="181"/>
        <v>209.31299999999999</v>
      </c>
      <c r="G177" s="240">
        <f t="shared" si="181"/>
        <v>209.63</v>
      </c>
      <c r="H177" s="240">
        <f t="shared" si="181"/>
        <v>212.10599999999999</v>
      </c>
      <c r="I177" s="240">
        <f t="shared" si="181"/>
        <v>308.44200000000001</v>
      </c>
      <c r="J177" s="240">
        <f t="shared" si="181"/>
        <v>423.99799999999999</v>
      </c>
      <c r="K177" s="240">
        <f t="shared" si="181"/>
        <v>427.99599999999998</v>
      </c>
      <c r="L177" s="240">
        <f t="shared" si="181"/>
        <v>416.65439179946821</v>
      </c>
      <c r="M177" s="240">
        <f t="shared" ref="M177:V177" si="182">M179+M178</f>
        <v>416.65439179946821</v>
      </c>
      <c r="N177" s="240">
        <f t="shared" si="182"/>
        <v>416.65439179946821</v>
      </c>
      <c r="O177" s="240">
        <f t="shared" si="182"/>
        <v>416.65439179946821</v>
      </c>
      <c r="P177" s="240">
        <f t="shared" si="182"/>
        <v>416.65439179946821</v>
      </c>
      <c r="Q177" s="240">
        <f t="shared" si="182"/>
        <v>416.65439179946821</v>
      </c>
      <c r="R177" s="240">
        <f t="shared" si="182"/>
        <v>416.65439179946821</v>
      </c>
      <c r="S177" s="240">
        <f t="shared" si="182"/>
        <v>416.65439179946821</v>
      </c>
      <c r="T177" s="240">
        <f t="shared" si="182"/>
        <v>416.65439179946821</v>
      </c>
      <c r="U177" s="240">
        <f t="shared" si="182"/>
        <v>416.65439179946821</v>
      </c>
      <c r="V177" s="240">
        <f t="shared" si="182"/>
        <v>416.65439179946821</v>
      </c>
      <c r="W177" s="240"/>
      <c r="Y177" s="169"/>
      <c r="Z177" s="169"/>
      <c r="AA177" s="169"/>
      <c r="AB177" s="169"/>
      <c r="AC177" s="169"/>
      <c r="AD177" s="169"/>
      <c r="AE177" s="169"/>
      <c r="AF177" s="169"/>
      <c r="AG177" s="169"/>
      <c r="AH177" s="169"/>
      <c r="AI177" s="169"/>
      <c r="AJ177" s="169"/>
    </row>
    <row r="178" spans="1:36" ht="15.75">
      <c r="A178" s="169"/>
      <c r="B178" s="169" t="s">
        <v>84</v>
      </c>
      <c r="C178" s="240"/>
      <c r="D178" s="240"/>
      <c r="E178" s="240"/>
      <c r="F178" s="240"/>
      <c r="G178" s="240"/>
      <c r="H178" s="240"/>
      <c r="I178" s="240"/>
      <c r="J178" s="240"/>
      <c r="K178" s="240"/>
      <c r="L178" s="249"/>
      <c r="M178" s="249"/>
      <c r="N178" s="249"/>
      <c r="O178" s="249"/>
      <c r="P178" s="249"/>
      <c r="Q178" s="249"/>
      <c r="R178" s="249"/>
      <c r="S178" s="249"/>
      <c r="T178" s="249"/>
      <c r="U178" s="249"/>
      <c r="V178" s="249"/>
      <c r="W178" s="240"/>
      <c r="Y178" s="169"/>
      <c r="Z178" s="169"/>
      <c r="AA178" s="169"/>
      <c r="AB178" s="169"/>
      <c r="AC178" s="169"/>
      <c r="AD178" s="169"/>
      <c r="AE178" s="169"/>
      <c r="AF178" s="169"/>
      <c r="AG178" s="169"/>
      <c r="AH178" s="169"/>
      <c r="AI178" s="169"/>
      <c r="AJ178" s="169"/>
    </row>
    <row r="179" spans="1:36" ht="15.75">
      <c r="A179" s="169"/>
      <c r="B179" s="169" t="s">
        <v>85</v>
      </c>
      <c r="C179" s="201">
        <f>C188</f>
        <v>60.027000000000001</v>
      </c>
      <c r="D179" s="201">
        <f t="shared" ref="D179:K179" si="183">D188</f>
        <v>102.75700000000001</v>
      </c>
      <c r="E179" s="201">
        <f t="shared" si="183"/>
        <v>107.005</v>
      </c>
      <c r="F179" s="201">
        <f t="shared" si="183"/>
        <v>209.31299999999999</v>
      </c>
      <c r="G179" s="201">
        <f t="shared" si="183"/>
        <v>209.63</v>
      </c>
      <c r="H179" s="201">
        <f t="shared" si="183"/>
        <v>212.10599999999999</v>
      </c>
      <c r="I179" s="201">
        <f t="shared" si="183"/>
        <v>308.44200000000001</v>
      </c>
      <c r="J179" s="201">
        <f t="shared" si="183"/>
        <v>423.99799999999999</v>
      </c>
      <c r="K179" s="201">
        <f t="shared" si="183"/>
        <v>427.99599999999998</v>
      </c>
      <c r="L179" s="201">
        <f>L188</f>
        <v>416.65439179946821</v>
      </c>
      <c r="M179" s="201">
        <f t="shared" ref="M179:Q179" si="184">M188</f>
        <v>416.65439179946821</v>
      </c>
      <c r="N179" s="201">
        <f t="shared" si="184"/>
        <v>416.65439179946821</v>
      </c>
      <c r="O179" s="201">
        <f t="shared" si="184"/>
        <v>416.65439179946821</v>
      </c>
      <c r="P179" s="201">
        <f t="shared" si="184"/>
        <v>416.65439179946821</v>
      </c>
      <c r="Q179" s="201">
        <f t="shared" si="184"/>
        <v>416.65439179946821</v>
      </c>
      <c r="R179" s="201">
        <f t="shared" ref="R179:V179" si="185">R188</f>
        <v>416.65439179946821</v>
      </c>
      <c r="S179" s="201">
        <f t="shared" si="185"/>
        <v>416.65439179946821</v>
      </c>
      <c r="T179" s="201">
        <f t="shared" si="185"/>
        <v>416.65439179946821</v>
      </c>
      <c r="U179" s="201">
        <f t="shared" si="185"/>
        <v>416.65439179946821</v>
      </c>
      <c r="V179" s="201">
        <f t="shared" si="185"/>
        <v>416.65439179946821</v>
      </c>
      <c r="W179" s="201"/>
      <c r="Y179" s="169"/>
      <c r="Z179" s="169"/>
      <c r="AA179" s="169"/>
      <c r="AB179" s="169"/>
      <c r="AC179" s="169"/>
      <c r="AD179" s="169"/>
      <c r="AE179" s="169"/>
      <c r="AF179" s="169"/>
      <c r="AG179" s="169"/>
      <c r="AH179" s="169"/>
      <c r="AI179" s="169"/>
      <c r="AJ179" s="169"/>
    </row>
    <row r="180" spans="1:36" ht="15.75">
      <c r="A180" s="169"/>
      <c r="B180" s="169" t="s">
        <v>13</v>
      </c>
      <c r="C180" s="218"/>
      <c r="D180" s="218">
        <f t="shared" ref="D180:V180" si="186">D179/C179-1</f>
        <v>0.71184633581554979</v>
      </c>
      <c r="E180" s="218">
        <f t="shared" si="186"/>
        <v>4.1340249326079936E-2</v>
      </c>
      <c r="F180" s="218">
        <f t="shared" si="186"/>
        <v>0.95610485491332176</v>
      </c>
      <c r="G180" s="218">
        <f t="shared" si="186"/>
        <v>1.5144783171614495E-3</v>
      </c>
      <c r="H180" s="218">
        <f t="shared" si="186"/>
        <v>1.1811286552497302E-2</v>
      </c>
      <c r="I180" s="218">
        <f t="shared" si="186"/>
        <v>0.45418800033945295</v>
      </c>
      <c r="J180" s="218">
        <f t="shared" si="186"/>
        <v>0.37464417945675366</v>
      </c>
      <c r="K180" s="218">
        <f t="shared" si="186"/>
        <v>9.4292897608008186E-3</v>
      </c>
      <c r="L180" s="218">
        <f t="shared" si="186"/>
        <v>-2.6499332237992279E-2</v>
      </c>
      <c r="M180" s="218">
        <f t="shared" si="186"/>
        <v>0</v>
      </c>
      <c r="N180" s="218">
        <f t="shared" si="186"/>
        <v>0</v>
      </c>
      <c r="O180" s="218">
        <f t="shared" si="186"/>
        <v>0</v>
      </c>
      <c r="P180" s="218">
        <f t="shared" si="186"/>
        <v>0</v>
      </c>
      <c r="Q180" s="218">
        <f t="shared" si="186"/>
        <v>0</v>
      </c>
      <c r="R180" s="218">
        <f t="shared" si="186"/>
        <v>0</v>
      </c>
      <c r="S180" s="218">
        <f t="shared" si="186"/>
        <v>0</v>
      </c>
      <c r="T180" s="218">
        <f t="shared" si="186"/>
        <v>0</v>
      </c>
      <c r="U180" s="218">
        <f t="shared" si="186"/>
        <v>0</v>
      </c>
      <c r="V180" s="218">
        <f t="shared" si="186"/>
        <v>0</v>
      </c>
      <c r="W180" s="218"/>
      <c r="Y180" s="169"/>
      <c r="Z180" s="169"/>
      <c r="AA180" s="169"/>
      <c r="AB180" s="169"/>
      <c r="AC180" s="169"/>
      <c r="AD180" s="169"/>
      <c r="AE180" s="169"/>
      <c r="AF180" s="169"/>
      <c r="AG180" s="169"/>
      <c r="AH180" s="169"/>
      <c r="AI180" s="169"/>
      <c r="AJ180" s="169"/>
    </row>
    <row r="181" spans="1:36" ht="15.75">
      <c r="A181" s="169"/>
      <c r="B181" s="169"/>
      <c r="C181" s="183"/>
      <c r="D181" s="183"/>
      <c r="E181" s="183"/>
      <c r="F181" s="183"/>
      <c r="G181" s="183"/>
      <c r="H181" s="183"/>
      <c r="I181" s="183"/>
      <c r="J181" s="183"/>
      <c r="K181" s="183"/>
      <c r="L181" s="183"/>
      <c r="M181" s="183"/>
      <c r="N181" s="183"/>
      <c r="O181" s="183"/>
      <c r="P181" s="183"/>
      <c r="Q181" s="183"/>
      <c r="R181" s="183"/>
      <c r="S181" s="183"/>
      <c r="T181" s="183"/>
      <c r="U181" s="183"/>
      <c r="V181" s="183"/>
      <c r="W181" s="183"/>
      <c r="Y181" s="169"/>
      <c r="Z181" s="169"/>
      <c r="AA181" s="169"/>
      <c r="AB181" s="169"/>
      <c r="AC181" s="169"/>
      <c r="AD181" s="169"/>
      <c r="AE181" s="169"/>
      <c r="AF181" s="169"/>
      <c r="AG181" s="169"/>
      <c r="AH181" s="169"/>
      <c r="AI181" s="169"/>
      <c r="AJ181" s="169"/>
    </row>
    <row r="182" spans="1:36" ht="15.75">
      <c r="A182" s="169"/>
      <c r="B182" s="169"/>
      <c r="C182" s="183"/>
      <c r="D182" s="183"/>
      <c r="E182" s="183"/>
      <c r="F182" s="183"/>
      <c r="G182" s="183"/>
      <c r="H182" s="183"/>
      <c r="I182" s="183"/>
      <c r="J182" s="183"/>
      <c r="K182" s="183"/>
      <c r="L182" s="243">
        <f>AVERAGE(K212:L212)*L184</f>
        <v>28.385020172670647</v>
      </c>
      <c r="M182" s="243">
        <f t="shared" ref="M182:V182" si="187">AVERAGE(L212:M212)*M184</f>
        <v>33.376985133168724</v>
      </c>
      <c r="N182" s="243">
        <f t="shared" si="187"/>
        <v>34.765850757621955</v>
      </c>
      <c r="O182" s="243">
        <f t="shared" si="187"/>
        <v>35.125196480575021</v>
      </c>
      <c r="P182" s="243">
        <f t="shared" si="187"/>
        <v>34.888696185806005</v>
      </c>
      <c r="Q182" s="243">
        <f t="shared" si="187"/>
        <v>34.521887889973932</v>
      </c>
      <c r="R182" s="243">
        <f t="shared" si="187"/>
        <v>34.005031773537063</v>
      </c>
      <c r="S182" s="243">
        <f t="shared" si="187"/>
        <v>33.180469511302775</v>
      </c>
      <c r="T182" s="243">
        <f t="shared" si="187"/>
        <v>32.035318475545189</v>
      </c>
      <c r="U182" s="243">
        <f t="shared" si="187"/>
        <v>30.614977869496141</v>
      </c>
      <c r="V182" s="243">
        <f t="shared" si="187"/>
        <v>28.591254094916987</v>
      </c>
      <c r="W182" s="183"/>
      <c r="Y182" s="169"/>
      <c r="Z182" s="169"/>
      <c r="AA182" s="169"/>
      <c r="AB182" s="169"/>
      <c r="AC182" s="169"/>
      <c r="AD182" s="169"/>
      <c r="AE182" s="169"/>
      <c r="AF182" s="169"/>
      <c r="AG182" s="169"/>
      <c r="AH182" s="169"/>
      <c r="AI182" s="169"/>
      <c r="AJ182" s="169"/>
    </row>
    <row r="183" spans="1:36" ht="15.75">
      <c r="A183" s="169"/>
      <c r="B183" s="169" t="s">
        <v>586</v>
      </c>
      <c r="C183" s="241">
        <v>0.216</v>
      </c>
      <c r="D183" s="241">
        <v>0.70599999999999996</v>
      </c>
      <c r="E183" s="241">
        <v>0.95099999999999996</v>
      </c>
      <c r="F183" s="241">
        <v>14.731999999999999</v>
      </c>
      <c r="G183" s="241">
        <v>5.101</v>
      </c>
      <c r="H183" s="242">
        <v>7.798</v>
      </c>
      <c r="I183" s="242">
        <v>15.17</v>
      </c>
      <c r="J183" s="242">
        <v>25.007999999999999</v>
      </c>
      <c r="K183" s="242">
        <v>18.66</v>
      </c>
      <c r="L183" s="990">
        <v>30.137824547911556</v>
      </c>
      <c r="M183" s="990">
        <v>35.373922568136365</v>
      </c>
      <c r="N183" s="990">
        <v>34.911115662093643</v>
      </c>
      <c r="O183" s="990">
        <v>34.787380697848278</v>
      </c>
      <c r="P183" s="990">
        <v>34.586611066209343</v>
      </c>
      <c r="Q183" s="990">
        <v>34.413686152879151</v>
      </c>
      <c r="R183" s="990">
        <v>34.209238333670896</v>
      </c>
      <c r="S183" s="990">
        <v>33.643120074015734</v>
      </c>
      <c r="T183" s="990">
        <v>32.562905801307728</v>
      </c>
      <c r="U183" s="990">
        <v>31.059620738721147</v>
      </c>
      <c r="V183" s="990">
        <v>28.956619153321764</v>
      </c>
      <c r="W183" s="243"/>
      <c r="Y183" s="169"/>
      <c r="Z183" s="169"/>
      <c r="AA183" s="169"/>
      <c r="AB183" s="169"/>
      <c r="AC183" s="169"/>
      <c r="AD183" s="169"/>
      <c r="AE183" s="169"/>
      <c r="AF183" s="169"/>
      <c r="AG183" s="169"/>
      <c r="AH183" s="169"/>
      <c r="AI183" s="169"/>
      <c r="AJ183" s="169"/>
    </row>
    <row r="184" spans="1:36" ht="15.75">
      <c r="A184" s="169"/>
      <c r="B184" s="169" t="s">
        <v>86</v>
      </c>
      <c r="C184" s="244"/>
      <c r="D184" s="244">
        <f t="shared" ref="D184:K184" si="188">D183/AVERAGE(C212:D212)</f>
        <v>5.5714043332267971E-3</v>
      </c>
      <c r="E184" s="244">
        <f t="shared" si="188"/>
        <v>9.1141278565507189E-3</v>
      </c>
      <c r="F184" s="244">
        <f t="shared" si="188"/>
        <v>2.9828232547639222E-2</v>
      </c>
      <c r="G184" s="244">
        <f t="shared" si="188"/>
        <v>6.873653331249183E-3</v>
      </c>
      <c r="H184" s="244">
        <f t="shared" si="188"/>
        <v>1.0384152382575717E-2</v>
      </c>
      <c r="I184" s="244">
        <f t="shared" si="188"/>
        <v>2.1208388847491131E-2</v>
      </c>
      <c r="J184" s="244">
        <f t="shared" si="188"/>
        <v>6.1908575431890787E-2</v>
      </c>
      <c r="K184" s="244">
        <f t="shared" si="188"/>
        <v>4.2809014670002372E-2</v>
      </c>
      <c r="L184" s="245">
        <f t="shared" ref="L184:V184" si="189">K184+L185</f>
        <v>4.030901467000237E-2</v>
      </c>
      <c r="M184" s="245">
        <f t="shared" si="189"/>
        <v>3.7809014670002368E-2</v>
      </c>
      <c r="N184" s="245">
        <f t="shared" si="189"/>
        <v>3.5309014670002366E-2</v>
      </c>
      <c r="O184" s="245">
        <f t="shared" si="189"/>
        <v>3.2809014670002364E-2</v>
      </c>
      <c r="P184" s="245">
        <f t="shared" si="189"/>
        <v>3.0309014670002365E-2</v>
      </c>
      <c r="Q184" s="245">
        <f t="shared" si="189"/>
        <v>2.7809014670002366E-2</v>
      </c>
      <c r="R184" s="245">
        <f t="shared" si="189"/>
        <v>2.5309014670002367E-2</v>
      </c>
      <c r="S184" s="245">
        <f t="shared" si="189"/>
        <v>2.2809014670002369E-2</v>
      </c>
      <c r="T184" s="245">
        <f t="shared" si="189"/>
        <v>2.030901467000237E-2</v>
      </c>
      <c r="U184" s="245">
        <f t="shared" si="189"/>
        <v>1.7809014670002371E-2</v>
      </c>
      <c r="V184" s="245">
        <f t="shared" si="189"/>
        <v>1.5309014670002371E-2</v>
      </c>
      <c r="W184" s="245"/>
      <c r="Y184" s="169"/>
      <c r="Z184" s="169"/>
      <c r="AA184" s="169"/>
      <c r="AB184" s="169"/>
      <c r="AC184" s="169"/>
      <c r="AD184" s="169"/>
      <c r="AE184" s="169"/>
      <c r="AF184" s="169"/>
      <c r="AG184" s="169"/>
      <c r="AH184" s="169"/>
      <c r="AI184" s="169"/>
      <c r="AJ184" s="169"/>
    </row>
    <row r="185" spans="1:36" ht="15.75">
      <c r="A185" s="169"/>
      <c r="B185" s="169" t="s">
        <v>87</v>
      </c>
      <c r="C185" s="244"/>
      <c r="D185" s="245"/>
      <c r="E185" s="245">
        <f t="shared" ref="E185:I185" si="190">E184-D184</f>
        <v>3.5427235233239217E-3</v>
      </c>
      <c r="F185" s="245">
        <f t="shared" si="190"/>
        <v>2.0714104691088503E-2</v>
      </c>
      <c r="G185" s="245">
        <f t="shared" si="190"/>
        <v>-2.2954579216390041E-2</v>
      </c>
      <c r="H185" s="245">
        <f t="shared" si="190"/>
        <v>3.5104990513265336E-3</v>
      </c>
      <c r="I185" s="245">
        <f t="shared" si="190"/>
        <v>1.0824236464915414E-2</v>
      </c>
      <c r="J185" s="245">
        <f>J184-I184</f>
        <v>4.0700186584399653E-2</v>
      </c>
      <c r="K185" s="245">
        <f>K184-J184</f>
        <v>-1.9099560761888415E-2</v>
      </c>
      <c r="L185" s="236">
        <v>-2.5000000000000001E-3</v>
      </c>
      <c r="M185" s="236">
        <v>-2.5000000000000001E-3</v>
      </c>
      <c r="N185" s="236">
        <v>-2.5000000000000001E-3</v>
      </c>
      <c r="O185" s="236">
        <v>-2.5000000000000001E-3</v>
      </c>
      <c r="P185" s="236">
        <v>-2.5000000000000001E-3</v>
      </c>
      <c r="Q185" s="236">
        <v>-2.5000000000000001E-3</v>
      </c>
      <c r="R185" s="236">
        <v>-2.5000000000000001E-3</v>
      </c>
      <c r="S185" s="236">
        <v>-2.5000000000000001E-3</v>
      </c>
      <c r="T185" s="236">
        <v>-2.5000000000000001E-3</v>
      </c>
      <c r="U185" s="236">
        <v>-2.5000000000000001E-3</v>
      </c>
      <c r="V185" s="236">
        <v>-2.5000000000000001E-3</v>
      </c>
      <c r="W185" s="245"/>
      <c r="Y185" s="169"/>
      <c r="Z185" s="169"/>
      <c r="AA185" s="169"/>
      <c r="AB185" s="169"/>
      <c r="AC185" s="169"/>
      <c r="AD185" s="169"/>
      <c r="AE185" s="169"/>
      <c r="AF185" s="169"/>
      <c r="AG185" s="169"/>
      <c r="AH185" s="169"/>
      <c r="AI185" s="169"/>
      <c r="AJ185" s="169"/>
    </row>
    <row r="186" spans="1:36" ht="15.75">
      <c r="A186" s="169"/>
      <c r="B186" s="169"/>
      <c r="C186" s="183"/>
      <c r="D186" s="183"/>
      <c r="E186" s="183"/>
      <c r="F186" s="183"/>
      <c r="G186" s="183"/>
      <c r="H186" s="183"/>
      <c r="I186" s="183"/>
      <c r="J186" s="183"/>
      <c r="K186" s="183"/>
      <c r="L186" s="183"/>
      <c r="M186" s="183"/>
      <c r="N186" s="183"/>
      <c r="O186" s="183"/>
      <c r="P186" s="183"/>
      <c r="Q186" s="183"/>
      <c r="R186" s="183"/>
      <c r="S186" s="183"/>
      <c r="T186" s="183"/>
      <c r="U186" s="183"/>
      <c r="V186" s="183"/>
      <c r="W186" s="183"/>
      <c r="Y186" s="169"/>
      <c r="Z186" s="169"/>
      <c r="AA186" s="169"/>
      <c r="AB186" s="169"/>
      <c r="AC186" s="169"/>
      <c r="AD186" s="169"/>
      <c r="AE186" s="169"/>
      <c r="AF186" s="169"/>
      <c r="AG186" s="169"/>
      <c r="AH186" s="169"/>
      <c r="AI186" s="169"/>
      <c r="AJ186" s="169"/>
    </row>
    <row r="187" spans="1:36" ht="15.75">
      <c r="A187" s="169"/>
      <c r="B187" s="169"/>
      <c r="C187" s="183"/>
      <c r="D187" s="183"/>
      <c r="E187" s="183"/>
      <c r="F187" s="183"/>
      <c r="G187" s="183"/>
      <c r="H187" s="183"/>
      <c r="I187" s="183"/>
      <c r="J187" s="183"/>
      <c r="K187" s="183"/>
      <c r="L187" s="190">
        <f t="shared" ref="L187:V187" si="191">AVERAGE(K204,L204)*L189</f>
        <v>416.65439179946821</v>
      </c>
      <c r="M187" s="190">
        <f t="shared" si="191"/>
        <v>416.65439179946821</v>
      </c>
      <c r="N187" s="190">
        <f t="shared" si="191"/>
        <v>416.65439179946821</v>
      </c>
      <c r="O187" s="190">
        <f t="shared" si="191"/>
        <v>416.65439179946821</v>
      </c>
      <c r="P187" s="190">
        <f t="shared" si="191"/>
        <v>416.65439179946821</v>
      </c>
      <c r="Q187" s="190">
        <f t="shared" si="191"/>
        <v>416.65439179946821</v>
      </c>
      <c r="R187" s="190">
        <f t="shared" si="191"/>
        <v>416.65439179946821</v>
      </c>
      <c r="S187" s="190">
        <f t="shared" si="191"/>
        <v>416.65439179946821</v>
      </c>
      <c r="T187" s="190">
        <f t="shared" si="191"/>
        <v>416.65439179946821</v>
      </c>
      <c r="U187" s="190">
        <f t="shared" si="191"/>
        <v>416.65439179946821</v>
      </c>
      <c r="V187" s="190">
        <f t="shared" si="191"/>
        <v>416.65439179946821</v>
      </c>
      <c r="W187" s="183"/>
      <c r="Y187" s="169"/>
      <c r="Z187" s="169"/>
      <c r="AA187" s="169"/>
      <c r="AB187" s="169"/>
      <c r="AC187" s="169"/>
      <c r="AD187" s="169"/>
      <c r="AE187" s="169"/>
      <c r="AF187" s="169"/>
      <c r="AG187" s="169"/>
      <c r="AH187" s="169"/>
      <c r="AI187" s="169"/>
      <c r="AJ187" s="169"/>
    </row>
    <row r="188" spans="1:36" ht="15.75">
      <c r="A188" s="169"/>
      <c r="B188" s="169" t="s">
        <v>88</v>
      </c>
      <c r="C188" s="237">
        <v>60.027000000000001</v>
      </c>
      <c r="D188" s="237">
        <v>102.75700000000001</v>
      </c>
      <c r="E188" s="237">
        <v>107.005</v>
      </c>
      <c r="F188" s="237">
        <f>193.289+16.024</f>
        <v>209.31299999999999</v>
      </c>
      <c r="G188" s="237">
        <f>182.246+27.384</f>
        <v>209.63</v>
      </c>
      <c r="H188" s="237">
        <f>179.28+32.826</f>
        <v>212.10599999999999</v>
      </c>
      <c r="I188" s="237">
        <f>256.208+52.234</f>
        <v>308.44200000000001</v>
      </c>
      <c r="J188" s="237">
        <f>362.381+61.617</f>
        <v>423.99799999999999</v>
      </c>
      <c r="K188" s="237">
        <f>359.965+68.031</f>
        <v>427.99599999999998</v>
      </c>
      <c r="L188" s="989">
        <v>416.65439179946821</v>
      </c>
      <c r="M188" s="989">
        <v>416.65439179946821</v>
      </c>
      <c r="N188" s="989">
        <v>416.65439179946821</v>
      </c>
      <c r="O188" s="989">
        <v>416.65439179946821</v>
      </c>
      <c r="P188" s="989">
        <v>416.65439179946821</v>
      </c>
      <c r="Q188" s="989">
        <v>416.65439179946821</v>
      </c>
      <c r="R188" s="989">
        <v>416.65439179946821</v>
      </c>
      <c r="S188" s="989">
        <v>416.65439179946821</v>
      </c>
      <c r="T188" s="989">
        <v>416.65439179946821</v>
      </c>
      <c r="U188" s="989">
        <v>416.65439179946821</v>
      </c>
      <c r="V188" s="989">
        <v>416.65439179946821</v>
      </c>
      <c r="W188" s="979" t="s">
        <v>1155</v>
      </c>
      <c r="Y188" s="169"/>
      <c r="Z188" s="169"/>
      <c r="AA188" s="169"/>
      <c r="AB188" s="169"/>
      <c r="AC188" s="169"/>
      <c r="AD188" s="169"/>
      <c r="AE188" s="169"/>
      <c r="AF188" s="169"/>
      <c r="AG188" s="169"/>
      <c r="AH188" s="169"/>
      <c r="AI188" s="169"/>
      <c r="AJ188" s="169"/>
    </row>
    <row r="189" spans="1:36" ht="15.75">
      <c r="A189" s="169"/>
      <c r="B189" s="169" t="s">
        <v>89</v>
      </c>
      <c r="C189" s="244"/>
      <c r="D189" s="244">
        <f t="shared" ref="D189:K189" si="192">D188/AVERAGE(C204,D204)</f>
        <v>0.16747983248268067</v>
      </c>
      <c r="E189" s="244">
        <f t="shared" si="192"/>
        <v>0.14645920617344613</v>
      </c>
      <c r="F189" s="244">
        <f t="shared" si="192"/>
        <v>0.1401636256798903</v>
      </c>
      <c r="G189" s="244">
        <f t="shared" si="192"/>
        <v>8.8110781770403379E-2</v>
      </c>
      <c r="H189" s="244">
        <f t="shared" si="192"/>
        <v>7.7085347711046054E-2</v>
      </c>
      <c r="I189" s="244">
        <f t="shared" si="192"/>
        <v>8.8950334318603885E-2</v>
      </c>
      <c r="J189" s="244">
        <f t="shared" si="192"/>
        <v>0.10517387195839263</v>
      </c>
      <c r="K189" s="244">
        <f t="shared" si="192"/>
        <v>0.10682095617130147</v>
      </c>
      <c r="L189" s="245">
        <f t="shared" ref="L189:V189" si="193">K189+L190</f>
        <v>0.10682095617130147</v>
      </c>
      <c r="M189" s="245">
        <f t="shared" si="193"/>
        <v>0.10682095617130147</v>
      </c>
      <c r="N189" s="245">
        <f t="shared" si="193"/>
        <v>0.10682095617130147</v>
      </c>
      <c r="O189" s="245">
        <f t="shared" si="193"/>
        <v>0.10682095617130147</v>
      </c>
      <c r="P189" s="245">
        <f t="shared" si="193"/>
        <v>0.10682095617130147</v>
      </c>
      <c r="Q189" s="245">
        <f t="shared" si="193"/>
        <v>0.10682095617130147</v>
      </c>
      <c r="R189" s="245">
        <f t="shared" si="193"/>
        <v>0.10682095617130147</v>
      </c>
      <c r="S189" s="245">
        <f t="shared" si="193"/>
        <v>0.10682095617130147</v>
      </c>
      <c r="T189" s="245">
        <f t="shared" si="193"/>
        <v>0.10682095617130147</v>
      </c>
      <c r="U189" s="245">
        <f t="shared" si="193"/>
        <v>0.10682095617130147</v>
      </c>
      <c r="V189" s="245">
        <f t="shared" si="193"/>
        <v>0.10682095617130147</v>
      </c>
      <c r="W189" s="245"/>
      <c r="X189" s="245"/>
      <c r="Y189" s="169"/>
      <c r="Z189" s="169"/>
      <c r="AA189" s="169"/>
      <c r="AB189" s="169"/>
      <c r="AC189" s="169"/>
      <c r="AD189" s="169"/>
      <c r="AE189" s="169"/>
      <c r="AF189" s="169"/>
      <c r="AG189" s="169"/>
      <c r="AH189" s="169"/>
      <c r="AI189" s="169"/>
      <c r="AJ189" s="169"/>
    </row>
    <row r="190" spans="1:36" ht="15.75">
      <c r="A190" s="169"/>
      <c r="B190" s="169" t="s">
        <v>87</v>
      </c>
      <c r="C190" s="244"/>
      <c r="D190" s="244"/>
      <c r="E190" s="244">
        <f t="shared" ref="E190:K190" si="194">E189-D189</f>
        <v>-2.1020626309234541E-2</v>
      </c>
      <c r="F190" s="244">
        <f t="shared" si="194"/>
        <v>-6.2955804935558302E-3</v>
      </c>
      <c r="G190" s="244">
        <f t="shared" si="194"/>
        <v>-5.2052843909486918E-2</v>
      </c>
      <c r="H190" s="244">
        <f t="shared" si="194"/>
        <v>-1.1025434059357325E-2</v>
      </c>
      <c r="I190" s="244">
        <f t="shared" si="194"/>
        <v>1.1864986607557831E-2</v>
      </c>
      <c r="J190" s="244">
        <f t="shared" si="194"/>
        <v>1.6223537639788746E-2</v>
      </c>
      <c r="K190" s="244">
        <f t="shared" si="194"/>
        <v>1.6470842129088364E-3</v>
      </c>
      <c r="L190" s="236">
        <v>0</v>
      </c>
      <c r="M190" s="236">
        <v>0</v>
      </c>
      <c r="N190" s="236">
        <v>0</v>
      </c>
      <c r="O190" s="236">
        <v>0</v>
      </c>
      <c r="P190" s="236">
        <v>0</v>
      </c>
      <c r="Q190" s="236">
        <v>0</v>
      </c>
      <c r="R190" s="236">
        <v>0</v>
      </c>
      <c r="S190" s="236">
        <v>0</v>
      </c>
      <c r="T190" s="236">
        <v>0</v>
      </c>
      <c r="U190" s="236">
        <v>0</v>
      </c>
      <c r="V190" s="236">
        <v>0</v>
      </c>
      <c r="W190" s="245"/>
      <c r="X190" s="245"/>
      <c r="Y190" s="169"/>
      <c r="Z190" s="169"/>
      <c r="AA190" s="169"/>
      <c r="AB190" s="169"/>
      <c r="AC190" s="169"/>
      <c r="AD190" s="169"/>
      <c r="AE190" s="169"/>
      <c r="AF190" s="169"/>
      <c r="AG190" s="169"/>
      <c r="AH190" s="169"/>
      <c r="AI190" s="169"/>
      <c r="AJ190" s="169"/>
    </row>
    <row r="191" spans="1:36" ht="15.75">
      <c r="A191" s="169"/>
      <c r="B191" s="169"/>
      <c r="C191" s="201"/>
      <c r="D191" s="201"/>
      <c r="E191" s="201"/>
      <c r="F191" s="201"/>
      <c r="G191" s="201"/>
      <c r="H191" s="201"/>
      <c r="I191" s="201"/>
      <c r="J191" s="201"/>
      <c r="K191" s="201"/>
      <c r="L191" s="201"/>
      <c r="M191" s="201"/>
      <c r="N191" s="201"/>
      <c r="O191" s="201"/>
      <c r="P191" s="201"/>
      <c r="Q191" s="201"/>
      <c r="R191" s="201"/>
      <c r="S191" s="201"/>
      <c r="T191" s="201"/>
      <c r="U191" s="201"/>
      <c r="V191" s="201"/>
      <c r="W191" s="245"/>
      <c r="X191" s="245"/>
      <c r="Y191" s="169"/>
      <c r="Z191" s="169"/>
      <c r="AA191" s="169"/>
      <c r="AB191" s="169"/>
      <c r="AC191" s="169"/>
      <c r="AD191" s="169"/>
      <c r="AE191" s="169"/>
      <c r="AF191" s="169"/>
      <c r="AG191" s="169"/>
      <c r="AH191" s="169"/>
      <c r="AI191" s="169"/>
      <c r="AJ191" s="169"/>
    </row>
    <row r="192" spans="1:36" ht="15.75">
      <c r="A192" s="169"/>
      <c r="B192" s="169" t="s">
        <v>1147</v>
      </c>
      <c r="C192" s="201"/>
      <c r="D192" s="201"/>
      <c r="E192" s="201"/>
      <c r="F192" s="180">
        <f>Consolidation!E39</f>
        <v>16.024000000000001</v>
      </c>
      <c r="G192" s="180">
        <f>Consolidation!F39</f>
        <v>27.384</v>
      </c>
      <c r="H192" s="180">
        <f>Consolidation!G39</f>
        <v>32.826000000000001</v>
      </c>
      <c r="I192" s="180">
        <f>Consolidation!H39</f>
        <v>52.234000000000002</v>
      </c>
      <c r="J192" s="180">
        <f>Consolidation!I39</f>
        <v>61.616999999999997</v>
      </c>
      <c r="K192" s="180">
        <f>Consolidation!J39</f>
        <v>68.031000000000006</v>
      </c>
      <c r="L192" s="201">
        <f>Consolidation!K39</f>
        <v>63.818832</v>
      </c>
      <c r="M192" s="201">
        <f>Consolidation!L39</f>
        <v>67.009773600000003</v>
      </c>
      <c r="N192" s="201">
        <f>Consolidation!M39</f>
        <v>70.360262280000001</v>
      </c>
      <c r="O192" s="201">
        <f>Consolidation!N39</f>
        <v>73.878275393999999</v>
      </c>
      <c r="P192" s="201">
        <f>Consolidation!O39</f>
        <v>77.572189163700003</v>
      </c>
      <c r="Q192" s="201">
        <f>Consolidation!P39</f>
        <v>81.450798621884999</v>
      </c>
      <c r="R192" s="201">
        <f>Consolidation!Q39</f>
        <v>85.523338552979268</v>
      </c>
      <c r="S192" s="201">
        <f>Consolidation!R39</f>
        <v>89.799505480628227</v>
      </c>
      <c r="T192" s="201">
        <f>Consolidation!S39</f>
        <v>94.289480754659635</v>
      </c>
      <c r="U192" s="201">
        <f>Consolidation!T39</f>
        <v>99.003954792392619</v>
      </c>
      <c r="V192" s="201">
        <f>Consolidation!U39</f>
        <v>103.95415253201226</v>
      </c>
      <c r="W192" s="245"/>
      <c r="X192" s="245"/>
      <c r="Y192" s="169"/>
      <c r="Z192" s="169"/>
      <c r="AA192" s="169"/>
      <c r="AB192" s="169"/>
      <c r="AC192" s="169"/>
      <c r="AD192" s="169"/>
      <c r="AE192" s="169"/>
      <c r="AF192" s="169"/>
      <c r="AG192" s="169"/>
      <c r="AH192" s="169"/>
      <c r="AI192" s="169"/>
      <c r="AJ192" s="169"/>
    </row>
    <row r="193" spans="1:36" ht="15.75">
      <c r="A193" s="169"/>
      <c r="B193" s="169" t="s">
        <v>1146</v>
      </c>
      <c r="C193" s="201"/>
      <c r="D193" s="201"/>
      <c r="E193" s="201"/>
      <c r="F193" s="198">
        <v>11.634</v>
      </c>
      <c r="G193" s="198">
        <v>19.239000000000001</v>
      </c>
      <c r="H193" s="198">
        <v>32.923000000000002</v>
      </c>
      <c r="I193" s="198">
        <f>36.178</f>
        <v>36.177999999999997</v>
      </c>
      <c r="J193" s="198">
        <f>58.443</f>
        <v>58.442999999999998</v>
      </c>
      <c r="K193" s="198">
        <f>66.041</f>
        <v>66.040999999999997</v>
      </c>
      <c r="L193" s="201">
        <f>L192+L194</f>
        <v>63.818832</v>
      </c>
      <c r="M193" s="201">
        <f t="shared" ref="M193:Q193" si="195">M192+M194</f>
        <v>67.009773600000003</v>
      </c>
      <c r="N193" s="201">
        <f t="shared" si="195"/>
        <v>70.360262280000001</v>
      </c>
      <c r="O193" s="201">
        <f t="shared" si="195"/>
        <v>73.878275393999999</v>
      </c>
      <c r="P193" s="201">
        <f t="shared" si="195"/>
        <v>77.572189163700003</v>
      </c>
      <c r="Q193" s="201">
        <f t="shared" si="195"/>
        <v>81.450798621884999</v>
      </c>
      <c r="R193" s="201">
        <f t="shared" ref="R193:V193" si="196">R192+R194</f>
        <v>85.523338552979268</v>
      </c>
      <c r="S193" s="201">
        <f t="shared" si="196"/>
        <v>89.799505480628227</v>
      </c>
      <c r="T193" s="201">
        <f t="shared" si="196"/>
        <v>94.289480754659635</v>
      </c>
      <c r="U193" s="201">
        <f t="shared" si="196"/>
        <v>99.003954792392619</v>
      </c>
      <c r="V193" s="201">
        <f t="shared" si="196"/>
        <v>103.95415253201226</v>
      </c>
      <c r="W193" s="245"/>
      <c r="X193" s="245"/>
      <c r="Y193" s="169"/>
      <c r="Z193" s="169"/>
      <c r="AA193" s="169"/>
      <c r="AB193" s="169"/>
      <c r="AC193" s="169"/>
      <c r="AD193" s="169"/>
      <c r="AE193" s="169"/>
      <c r="AF193" s="169"/>
      <c r="AG193" s="169"/>
      <c r="AH193" s="169"/>
      <c r="AI193" s="169"/>
      <c r="AJ193" s="169"/>
    </row>
    <row r="194" spans="1:36" ht="15.75">
      <c r="A194" s="169"/>
      <c r="B194" s="8" t="s">
        <v>638</v>
      </c>
      <c r="C194" s="201"/>
      <c r="D194" s="201"/>
      <c r="E194" s="201"/>
      <c r="F194" s="201">
        <f t="shared" ref="F194" si="197">F193-F192</f>
        <v>-4.3900000000000006</v>
      </c>
      <c r="G194" s="201">
        <f t="shared" ref="G194" si="198">G193-G192</f>
        <v>-8.1449999999999996</v>
      </c>
      <c r="H194" s="201">
        <f t="shared" ref="H194" si="199">H193-H192</f>
        <v>9.7000000000001307E-2</v>
      </c>
      <c r="I194" s="201">
        <f t="shared" ref="I194:J194" si="200">I193-I192</f>
        <v>-16.056000000000004</v>
      </c>
      <c r="J194" s="201">
        <f t="shared" si="200"/>
        <v>-3.1739999999999995</v>
      </c>
      <c r="K194" s="201">
        <f>K193-K192</f>
        <v>-1.9900000000000091</v>
      </c>
      <c r="L194" s="988">
        <v>0</v>
      </c>
      <c r="M194" s="988">
        <v>0</v>
      </c>
      <c r="N194" s="988">
        <v>0</v>
      </c>
      <c r="O194" s="988">
        <v>0</v>
      </c>
      <c r="P194" s="988">
        <v>0</v>
      </c>
      <c r="Q194" s="988">
        <v>0</v>
      </c>
      <c r="R194" s="988">
        <v>0</v>
      </c>
      <c r="S194" s="988">
        <v>0</v>
      </c>
      <c r="T194" s="988">
        <v>0</v>
      </c>
      <c r="U194" s="988">
        <v>0</v>
      </c>
      <c r="V194" s="988">
        <v>0</v>
      </c>
      <c r="W194" s="245"/>
      <c r="X194" s="245"/>
      <c r="Y194" s="169"/>
      <c r="Z194" s="169"/>
      <c r="AA194" s="169"/>
      <c r="AB194" s="169"/>
      <c r="AC194" s="169"/>
      <c r="AD194" s="169"/>
      <c r="AE194" s="169"/>
      <c r="AF194" s="169"/>
      <c r="AG194" s="169"/>
      <c r="AH194" s="169"/>
      <c r="AI194" s="169"/>
      <c r="AJ194" s="169"/>
    </row>
    <row r="195" spans="1:36" ht="15.75">
      <c r="A195" s="169"/>
      <c r="B195" s="169"/>
      <c r="C195" s="201"/>
      <c r="D195" s="201"/>
      <c r="E195" s="201"/>
      <c r="F195" s="201"/>
      <c r="G195" s="201"/>
      <c r="H195" s="201"/>
      <c r="I195" s="201"/>
      <c r="J195" s="201"/>
      <c r="K195" s="201"/>
      <c r="L195" s="201"/>
      <c r="M195" s="201"/>
      <c r="N195" s="201"/>
      <c r="O195" s="201"/>
      <c r="P195" s="201"/>
      <c r="Q195" s="201"/>
      <c r="R195" s="201"/>
      <c r="S195" s="201"/>
      <c r="T195" s="201"/>
      <c r="U195" s="201"/>
      <c r="V195" s="201"/>
      <c r="W195" s="245"/>
      <c r="X195" s="245"/>
      <c r="Y195" s="169"/>
      <c r="Z195" s="169"/>
      <c r="AA195" s="169"/>
      <c r="AB195" s="169"/>
      <c r="AC195" s="169"/>
      <c r="AD195" s="169"/>
      <c r="AE195" s="169"/>
      <c r="AF195" s="169"/>
      <c r="AG195" s="169"/>
      <c r="AH195" s="169"/>
      <c r="AI195" s="169"/>
      <c r="AJ195" s="169"/>
    </row>
    <row r="196" spans="1:36" ht="15.75">
      <c r="A196" s="169"/>
      <c r="B196" s="169"/>
      <c r="C196" s="201"/>
      <c r="D196" s="201"/>
      <c r="E196" s="201"/>
      <c r="F196" s="201"/>
      <c r="G196" s="201"/>
      <c r="H196" s="201"/>
      <c r="I196" s="201"/>
      <c r="J196" s="201"/>
      <c r="K196" s="201"/>
      <c r="L196" s="201"/>
      <c r="M196" s="201"/>
      <c r="N196" s="201"/>
      <c r="O196" s="201"/>
      <c r="P196" s="201"/>
      <c r="Q196" s="201"/>
      <c r="R196" s="201"/>
      <c r="S196" s="201"/>
      <c r="T196" s="201"/>
      <c r="U196" s="201"/>
      <c r="V196" s="201"/>
      <c r="W196" s="245"/>
      <c r="X196" s="245"/>
      <c r="Y196" s="169"/>
      <c r="Z196" s="169"/>
      <c r="AA196" s="169"/>
      <c r="AB196" s="169"/>
      <c r="AC196" s="169"/>
      <c r="AD196" s="169"/>
      <c r="AE196" s="169"/>
      <c r="AF196" s="169"/>
      <c r="AG196" s="169"/>
      <c r="AH196" s="169"/>
      <c r="AI196" s="169"/>
      <c r="AJ196" s="169"/>
    </row>
    <row r="197" spans="1:36" ht="15.75">
      <c r="A197" s="169"/>
      <c r="B197" s="169" t="s">
        <v>302</v>
      </c>
      <c r="C197" s="232">
        <v>6.6820000000000004</v>
      </c>
      <c r="D197" s="232">
        <v>21.797000000000001</v>
      </c>
      <c r="E197" s="232">
        <v>-16.831</v>
      </c>
      <c r="F197" s="232">
        <f>0.228+0.053+17.245+3.787-1.712-47.291-1.594-22.153-6.312</f>
        <v>-57.748999999999995</v>
      </c>
      <c r="G197" s="232">
        <f>29.151+4.061+110.655-2.644-363.953-49.564-7.806-0.169</f>
        <v>-280.26899999999995</v>
      </c>
      <c r="H197" s="232">
        <f>9.889+0.604+7.231-4.644-126.131-43.422-18.171-13.663-3.897</f>
        <v>-192.20400000000001</v>
      </c>
      <c r="I197" s="232">
        <f>0.655-12.197-7.084-157.836-206.329-159.889-18.673-1.599</f>
        <v>-562.95200000000011</v>
      </c>
      <c r="J197" s="232">
        <f>0.038+0.163-13.439-9.156-1713.242-162.944-3.76-17.821-92.151</f>
        <v>-2012.3119999999999</v>
      </c>
      <c r="K197" s="232">
        <f>8.147+6.71+0.23-1610.715-23.304-23.209-15.569-12.917-9.191-0.237</f>
        <v>-1680.0550000000001</v>
      </c>
      <c r="L197" s="233">
        <v>0</v>
      </c>
      <c r="M197" s="233">
        <f t="shared" ref="M197:V197" si="201">L197*1.02</f>
        <v>0</v>
      </c>
      <c r="N197" s="233">
        <f t="shared" si="201"/>
        <v>0</v>
      </c>
      <c r="O197" s="233">
        <f t="shared" si="201"/>
        <v>0</v>
      </c>
      <c r="P197" s="233">
        <f t="shared" si="201"/>
        <v>0</v>
      </c>
      <c r="Q197" s="233">
        <f t="shared" si="201"/>
        <v>0</v>
      </c>
      <c r="R197" s="233">
        <f t="shared" si="201"/>
        <v>0</v>
      </c>
      <c r="S197" s="233">
        <f t="shared" si="201"/>
        <v>0</v>
      </c>
      <c r="T197" s="233">
        <f t="shared" si="201"/>
        <v>0</v>
      </c>
      <c r="U197" s="233">
        <f t="shared" si="201"/>
        <v>0</v>
      </c>
      <c r="V197" s="233">
        <f t="shared" si="201"/>
        <v>0</v>
      </c>
      <c r="W197" s="231"/>
      <c r="X197" s="231"/>
      <c r="Y197" s="169"/>
      <c r="Z197" s="169"/>
      <c r="AA197" s="169"/>
      <c r="AB197" s="169"/>
      <c r="AC197" s="169"/>
      <c r="AD197" s="169"/>
      <c r="AE197" s="169"/>
      <c r="AF197" s="169"/>
      <c r="AG197" s="169"/>
      <c r="AH197" s="169"/>
      <c r="AI197" s="169"/>
      <c r="AJ197" s="169"/>
    </row>
    <row r="198" spans="1:36" ht="15.75">
      <c r="A198" s="169"/>
      <c r="B198" s="169"/>
      <c r="C198" s="240"/>
      <c r="D198" s="240"/>
      <c r="E198" s="240"/>
      <c r="F198" s="240"/>
      <c r="G198" s="240"/>
      <c r="H198" s="240"/>
      <c r="I198" s="240"/>
      <c r="J198" s="240"/>
      <c r="K198" s="240"/>
      <c r="L198" s="240"/>
      <c r="M198" s="240"/>
      <c r="N198" s="240"/>
      <c r="O198" s="240"/>
      <c r="P198" s="240"/>
      <c r="Q198" s="240"/>
      <c r="R198" s="240"/>
      <c r="S198" s="240"/>
      <c r="T198" s="240"/>
      <c r="U198" s="240"/>
      <c r="V198" s="240"/>
      <c r="W198" s="240"/>
      <c r="X198" s="240"/>
      <c r="Y198" s="169"/>
      <c r="Z198" s="169"/>
      <c r="AA198" s="169"/>
      <c r="AB198" s="169"/>
      <c r="AC198" s="169"/>
      <c r="AD198" s="169"/>
      <c r="AE198" s="169"/>
      <c r="AF198" s="169"/>
      <c r="AG198" s="169"/>
      <c r="AH198" s="169"/>
      <c r="AI198" s="169"/>
      <c r="AJ198" s="169"/>
    </row>
    <row r="199" spans="1:36" ht="15.75">
      <c r="A199" s="169"/>
      <c r="B199" s="169"/>
      <c r="C199" s="245"/>
      <c r="D199" s="245"/>
      <c r="E199" s="245"/>
      <c r="F199" s="245"/>
      <c r="G199" s="245"/>
      <c r="H199" s="245"/>
      <c r="I199" s="245"/>
      <c r="J199" s="245"/>
      <c r="K199" s="245"/>
      <c r="L199" s="245"/>
      <c r="M199" s="245"/>
      <c r="N199" s="245"/>
      <c r="O199" s="245"/>
      <c r="P199" s="245"/>
      <c r="Q199" s="245"/>
      <c r="R199" s="245"/>
      <c r="S199" s="245"/>
      <c r="T199" s="245"/>
      <c r="U199" s="245"/>
      <c r="V199" s="245"/>
      <c r="W199" s="245"/>
      <c r="X199" s="245"/>
      <c r="Y199" s="169"/>
      <c r="Z199" s="169"/>
      <c r="AA199" s="169"/>
      <c r="AB199" s="169"/>
      <c r="AC199" s="169"/>
      <c r="AD199" s="169"/>
      <c r="AE199" s="169"/>
      <c r="AF199" s="169"/>
      <c r="AG199" s="169"/>
      <c r="AH199" s="169"/>
      <c r="AI199" s="169"/>
      <c r="AJ199" s="169"/>
    </row>
    <row r="200" spans="1:36" ht="15.75">
      <c r="A200" s="169"/>
      <c r="B200" s="171" t="s">
        <v>90</v>
      </c>
      <c r="C200" s="244">
        <f t="shared" ref="C200:Q200" si="202">C179/C202</f>
        <v>0.15860982885770378</v>
      </c>
      <c r="D200" s="244">
        <f t="shared" si="202"/>
        <v>0.21107368075098085</v>
      </c>
      <c r="E200" s="244">
        <f t="shared" si="202"/>
        <v>0.17086094724395806</v>
      </c>
      <c r="F200" s="244">
        <f t="shared" si="202"/>
        <v>0.20942755687360984</v>
      </c>
      <c r="G200" s="244">
        <f t="shared" si="202"/>
        <v>0.12805311977911554</v>
      </c>
      <c r="H200" s="244">
        <f t="shared" si="202"/>
        <v>0.10602005426813617</v>
      </c>
      <c r="I200" s="244">
        <f t="shared" si="202"/>
        <v>0.11206730389302735</v>
      </c>
      <c r="J200" s="244">
        <f t="shared" si="202"/>
        <v>0.11688596672593696</v>
      </c>
      <c r="K200" s="244">
        <f t="shared" si="202"/>
        <v>0.11986073061119042</v>
      </c>
      <c r="L200" s="244">
        <f t="shared" si="202"/>
        <v>0.13035491127010843</v>
      </c>
      <c r="M200" s="244">
        <f t="shared" si="202"/>
        <v>0.13806951961418726</v>
      </c>
      <c r="N200" s="244">
        <f t="shared" si="202"/>
        <v>0.14289166281084908</v>
      </c>
      <c r="O200" s="244">
        <f t="shared" si="202"/>
        <v>0.14723305356723027</v>
      </c>
      <c r="P200" s="244">
        <f t="shared" si="202"/>
        <v>0.15154411857294811</v>
      </c>
      <c r="Q200" s="244">
        <f t="shared" si="202"/>
        <v>0.15668994493558921</v>
      </c>
      <c r="R200" s="244">
        <f t="shared" ref="R200:V200" si="203">R179/R202</f>
        <v>0.16295299000133953</v>
      </c>
      <c r="S200" s="244">
        <f t="shared" si="203"/>
        <v>0.17035614000086907</v>
      </c>
      <c r="T200" s="244">
        <f t="shared" si="203"/>
        <v>0.17935283731022886</v>
      </c>
      <c r="U200" s="244">
        <f t="shared" si="203"/>
        <v>0.19100136351190292</v>
      </c>
      <c r="V200" s="244">
        <f t="shared" si="203"/>
        <v>0.20495729156649775</v>
      </c>
      <c r="W200" s="244"/>
      <c r="X200" s="244"/>
      <c r="Y200" s="169"/>
      <c r="Z200" s="169"/>
      <c r="AA200" s="169"/>
      <c r="AB200" s="169"/>
      <c r="AC200" s="169"/>
      <c r="AD200" s="169"/>
      <c r="AE200" s="169"/>
      <c r="AF200" s="169"/>
      <c r="AG200" s="169"/>
      <c r="AH200" s="169"/>
      <c r="AI200" s="169"/>
      <c r="AJ200" s="169"/>
    </row>
    <row r="201" spans="1:36" ht="15.75">
      <c r="A201" s="169"/>
      <c r="B201" s="171" t="s">
        <v>87</v>
      </c>
      <c r="C201" s="244"/>
      <c r="D201" s="244">
        <f t="shared" ref="D201:J201" si="204">D200-C200</f>
        <v>5.2463851893277069E-2</v>
      </c>
      <c r="E201" s="244">
        <f t="shared" si="204"/>
        <v>-4.0212733507022785E-2</v>
      </c>
      <c r="F201" s="244">
        <f t="shared" si="204"/>
        <v>3.8566609629651777E-2</v>
      </c>
      <c r="G201" s="244">
        <f t="shared" si="204"/>
        <v>-8.1374437094494295E-2</v>
      </c>
      <c r="H201" s="244">
        <f t="shared" si="204"/>
        <v>-2.2033065510979374E-2</v>
      </c>
      <c r="I201" s="244">
        <f t="shared" si="204"/>
        <v>6.047249624891185E-3</v>
      </c>
      <c r="J201" s="244">
        <f t="shared" si="204"/>
        <v>4.8186628329096037E-3</v>
      </c>
      <c r="K201" s="244">
        <f t="shared" ref="K201:V201" si="205">K200-J200</f>
        <v>2.9747638852534591E-3</v>
      </c>
      <c r="L201" s="244">
        <f t="shared" si="205"/>
        <v>1.0494180658918009E-2</v>
      </c>
      <c r="M201" s="244">
        <f t="shared" si="205"/>
        <v>7.7146083440788327E-3</v>
      </c>
      <c r="N201" s="244">
        <f t="shared" si="205"/>
        <v>4.8221431966618267E-3</v>
      </c>
      <c r="O201" s="244">
        <f t="shared" si="205"/>
        <v>4.3413907563811804E-3</v>
      </c>
      <c r="P201" s="244">
        <f t="shared" si="205"/>
        <v>4.3110650057178457E-3</v>
      </c>
      <c r="Q201" s="244">
        <f t="shared" si="205"/>
        <v>5.1458263626411038E-3</v>
      </c>
      <c r="R201" s="244">
        <f t="shared" si="205"/>
        <v>6.2630450657503167E-3</v>
      </c>
      <c r="S201" s="244">
        <f t="shared" si="205"/>
        <v>7.4031499995295402E-3</v>
      </c>
      <c r="T201" s="244">
        <f t="shared" si="205"/>
        <v>8.9966973093597857E-3</v>
      </c>
      <c r="U201" s="244">
        <f t="shared" si="205"/>
        <v>1.1648526201674059E-2</v>
      </c>
      <c r="V201" s="244">
        <f t="shared" si="205"/>
        <v>1.3955928054594835E-2</v>
      </c>
      <c r="W201" s="244"/>
      <c r="X201" s="244"/>
      <c r="Y201" s="169"/>
      <c r="Z201" s="169"/>
      <c r="AA201" s="169"/>
      <c r="AB201" s="169"/>
      <c r="AC201" s="169"/>
      <c r="AD201" s="169"/>
      <c r="AE201" s="169"/>
      <c r="AF201" s="169"/>
      <c r="AG201" s="169"/>
      <c r="AH201" s="169"/>
      <c r="AI201" s="169"/>
      <c r="AJ201" s="169"/>
    </row>
    <row r="202" spans="1:36" ht="15.75">
      <c r="A202" s="169"/>
      <c r="B202" s="171" t="s">
        <v>91</v>
      </c>
      <c r="C202" s="201">
        <f>AVERAGE(C206:C206)</f>
        <v>378.45699999999999</v>
      </c>
      <c r="D202" s="201">
        <f t="shared" ref="D202:J202" si="206">AVERAGE(C206:D206)</f>
        <v>486.83</v>
      </c>
      <c r="E202" s="201">
        <f t="shared" si="206"/>
        <v>626.26949999999999</v>
      </c>
      <c r="F202" s="201">
        <f t="shared" si="206"/>
        <v>999.45300000000009</v>
      </c>
      <c r="G202" s="201">
        <f t="shared" si="206"/>
        <v>1637.0550000000001</v>
      </c>
      <c r="H202" s="201">
        <f t="shared" si="206"/>
        <v>2000.6215000000002</v>
      </c>
      <c r="I202" s="201">
        <f t="shared" si="206"/>
        <v>2752.2925</v>
      </c>
      <c r="J202" s="201">
        <f t="shared" si="206"/>
        <v>3627.45</v>
      </c>
      <c r="K202" s="201">
        <f t="shared" ref="K202:V202" si="207">AVERAGE(J206:K206)</f>
        <v>3570.7775000000001</v>
      </c>
      <c r="L202" s="201">
        <f t="shared" si="207"/>
        <v>3196.3075862643841</v>
      </c>
      <c r="M202" s="201">
        <f t="shared" si="207"/>
        <v>3017.7145032715471</v>
      </c>
      <c r="N202" s="201">
        <f t="shared" si="207"/>
        <v>2915.876151228003</v>
      </c>
      <c r="O202" s="201">
        <f t="shared" si="207"/>
        <v>2829.8971032969407</v>
      </c>
      <c r="P202" s="201">
        <f t="shared" si="207"/>
        <v>2749.3933497584412</v>
      </c>
      <c r="Q202" s="201">
        <f t="shared" si="207"/>
        <v>2659.1010161548211</v>
      </c>
      <c r="R202" s="201">
        <f t="shared" si="207"/>
        <v>2556.8993351766248</v>
      </c>
      <c r="S202" s="201">
        <f t="shared" si="207"/>
        <v>2445.7844125685324</v>
      </c>
      <c r="T202" s="201">
        <f t="shared" si="207"/>
        <v>2323.098970989658</v>
      </c>
      <c r="U202" s="201">
        <f t="shared" si="207"/>
        <v>2181.4210335388675</v>
      </c>
      <c r="V202" s="201">
        <f t="shared" si="207"/>
        <v>2032.8839662885864</v>
      </c>
      <c r="W202" s="201"/>
      <c r="X202" s="201"/>
      <c r="Y202" s="169"/>
      <c r="Z202" s="169"/>
      <c r="AA202" s="169"/>
      <c r="AB202" s="169"/>
      <c r="AC202" s="169"/>
      <c r="AD202" s="169"/>
      <c r="AE202" s="169"/>
      <c r="AF202" s="169"/>
      <c r="AG202" s="169"/>
      <c r="AH202" s="169"/>
      <c r="AI202" s="169"/>
      <c r="AJ202" s="169"/>
    </row>
    <row r="203" spans="1:36" ht="15.75">
      <c r="A203" s="169"/>
      <c r="B203" s="171"/>
      <c r="C203" s="183"/>
      <c r="D203" s="183"/>
      <c r="E203" s="183"/>
      <c r="F203" s="183"/>
      <c r="G203" s="246"/>
      <c r="H203" s="183"/>
      <c r="I203" s="183"/>
      <c r="J203" s="183"/>
      <c r="K203" s="183"/>
      <c r="L203" s="183"/>
      <c r="M203" s="183"/>
      <c r="N203" s="183"/>
      <c r="O203" s="183"/>
      <c r="P203" s="183"/>
      <c r="Q203" s="183"/>
      <c r="R203" s="183"/>
      <c r="S203" s="183"/>
      <c r="T203" s="183"/>
      <c r="U203" s="183"/>
      <c r="V203" s="183"/>
      <c r="W203" s="183"/>
      <c r="X203" s="183"/>
      <c r="Y203" s="169"/>
      <c r="Z203" s="169"/>
      <c r="AA203" s="169"/>
      <c r="AB203" s="169"/>
      <c r="AC203" s="169"/>
      <c r="AD203" s="169"/>
      <c r="AE203" s="169"/>
      <c r="AF203" s="169"/>
      <c r="AG203" s="169"/>
      <c r="AH203" s="169"/>
      <c r="AI203" s="169"/>
      <c r="AJ203" s="169"/>
    </row>
    <row r="204" spans="1:36" ht="15.75">
      <c r="A204" s="169"/>
      <c r="B204" s="169" t="s">
        <v>92</v>
      </c>
      <c r="C204" s="201">
        <f t="shared" ref="C204:L204" si="208">SUM(C209:C210)</f>
        <v>512.19399999999996</v>
      </c>
      <c r="D204" s="201">
        <f t="shared" si="208"/>
        <v>714.90300000000002</v>
      </c>
      <c r="E204" s="201">
        <f t="shared" si="208"/>
        <v>746.32299999999998</v>
      </c>
      <c r="F204" s="201">
        <f t="shared" si="208"/>
        <v>2240.3720000000003</v>
      </c>
      <c r="G204" s="201">
        <f t="shared" si="208"/>
        <v>2517.9560000000001</v>
      </c>
      <c r="H204" s="201">
        <f t="shared" si="208"/>
        <v>2985.1910000000003</v>
      </c>
      <c r="I204" s="201">
        <f t="shared" si="208"/>
        <v>3949.9599999999996</v>
      </c>
      <c r="J204" s="201">
        <f t="shared" si="208"/>
        <v>4112.8410000000003</v>
      </c>
      <c r="K204" s="201">
        <f>SUM(K209:K210)</f>
        <v>3900.4930000000004</v>
      </c>
      <c r="L204" s="201">
        <f t="shared" si="208"/>
        <v>3900.4930000000004</v>
      </c>
      <c r="M204" s="201">
        <f t="shared" ref="M204:V204" si="209">SUM(M209:M210)</f>
        <v>3900.4930000000004</v>
      </c>
      <c r="N204" s="201">
        <f t="shared" si="209"/>
        <v>3900.4930000000004</v>
      </c>
      <c r="O204" s="201">
        <f t="shared" si="209"/>
        <v>3900.4930000000004</v>
      </c>
      <c r="P204" s="201">
        <f t="shared" si="209"/>
        <v>3900.4930000000004</v>
      </c>
      <c r="Q204" s="201">
        <f t="shared" si="209"/>
        <v>3900.4930000000004</v>
      </c>
      <c r="R204" s="201">
        <f t="shared" si="209"/>
        <v>3900.4930000000004</v>
      </c>
      <c r="S204" s="201">
        <f t="shared" si="209"/>
        <v>3900.4930000000004</v>
      </c>
      <c r="T204" s="201">
        <f t="shared" si="209"/>
        <v>3900.4930000000004</v>
      </c>
      <c r="U204" s="201">
        <f t="shared" si="209"/>
        <v>3900.4930000000004</v>
      </c>
      <c r="V204" s="201">
        <f t="shared" si="209"/>
        <v>3900.4930000000004</v>
      </c>
      <c r="W204" s="201"/>
      <c r="X204" s="201"/>
      <c r="Y204" s="169"/>
      <c r="Z204" s="169"/>
      <c r="AA204" s="169"/>
      <c r="AB204" s="169"/>
      <c r="AC204" s="169"/>
      <c r="AD204" s="169"/>
      <c r="AE204" s="169"/>
      <c r="AF204" s="169"/>
      <c r="AG204" s="169"/>
      <c r="AH204" s="169"/>
      <c r="AI204" s="169"/>
      <c r="AJ204" s="169"/>
    </row>
    <row r="205" spans="1:36" ht="15.75">
      <c r="A205" s="169"/>
      <c r="B205" s="169" t="s">
        <v>93</v>
      </c>
      <c r="C205" s="247">
        <f t="shared" ref="C205:K205" si="210">C212</f>
        <v>133.73699999999999</v>
      </c>
      <c r="D205" s="247">
        <f t="shared" si="210"/>
        <v>119.7</v>
      </c>
      <c r="E205" s="247">
        <f t="shared" si="210"/>
        <v>88.986999999999995</v>
      </c>
      <c r="F205" s="247">
        <f t="shared" si="210"/>
        <v>898.80200000000002</v>
      </c>
      <c r="G205" s="247">
        <f t="shared" si="210"/>
        <v>585.41600000000005</v>
      </c>
      <c r="H205" s="247">
        <f t="shared" si="210"/>
        <v>916.48800000000006</v>
      </c>
      <c r="I205" s="247">
        <f t="shared" si="210"/>
        <v>514.07799999999997</v>
      </c>
      <c r="J205" s="247">
        <f t="shared" si="210"/>
        <v>293.82299999999998</v>
      </c>
      <c r="K205" s="247">
        <f t="shared" si="210"/>
        <v>577.95600000000002</v>
      </c>
      <c r="L205" s="247">
        <f t="shared" ref="L205:Q205" si="211">L204-L206</f>
        <v>830.41482747123246</v>
      </c>
      <c r="M205" s="247">
        <f t="shared" si="211"/>
        <v>935.14216598567373</v>
      </c>
      <c r="N205" s="247">
        <f t="shared" si="211"/>
        <v>1034.0915315583211</v>
      </c>
      <c r="O205" s="247">
        <f t="shared" si="211"/>
        <v>1107.1002618477983</v>
      </c>
      <c r="P205" s="247">
        <f t="shared" si="211"/>
        <v>1195.0990386353201</v>
      </c>
      <c r="Q205" s="247">
        <f t="shared" si="211"/>
        <v>1287.6849290550385</v>
      </c>
      <c r="R205" s="247">
        <f t="shared" ref="R205:V205" si="212">R204-R206</f>
        <v>1399.502400591713</v>
      </c>
      <c r="S205" s="247">
        <f t="shared" si="212"/>
        <v>1509.9147742712225</v>
      </c>
      <c r="T205" s="247">
        <f t="shared" si="212"/>
        <v>1644.8732837494622</v>
      </c>
      <c r="U205" s="247">
        <f t="shared" si="212"/>
        <v>1793.2706491728036</v>
      </c>
      <c r="V205" s="247">
        <f t="shared" si="212"/>
        <v>1941.9474182500244</v>
      </c>
      <c r="W205" s="683"/>
      <c r="X205" s="683"/>
      <c r="Y205" s="169"/>
      <c r="Z205" s="169"/>
      <c r="AA205" s="169"/>
      <c r="AB205" s="169"/>
      <c r="AC205" s="169"/>
      <c r="AD205" s="169"/>
      <c r="AE205" s="169"/>
      <c r="AF205" s="169"/>
      <c r="AG205" s="169"/>
      <c r="AH205" s="169"/>
      <c r="AI205" s="169"/>
      <c r="AJ205" s="169"/>
    </row>
    <row r="206" spans="1:36" ht="15.75">
      <c r="A206" s="169"/>
      <c r="B206" s="173" t="s">
        <v>94</v>
      </c>
      <c r="C206" s="188">
        <f t="shared" ref="C206:K206" si="213">C204-C205</f>
        <v>378.45699999999999</v>
      </c>
      <c r="D206" s="188">
        <f t="shared" si="213"/>
        <v>595.20299999999997</v>
      </c>
      <c r="E206" s="188">
        <f t="shared" si="213"/>
        <v>657.33600000000001</v>
      </c>
      <c r="F206" s="188">
        <f t="shared" si="213"/>
        <v>1341.5700000000002</v>
      </c>
      <c r="G206" s="188">
        <f t="shared" si="213"/>
        <v>1932.54</v>
      </c>
      <c r="H206" s="188">
        <f t="shared" si="213"/>
        <v>2068.7030000000004</v>
      </c>
      <c r="I206" s="188">
        <f t="shared" si="213"/>
        <v>3435.8819999999996</v>
      </c>
      <c r="J206" s="188">
        <f t="shared" si="213"/>
        <v>3819.0180000000005</v>
      </c>
      <c r="K206" s="188">
        <f t="shared" si="213"/>
        <v>3322.5370000000003</v>
      </c>
      <c r="L206" s="188">
        <f t="shared" ref="L206:V206" si="214">L121</f>
        <v>3070.0781725287679</v>
      </c>
      <c r="M206" s="188">
        <f t="shared" si="214"/>
        <v>2965.3508340143267</v>
      </c>
      <c r="N206" s="188">
        <f t="shared" si="214"/>
        <v>2866.4014684416793</v>
      </c>
      <c r="O206" s="188">
        <f t="shared" si="214"/>
        <v>2793.3927381522021</v>
      </c>
      <c r="P206" s="188">
        <f t="shared" si="214"/>
        <v>2705.3939613646803</v>
      </c>
      <c r="Q206" s="188">
        <f t="shared" si="214"/>
        <v>2612.8080709449619</v>
      </c>
      <c r="R206" s="188">
        <f t="shared" si="214"/>
        <v>2500.9905994082874</v>
      </c>
      <c r="S206" s="188">
        <f t="shared" si="214"/>
        <v>2390.5782257287779</v>
      </c>
      <c r="T206" s="188">
        <f t="shared" si="214"/>
        <v>2255.6197162505382</v>
      </c>
      <c r="U206" s="188">
        <f t="shared" si="214"/>
        <v>2107.2223508271968</v>
      </c>
      <c r="V206" s="188">
        <f t="shared" si="214"/>
        <v>1958.545581749976</v>
      </c>
      <c r="W206" s="188"/>
      <c r="X206" s="188"/>
      <c r="Y206" s="169"/>
      <c r="Z206" s="169"/>
      <c r="AA206" s="169"/>
      <c r="AB206" s="169"/>
      <c r="AC206" s="169"/>
      <c r="AD206" s="169"/>
      <c r="AE206" s="169"/>
      <c r="AF206" s="169"/>
      <c r="AG206" s="169"/>
      <c r="AH206" s="169"/>
      <c r="AI206" s="169"/>
      <c r="AJ206" s="169"/>
    </row>
    <row r="207" spans="1:36" ht="15.75">
      <c r="A207" s="169"/>
      <c r="B207" s="171" t="s">
        <v>95</v>
      </c>
      <c r="C207" s="185">
        <f t="shared" ref="C207:V207" si="215">C205/C11</f>
        <v>0.20511809815950918</v>
      </c>
      <c r="D207" s="185">
        <f t="shared" si="215"/>
        <v>0.14579780755176613</v>
      </c>
      <c r="E207" s="185">
        <f t="shared" si="215"/>
        <v>0.10435909464055353</v>
      </c>
      <c r="F207" s="185">
        <f t="shared" si="215"/>
        <v>0.73010651018312733</v>
      </c>
      <c r="G207" s="185">
        <f t="shared" si="215"/>
        <v>0.41721317200201269</v>
      </c>
      <c r="H207" s="185">
        <f t="shared" si="215"/>
        <v>0.58015483658599898</v>
      </c>
      <c r="I207" s="185">
        <f t="shared" si="215"/>
        <v>0.2621109784892563</v>
      </c>
      <c r="J207" s="185">
        <f t="shared" si="215"/>
        <v>0.13823458426309751</v>
      </c>
      <c r="K207" s="185">
        <f t="shared" si="215"/>
        <v>0.33774401379128988</v>
      </c>
      <c r="L207" s="185">
        <f t="shared" si="215"/>
        <v>0.48132240274602484</v>
      </c>
      <c r="M207" s="185">
        <f t="shared" si="215"/>
        <v>0.52067763612421802</v>
      </c>
      <c r="N207" s="185">
        <f t="shared" si="215"/>
        <v>0.5389628334554607</v>
      </c>
      <c r="O207" s="185">
        <f t="shared" si="215"/>
        <v>0.54407057269285164</v>
      </c>
      <c r="P207" s="185">
        <f t="shared" si="215"/>
        <v>0.55379436131136606</v>
      </c>
      <c r="Q207" s="185">
        <f t="shared" si="215"/>
        <v>0.56351357082700637</v>
      </c>
      <c r="R207" s="185">
        <f t="shared" si="215"/>
        <v>0.58049503518506651</v>
      </c>
      <c r="S207" s="185">
        <f t="shared" si="215"/>
        <v>0.59459810982253358</v>
      </c>
      <c r="T207" s="185">
        <f t="shared" si="215"/>
        <v>0.61486554501013113</v>
      </c>
      <c r="U207" s="185">
        <f t="shared" si="215"/>
        <v>0.6362376263646462</v>
      </c>
      <c r="V207" s="185">
        <f t="shared" si="215"/>
        <v>0.65383259415092965</v>
      </c>
      <c r="W207" s="185"/>
      <c r="X207" s="185"/>
      <c r="Y207" s="171"/>
      <c r="Z207" s="171"/>
      <c r="AA207" s="169"/>
      <c r="AB207" s="169"/>
      <c r="AC207" s="169"/>
      <c r="AD207" s="169"/>
      <c r="AE207" s="169"/>
      <c r="AF207" s="169"/>
      <c r="AG207" s="169"/>
      <c r="AH207" s="169"/>
      <c r="AI207" s="169"/>
      <c r="AJ207" s="169"/>
    </row>
    <row r="208" spans="1:36" ht="15.75">
      <c r="A208" s="169"/>
      <c r="B208" s="169"/>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73"/>
      <c r="Z208" s="173"/>
      <c r="AA208" s="169"/>
      <c r="AB208" s="169"/>
      <c r="AC208" s="169"/>
      <c r="AD208" s="169"/>
      <c r="AE208" s="169"/>
      <c r="AF208" s="169"/>
      <c r="AG208" s="169"/>
      <c r="AH208" s="169"/>
      <c r="AI208" s="169"/>
      <c r="AJ208" s="169"/>
    </row>
    <row r="209" spans="1:39" ht="15.75">
      <c r="A209" s="169"/>
      <c r="B209" s="248" t="s">
        <v>96</v>
      </c>
      <c r="C209" s="232">
        <f>60.516+20.934</f>
        <v>81.45</v>
      </c>
      <c r="D209" s="232">
        <f>17.254+20.452</f>
        <v>37.706000000000003</v>
      </c>
      <c r="E209" s="232">
        <f>17.254+19.559</f>
        <v>36.813000000000002</v>
      </c>
      <c r="F209" s="232">
        <f>105.167+16.834</f>
        <v>122.001</v>
      </c>
      <c r="G209" s="232">
        <f>186.119+28.246</f>
        <v>214.36500000000001</v>
      </c>
      <c r="H209" s="232">
        <f>207.619+50.56</f>
        <v>258.17899999999997</v>
      </c>
      <c r="I209" s="232">
        <f>438.114+87.24</f>
        <v>525.35399999999993</v>
      </c>
      <c r="J209" s="232">
        <f>454.151+91.156</f>
        <v>545.30700000000002</v>
      </c>
      <c r="K209" s="232">
        <f>128.734+82.068</f>
        <v>210.80200000000002</v>
      </c>
      <c r="L209" s="249">
        <f t="shared" ref="L209:V209" si="216">K209</f>
        <v>210.80200000000002</v>
      </c>
      <c r="M209" s="249">
        <f t="shared" si="216"/>
        <v>210.80200000000002</v>
      </c>
      <c r="N209" s="249">
        <f t="shared" si="216"/>
        <v>210.80200000000002</v>
      </c>
      <c r="O209" s="249">
        <f t="shared" si="216"/>
        <v>210.80200000000002</v>
      </c>
      <c r="P209" s="249">
        <f t="shared" si="216"/>
        <v>210.80200000000002</v>
      </c>
      <c r="Q209" s="249">
        <f t="shared" si="216"/>
        <v>210.80200000000002</v>
      </c>
      <c r="R209" s="249">
        <f t="shared" si="216"/>
        <v>210.80200000000002</v>
      </c>
      <c r="S209" s="249">
        <f t="shared" si="216"/>
        <v>210.80200000000002</v>
      </c>
      <c r="T209" s="249">
        <f t="shared" si="216"/>
        <v>210.80200000000002</v>
      </c>
      <c r="U209" s="249">
        <f t="shared" si="216"/>
        <v>210.80200000000002</v>
      </c>
      <c r="V209" s="249">
        <f t="shared" si="216"/>
        <v>210.80200000000002</v>
      </c>
      <c r="W209" s="240"/>
      <c r="X209" s="240"/>
      <c r="Y209" s="169"/>
      <c r="Z209" s="169"/>
      <c r="AA209" s="169"/>
      <c r="AB209" s="169"/>
      <c r="AC209" s="169"/>
      <c r="AD209" s="169"/>
      <c r="AE209" s="169"/>
      <c r="AF209" s="169"/>
      <c r="AG209" s="169"/>
      <c r="AH209" s="169"/>
      <c r="AI209" s="169"/>
      <c r="AJ209" s="169"/>
    </row>
    <row r="210" spans="1:39" ht="15.75">
      <c r="A210" s="169"/>
      <c r="B210" s="248" t="s">
        <v>97</v>
      </c>
      <c r="C210" s="232">
        <f>340.633+90.111</f>
        <v>430.74399999999997</v>
      </c>
      <c r="D210" s="232">
        <f>581.1+96.097</f>
        <v>677.197</v>
      </c>
      <c r="E210" s="232">
        <f>610.79+98.72</f>
        <v>709.51</v>
      </c>
      <c r="F210" s="232">
        <f>1950.711+167.66</f>
        <v>2118.3710000000001</v>
      </c>
      <c r="G210" s="232">
        <f>2017.09+286.501</f>
        <v>2303.5909999999999</v>
      </c>
      <c r="H210" s="232">
        <f>2401.471+325.541</f>
        <v>2727.0120000000002</v>
      </c>
      <c r="I210" s="232">
        <f>2906.288+518.318</f>
        <v>3424.6059999999998</v>
      </c>
      <c r="J210" s="232">
        <f>3056.696+510.838</f>
        <v>3567.5340000000001</v>
      </c>
      <c r="K210" s="232">
        <f>3219.215+470.476</f>
        <v>3689.6910000000003</v>
      </c>
      <c r="L210" s="249">
        <f t="shared" ref="L210:V210" si="217">K210</f>
        <v>3689.6910000000003</v>
      </c>
      <c r="M210" s="249">
        <f t="shared" si="217"/>
        <v>3689.6910000000003</v>
      </c>
      <c r="N210" s="249">
        <f t="shared" si="217"/>
        <v>3689.6910000000003</v>
      </c>
      <c r="O210" s="249">
        <f t="shared" si="217"/>
        <v>3689.6910000000003</v>
      </c>
      <c r="P210" s="249">
        <f t="shared" si="217"/>
        <v>3689.6910000000003</v>
      </c>
      <c r="Q210" s="249">
        <f t="shared" si="217"/>
        <v>3689.6910000000003</v>
      </c>
      <c r="R210" s="249">
        <f t="shared" si="217"/>
        <v>3689.6910000000003</v>
      </c>
      <c r="S210" s="249">
        <f t="shared" si="217"/>
        <v>3689.6910000000003</v>
      </c>
      <c r="T210" s="249">
        <f t="shared" si="217"/>
        <v>3689.6910000000003</v>
      </c>
      <c r="U210" s="249">
        <f t="shared" si="217"/>
        <v>3689.6910000000003</v>
      </c>
      <c r="V210" s="249">
        <f t="shared" si="217"/>
        <v>3689.6910000000003</v>
      </c>
      <c r="W210" s="240"/>
      <c r="X210" s="240"/>
      <c r="Y210" s="171"/>
      <c r="Z210" s="171"/>
      <c r="AA210" s="169"/>
      <c r="AB210" s="169"/>
      <c r="AC210" s="169"/>
      <c r="AD210" s="169"/>
      <c r="AE210" s="169"/>
      <c r="AF210" s="169"/>
      <c r="AG210" s="169"/>
      <c r="AH210" s="169"/>
      <c r="AI210" s="169"/>
      <c r="AJ210" s="169"/>
    </row>
    <row r="211" spans="1:39" ht="15.75">
      <c r="A211" s="169"/>
      <c r="B211" s="169"/>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69"/>
      <c r="Z211" s="169"/>
      <c r="AA211" s="169"/>
      <c r="AB211" s="169"/>
      <c r="AC211" s="169"/>
      <c r="AD211" s="169"/>
      <c r="AE211" s="169"/>
      <c r="AF211" s="169"/>
      <c r="AG211" s="169"/>
      <c r="AH211" s="169"/>
      <c r="AI211" s="169"/>
      <c r="AJ211" s="169"/>
    </row>
    <row r="212" spans="1:39" ht="15.75">
      <c r="A212" s="169"/>
      <c r="B212" s="169" t="s">
        <v>98</v>
      </c>
      <c r="C212" s="237">
        <v>133.73699999999999</v>
      </c>
      <c r="D212" s="237">
        <v>119.7</v>
      </c>
      <c r="E212" s="237">
        <v>88.986999999999995</v>
      </c>
      <c r="F212" s="237">
        <v>898.80200000000002</v>
      </c>
      <c r="G212" s="237">
        <v>585.41600000000005</v>
      </c>
      <c r="H212" s="237">
        <v>916.48800000000006</v>
      </c>
      <c r="I212" s="237">
        <v>514.07799999999997</v>
      </c>
      <c r="J212" s="237">
        <v>293.82299999999998</v>
      </c>
      <c r="K212" s="237">
        <v>577.95600000000002</v>
      </c>
      <c r="L212" s="201">
        <f t="shared" ref="L212:Q212" si="218">L205</f>
        <v>830.41482747123246</v>
      </c>
      <c r="M212" s="201">
        <f t="shared" si="218"/>
        <v>935.14216598567373</v>
      </c>
      <c r="N212" s="201">
        <f t="shared" si="218"/>
        <v>1034.0915315583211</v>
      </c>
      <c r="O212" s="201">
        <f t="shared" si="218"/>
        <v>1107.1002618477983</v>
      </c>
      <c r="P212" s="201">
        <f t="shared" si="218"/>
        <v>1195.0990386353201</v>
      </c>
      <c r="Q212" s="201">
        <f t="shared" si="218"/>
        <v>1287.6849290550385</v>
      </c>
      <c r="R212" s="201">
        <f t="shared" ref="R212:V212" si="219">R205</f>
        <v>1399.502400591713</v>
      </c>
      <c r="S212" s="201">
        <f t="shared" si="219"/>
        <v>1509.9147742712225</v>
      </c>
      <c r="T212" s="201">
        <f t="shared" si="219"/>
        <v>1644.8732837494622</v>
      </c>
      <c r="U212" s="201">
        <f t="shared" si="219"/>
        <v>1793.2706491728036</v>
      </c>
      <c r="V212" s="201">
        <f t="shared" si="219"/>
        <v>1941.9474182500244</v>
      </c>
      <c r="W212" s="201"/>
      <c r="X212" s="201"/>
      <c r="Y212" s="171"/>
      <c r="Z212" s="171"/>
      <c r="AA212" s="169"/>
      <c r="AB212" s="169"/>
      <c r="AC212" s="169"/>
      <c r="AD212" s="169"/>
      <c r="AE212" s="169"/>
      <c r="AF212" s="169"/>
      <c r="AG212" s="169"/>
      <c r="AH212" s="169"/>
      <c r="AI212" s="169"/>
      <c r="AJ212" s="169"/>
    </row>
    <row r="213" spans="1:39" ht="15.75">
      <c r="A213" s="169"/>
      <c r="B213" s="169"/>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71"/>
      <c r="Z213" s="171"/>
      <c r="AA213" s="169"/>
      <c r="AB213" s="169"/>
      <c r="AC213" s="169"/>
      <c r="AD213" s="169"/>
      <c r="AE213" s="169"/>
      <c r="AF213" s="169"/>
      <c r="AG213" s="169"/>
      <c r="AH213" s="169"/>
      <c r="AI213" s="169"/>
      <c r="AJ213" s="169"/>
    </row>
    <row r="214" spans="1:39" ht="15.75">
      <c r="A214" s="169"/>
      <c r="B214" s="169"/>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71"/>
      <c r="Z214" s="171"/>
      <c r="AA214" s="171"/>
      <c r="AB214" s="171"/>
      <c r="AC214" s="169"/>
      <c r="AD214" s="171"/>
      <c r="AE214" s="171"/>
      <c r="AF214" s="171"/>
      <c r="AG214" s="171"/>
      <c r="AH214" s="169"/>
      <c r="AI214" s="169"/>
      <c r="AJ214" s="169"/>
    </row>
    <row r="215" spans="1:39" s="9" customFormat="1" ht="15.75">
      <c r="A215" s="171"/>
      <c r="B215" s="186" t="s">
        <v>100</v>
      </c>
      <c r="C215" s="187">
        <v>2016</v>
      </c>
      <c r="D215" s="187">
        <f t="shared" ref="D215:V215" si="220">C215+1</f>
        <v>2017</v>
      </c>
      <c r="E215" s="187">
        <f t="shared" si="220"/>
        <v>2018</v>
      </c>
      <c r="F215" s="187">
        <f t="shared" si="220"/>
        <v>2019</v>
      </c>
      <c r="G215" s="187">
        <f t="shared" si="220"/>
        <v>2020</v>
      </c>
      <c r="H215" s="187">
        <f t="shared" si="220"/>
        <v>2021</v>
      </c>
      <c r="I215" s="187">
        <f t="shared" si="220"/>
        <v>2022</v>
      </c>
      <c r="J215" s="187">
        <f t="shared" si="220"/>
        <v>2023</v>
      </c>
      <c r="K215" s="187">
        <f t="shared" si="220"/>
        <v>2024</v>
      </c>
      <c r="L215" s="187">
        <f t="shared" si="220"/>
        <v>2025</v>
      </c>
      <c r="M215" s="187">
        <f t="shared" si="220"/>
        <v>2026</v>
      </c>
      <c r="N215" s="187">
        <f t="shared" si="220"/>
        <v>2027</v>
      </c>
      <c r="O215" s="187">
        <f t="shared" si="220"/>
        <v>2028</v>
      </c>
      <c r="P215" s="187">
        <f t="shared" si="220"/>
        <v>2029</v>
      </c>
      <c r="Q215" s="187">
        <f t="shared" si="220"/>
        <v>2030</v>
      </c>
      <c r="R215" s="187">
        <f t="shared" si="220"/>
        <v>2031</v>
      </c>
      <c r="S215" s="187">
        <f t="shared" si="220"/>
        <v>2032</v>
      </c>
      <c r="T215" s="187">
        <f t="shared" si="220"/>
        <v>2033</v>
      </c>
      <c r="U215" s="187">
        <f t="shared" si="220"/>
        <v>2034</v>
      </c>
      <c r="V215" s="187">
        <f t="shared" si="220"/>
        <v>2035</v>
      </c>
      <c r="W215" s="174"/>
      <c r="X215" s="174"/>
      <c r="Y215" s="171"/>
      <c r="Z215" s="171"/>
      <c r="AA215" s="171"/>
      <c r="AB215" s="171"/>
      <c r="AC215" s="171"/>
      <c r="AD215" s="169"/>
      <c r="AE215" s="169"/>
      <c r="AF215" s="169"/>
      <c r="AG215" s="169"/>
      <c r="AH215" s="171"/>
      <c r="AI215" s="171"/>
      <c r="AJ215" s="171"/>
    </row>
    <row r="216" spans="1:39" ht="15.75">
      <c r="A216" s="169"/>
      <c r="B216" s="171" t="s">
        <v>32</v>
      </c>
      <c r="C216" s="237">
        <v>19.503</v>
      </c>
      <c r="D216" s="237">
        <v>9.5380000000000003</v>
      </c>
      <c r="E216" s="237">
        <v>10.265000000000001</v>
      </c>
      <c r="F216" s="237">
        <v>48.7</v>
      </c>
      <c r="G216" s="237">
        <v>49.2</v>
      </c>
      <c r="H216" s="237">
        <v>42.021999999999998</v>
      </c>
      <c r="I216" s="237">
        <v>74.215999999999994</v>
      </c>
      <c r="J216" s="237">
        <v>40.588999999999999</v>
      </c>
      <c r="K216" s="237">
        <v>30.745999999999999</v>
      </c>
      <c r="L216" s="234">
        <f t="shared" ref="L216:V216" si="221">L11*L217</f>
        <v>30.998489041489211</v>
      </c>
      <c r="M216" s="234">
        <f t="shared" si="221"/>
        <v>32.269350328169232</v>
      </c>
      <c r="N216" s="234">
        <f t="shared" si="221"/>
        <v>34.473205676889719</v>
      </c>
      <c r="O216" s="234">
        <f t="shared" si="221"/>
        <v>36.560592325059289</v>
      </c>
      <c r="P216" s="234">
        <f t="shared" si="221"/>
        <v>38.77366681036154</v>
      </c>
      <c r="Q216" s="234">
        <f t="shared" si="221"/>
        <v>41.056955297936142</v>
      </c>
      <c r="R216" s="234">
        <f t="shared" si="221"/>
        <v>43.316827787095043</v>
      </c>
      <c r="S216" s="234">
        <f t="shared" si="221"/>
        <v>45.625792055089647</v>
      </c>
      <c r="T216" s="234">
        <f t="shared" si="221"/>
        <v>48.065536688861101</v>
      </c>
      <c r="U216" s="234">
        <f t="shared" si="221"/>
        <v>50.641667517059993</v>
      </c>
      <c r="V216" s="234">
        <f t="shared" si="221"/>
        <v>53.364495264124692</v>
      </c>
      <c r="W216" s="234"/>
      <c r="X216" s="234"/>
      <c r="Y216" s="171"/>
      <c r="Z216" s="171"/>
      <c r="AA216" s="171"/>
      <c r="AB216" s="171"/>
      <c r="AC216" s="171"/>
      <c r="AD216" s="171"/>
      <c r="AE216" s="171"/>
      <c r="AF216" s="171"/>
      <c r="AG216" s="171"/>
      <c r="AH216" s="173"/>
      <c r="AI216" s="173"/>
      <c r="AJ216" s="173"/>
      <c r="AK216" s="7"/>
      <c r="AL216" s="7"/>
      <c r="AM216" s="7"/>
    </row>
    <row r="217" spans="1:39" ht="15.75">
      <c r="A217" s="169"/>
      <c r="B217" s="171" t="s">
        <v>16</v>
      </c>
      <c r="C217" s="178">
        <f t="shared" ref="C217:K217" si="222">C216/C11</f>
        <v>2.9912576687116565E-2</v>
      </c>
      <c r="D217" s="178">
        <f t="shared" si="222"/>
        <v>1.161753958587089E-2</v>
      </c>
      <c r="E217" s="178">
        <f t="shared" si="222"/>
        <v>1.2038231499941363E-2</v>
      </c>
      <c r="F217" s="178">
        <f t="shared" si="222"/>
        <v>3.955953262889747E-2</v>
      </c>
      <c r="G217" s="178">
        <f t="shared" si="222"/>
        <v>3.506376331104552E-2</v>
      </c>
      <c r="H217" s="178">
        <f t="shared" si="222"/>
        <v>2.6600748229127766E-2</v>
      </c>
      <c r="I217" s="178">
        <f t="shared" si="222"/>
        <v>3.7840227318731101E-2</v>
      </c>
      <c r="J217" s="178">
        <f t="shared" si="222"/>
        <v>1.9095862273051684E-2</v>
      </c>
      <c r="K217" s="178">
        <f t="shared" si="222"/>
        <v>1.7967245686569561E-2</v>
      </c>
      <c r="L217" s="250">
        <f t="shared" ref="L217:V217" si="223">K217</f>
        <v>1.7967245686569561E-2</v>
      </c>
      <c r="M217" s="250">
        <f t="shared" si="223"/>
        <v>1.7967245686569561E-2</v>
      </c>
      <c r="N217" s="250">
        <f t="shared" si="223"/>
        <v>1.7967245686569561E-2</v>
      </c>
      <c r="O217" s="250">
        <f t="shared" si="223"/>
        <v>1.7967245686569561E-2</v>
      </c>
      <c r="P217" s="250">
        <f t="shared" si="223"/>
        <v>1.7967245686569561E-2</v>
      </c>
      <c r="Q217" s="250">
        <f t="shared" si="223"/>
        <v>1.7967245686569561E-2</v>
      </c>
      <c r="R217" s="250">
        <f t="shared" si="223"/>
        <v>1.7967245686569561E-2</v>
      </c>
      <c r="S217" s="250">
        <f t="shared" si="223"/>
        <v>1.7967245686569561E-2</v>
      </c>
      <c r="T217" s="250">
        <f t="shared" si="223"/>
        <v>1.7967245686569561E-2</v>
      </c>
      <c r="U217" s="250">
        <f t="shared" si="223"/>
        <v>1.7967245686569561E-2</v>
      </c>
      <c r="V217" s="250">
        <f t="shared" si="223"/>
        <v>1.7967245686569561E-2</v>
      </c>
      <c r="W217" s="178"/>
      <c r="X217" s="178"/>
      <c r="Y217" s="171"/>
      <c r="Z217" s="171"/>
      <c r="AA217" s="171"/>
      <c r="AB217" s="171"/>
      <c r="AC217" s="171"/>
      <c r="AD217" s="171"/>
      <c r="AE217" s="171"/>
      <c r="AF217" s="171"/>
      <c r="AG217" s="171"/>
      <c r="AH217" s="169"/>
      <c r="AI217" s="169"/>
      <c r="AJ217" s="169"/>
    </row>
    <row r="218" spans="1:39" ht="15.75">
      <c r="A218" s="169"/>
      <c r="B218" s="171" t="s">
        <v>101</v>
      </c>
      <c r="C218" s="234"/>
      <c r="D218" s="234">
        <f t="shared" ref="D218:V218" si="224">D216-C216</f>
        <v>-9.9649999999999999</v>
      </c>
      <c r="E218" s="234">
        <f t="shared" si="224"/>
        <v>0.72700000000000031</v>
      </c>
      <c r="F218" s="234">
        <f t="shared" si="224"/>
        <v>38.435000000000002</v>
      </c>
      <c r="G218" s="234">
        <f t="shared" si="224"/>
        <v>0.5</v>
      </c>
      <c r="H218" s="234">
        <f t="shared" si="224"/>
        <v>-7.1780000000000044</v>
      </c>
      <c r="I218" s="234">
        <f t="shared" si="224"/>
        <v>32.193999999999996</v>
      </c>
      <c r="J218" s="234">
        <f t="shared" si="224"/>
        <v>-33.626999999999995</v>
      </c>
      <c r="K218" s="234">
        <f t="shared" si="224"/>
        <v>-9.843</v>
      </c>
      <c r="L218" s="234">
        <f t="shared" si="224"/>
        <v>0.2524890414892127</v>
      </c>
      <c r="M218" s="234">
        <f t="shared" si="224"/>
        <v>1.2708612866800202</v>
      </c>
      <c r="N218" s="234">
        <f t="shared" si="224"/>
        <v>2.2038553487204879</v>
      </c>
      <c r="O218" s="234">
        <f t="shared" si="224"/>
        <v>2.08738664816957</v>
      </c>
      <c r="P218" s="234">
        <f t="shared" si="224"/>
        <v>2.2130744853022506</v>
      </c>
      <c r="Q218" s="234">
        <f t="shared" si="224"/>
        <v>2.2832884875746018</v>
      </c>
      <c r="R218" s="234">
        <f t="shared" si="224"/>
        <v>2.2598724891589015</v>
      </c>
      <c r="S218" s="234">
        <f t="shared" si="224"/>
        <v>2.3089642679946039</v>
      </c>
      <c r="T218" s="234">
        <f t="shared" si="224"/>
        <v>2.4397446337714541</v>
      </c>
      <c r="U218" s="234">
        <f t="shared" si="224"/>
        <v>2.5761308281988917</v>
      </c>
      <c r="V218" s="234">
        <f t="shared" si="224"/>
        <v>2.7228277470646987</v>
      </c>
      <c r="W218" s="234"/>
      <c r="X218" s="234"/>
      <c r="Y218" s="171"/>
      <c r="Z218" s="171"/>
      <c r="AA218" s="171"/>
      <c r="AB218" s="171"/>
      <c r="AC218" s="171"/>
      <c r="AD218" s="171"/>
      <c r="AE218" s="171"/>
      <c r="AF218" s="171"/>
      <c r="AG218" s="171"/>
      <c r="AH218" s="171"/>
      <c r="AI218" s="171"/>
      <c r="AJ218" s="171"/>
      <c r="AK218" s="9"/>
      <c r="AL218" s="9"/>
      <c r="AM218" s="9"/>
    </row>
    <row r="219" spans="1:39" ht="15.75">
      <c r="A219" s="169"/>
      <c r="B219" s="171"/>
      <c r="C219" s="234"/>
      <c r="D219" s="234"/>
      <c r="E219" s="234"/>
      <c r="F219" s="234"/>
      <c r="G219" s="234"/>
      <c r="H219" s="234"/>
      <c r="I219" s="234"/>
      <c r="J219" s="234"/>
      <c r="K219" s="234"/>
      <c r="L219" s="234"/>
      <c r="M219" s="234"/>
      <c r="N219" s="234"/>
      <c r="O219" s="234"/>
      <c r="P219" s="234"/>
      <c r="Q219" s="234"/>
      <c r="R219" s="234"/>
      <c r="S219" s="234"/>
      <c r="T219" s="234"/>
      <c r="U219" s="234"/>
      <c r="V219" s="234"/>
      <c r="W219" s="234"/>
      <c r="X219" s="234"/>
      <c r="Y219" s="171"/>
      <c r="Z219" s="171"/>
      <c r="AA219" s="171"/>
      <c r="AB219" s="171"/>
      <c r="AC219" s="171"/>
      <c r="AD219" s="171"/>
      <c r="AE219" s="171"/>
      <c r="AF219" s="171"/>
      <c r="AG219" s="171"/>
      <c r="AH219" s="171"/>
      <c r="AI219" s="171"/>
      <c r="AJ219" s="171"/>
      <c r="AK219" s="9"/>
      <c r="AL219" s="9"/>
      <c r="AM219" s="9"/>
    </row>
    <row r="220" spans="1:39" ht="15.75">
      <c r="A220" s="169"/>
      <c r="B220" s="171" t="s">
        <v>102</v>
      </c>
      <c r="C220" s="237">
        <v>126.929</v>
      </c>
      <c r="D220" s="237">
        <v>108.491</v>
      </c>
      <c r="E220" s="237">
        <v>102.25</v>
      </c>
      <c r="F220" s="237">
        <f>0.233+275.907</f>
        <v>276.14</v>
      </c>
      <c r="G220" s="237">
        <f>327.187</f>
        <v>327.18700000000001</v>
      </c>
      <c r="H220" s="237">
        <v>469.13</v>
      </c>
      <c r="I220" s="237">
        <v>663.46699999999998</v>
      </c>
      <c r="J220" s="237">
        <v>607.83500000000004</v>
      </c>
      <c r="K220" s="237">
        <v>313.35599999999999</v>
      </c>
      <c r="L220" s="234">
        <f t="shared" ref="L220:V220" si="225">L221*L11</f>
        <v>327.80277069876576</v>
      </c>
      <c r="M220" s="234">
        <f t="shared" si="225"/>
        <v>377.16206964214831</v>
      </c>
      <c r="N220" s="234">
        <f t="shared" si="225"/>
        <v>460.48067170573563</v>
      </c>
      <c r="O220" s="234">
        <f t="shared" si="225"/>
        <v>549.40863502216189</v>
      </c>
      <c r="P220" s="234">
        <f t="shared" si="225"/>
        <v>625.8256591554242</v>
      </c>
      <c r="Q220" s="234">
        <f t="shared" si="225"/>
        <v>708.38103760522813</v>
      </c>
      <c r="R220" s="234">
        <f t="shared" si="225"/>
        <v>795.58956442758972</v>
      </c>
      <c r="S220" s="234">
        <f t="shared" si="225"/>
        <v>888.78548765090682</v>
      </c>
      <c r="T220" s="234">
        <f t="shared" si="225"/>
        <v>1003.1908380813319</v>
      </c>
      <c r="U220" s="234">
        <f t="shared" si="225"/>
        <v>1113.3291667621152</v>
      </c>
      <c r="V220" s="234">
        <f t="shared" si="225"/>
        <v>1232.5910114963247</v>
      </c>
      <c r="W220" s="234"/>
      <c r="X220" s="234"/>
      <c r="Y220" s="171"/>
      <c r="Z220" s="171"/>
      <c r="AA220" s="171"/>
      <c r="AB220" s="171"/>
      <c r="AC220" s="171"/>
      <c r="AD220" s="171"/>
      <c r="AE220" s="171"/>
      <c r="AF220" s="171"/>
      <c r="AG220" s="171"/>
      <c r="AH220" s="169"/>
      <c r="AI220" s="169"/>
      <c r="AJ220" s="169"/>
    </row>
    <row r="221" spans="1:39" ht="15.75">
      <c r="A221" s="169"/>
      <c r="B221" s="171" t="s">
        <v>16</v>
      </c>
      <c r="C221" s="178">
        <f t="shared" ref="C221:K221" si="226">C220/C11</f>
        <v>0.19467638036809817</v>
      </c>
      <c r="D221" s="178">
        <f t="shared" si="226"/>
        <v>0.13214494518879416</v>
      </c>
      <c r="E221" s="178">
        <f t="shared" si="226"/>
        <v>0.11991321684062389</v>
      </c>
      <c r="F221" s="178">
        <f t="shared" si="226"/>
        <v>0.2243114854238962</v>
      </c>
      <c r="G221" s="178">
        <f t="shared" si="226"/>
        <v>0.23317901476526523</v>
      </c>
      <c r="H221" s="178">
        <f t="shared" si="226"/>
        <v>0.29696846929538595</v>
      </c>
      <c r="I221" s="178">
        <f t="shared" si="226"/>
        <v>0.33827937504684391</v>
      </c>
      <c r="J221" s="178">
        <f t="shared" si="226"/>
        <v>0.2859674651935345</v>
      </c>
      <c r="K221" s="178">
        <f t="shared" si="226"/>
        <v>0.18311794182530058</v>
      </c>
      <c r="L221" s="250">
        <v>0.19</v>
      </c>
      <c r="M221" s="250">
        <f>L221+2%</f>
        <v>0.21</v>
      </c>
      <c r="N221" s="250">
        <v>0.24</v>
      </c>
      <c r="O221" s="250">
        <v>0.27</v>
      </c>
      <c r="P221" s="250">
        <f t="shared" ref="P221:V221" si="227">O221+2%</f>
        <v>0.29000000000000004</v>
      </c>
      <c r="Q221" s="250">
        <f t="shared" si="227"/>
        <v>0.31000000000000005</v>
      </c>
      <c r="R221" s="250">
        <f t="shared" si="227"/>
        <v>0.33000000000000007</v>
      </c>
      <c r="S221" s="250">
        <f t="shared" si="227"/>
        <v>0.35000000000000009</v>
      </c>
      <c r="T221" s="250">
        <v>0.375</v>
      </c>
      <c r="U221" s="250">
        <f t="shared" si="227"/>
        <v>0.39500000000000002</v>
      </c>
      <c r="V221" s="250">
        <f t="shared" si="227"/>
        <v>0.41500000000000004</v>
      </c>
      <c r="W221" s="178"/>
      <c r="X221" s="178"/>
      <c r="Y221" s="171"/>
      <c r="Z221" s="171"/>
      <c r="AA221" s="171"/>
      <c r="AB221" s="171"/>
      <c r="AC221" s="171"/>
      <c r="AD221" s="171"/>
      <c r="AE221" s="171"/>
      <c r="AF221" s="171"/>
      <c r="AG221" s="171"/>
      <c r="AH221" s="171"/>
      <c r="AI221" s="171"/>
      <c r="AJ221" s="171"/>
      <c r="AK221" s="9"/>
      <c r="AL221" s="9"/>
      <c r="AM221" s="9"/>
    </row>
    <row r="222" spans="1:39" ht="15.75">
      <c r="A222" s="169"/>
      <c r="B222" s="171" t="s">
        <v>103</v>
      </c>
      <c r="C222" s="234"/>
      <c r="D222" s="234">
        <f t="shared" ref="D222:V222" si="228">D220-C220</f>
        <v>-18.438000000000002</v>
      </c>
      <c r="E222" s="234">
        <f t="shared" si="228"/>
        <v>-6.2409999999999997</v>
      </c>
      <c r="F222" s="234">
        <f t="shared" si="228"/>
        <v>173.89</v>
      </c>
      <c r="G222" s="234">
        <f t="shared" si="228"/>
        <v>51.047000000000025</v>
      </c>
      <c r="H222" s="234">
        <f t="shared" si="228"/>
        <v>141.94299999999998</v>
      </c>
      <c r="I222" s="234">
        <f t="shared" si="228"/>
        <v>194.33699999999999</v>
      </c>
      <c r="J222" s="234">
        <f t="shared" si="228"/>
        <v>-55.631999999999948</v>
      </c>
      <c r="K222" s="234">
        <f t="shared" si="228"/>
        <v>-294.47900000000004</v>
      </c>
      <c r="L222" s="234">
        <f t="shared" si="228"/>
        <v>14.446770698765761</v>
      </c>
      <c r="M222" s="234">
        <f t="shared" si="228"/>
        <v>49.359298943382555</v>
      </c>
      <c r="N222" s="234">
        <f t="shared" si="228"/>
        <v>83.318602063587321</v>
      </c>
      <c r="O222" s="234">
        <f t="shared" si="228"/>
        <v>88.927963316426258</v>
      </c>
      <c r="P222" s="234">
        <f t="shared" si="228"/>
        <v>76.417024133262316</v>
      </c>
      <c r="Q222" s="234">
        <f t="shared" si="228"/>
        <v>82.555378449803925</v>
      </c>
      <c r="R222" s="234">
        <f t="shared" si="228"/>
        <v>87.208526822361591</v>
      </c>
      <c r="S222" s="234">
        <f t="shared" si="228"/>
        <v>93.195923223317095</v>
      </c>
      <c r="T222" s="234">
        <f t="shared" si="228"/>
        <v>114.40535043042507</v>
      </c>
      <c r="U222" s="234">
        <f t="shared" si="228"/>
        <v>110.13832868078327</v>
      </c>
      <c r="V222" s="234">
        <f t="shared" si="228"/>
        <v>119.26184473420949</v>
      </c>
      <c r="W222" s="234"/>
      <c r="X222" s="234"/>
      <c r="Y222" s="171"/>
      <c r="Z222" s="171"/>
      <c r="AA222" s="171"/>
      <c r="AB222" s="171"/>
      <c r="AC222" s="171"/>
      <c r="AD222" s="171"/>
      <c r="AE222" s="171"/>
      <c r="AF222" s="171"/>
      <c r="AG222" s="171"/>
      <c r="AH222" s="171"/>
      <c r="AI222" s="171"/>
      <c r="AJ222" s="171"/>
      <c r="AK222" s="9"/>
      <c r="AL222" s="9"/>
      <c r="AM222" s="9"/>
    </row>
    <row r="223" spans="1:39" ht="15.75">
      <c r="A223" s="169"/>
      <c r="B223" s="171"/>
      <c r="C223" s="251"/>
      <c r="D223" s="251"/>
      <c r="E223" s="251"/>
      <c r="F223" s="251"/>
      <c r="G223" s="251"/>
      <c r="H223" s="251"/>
      <c r="I223" s="251"/>
      <c r="J223" s="251"/>
      <c r="K223" s="251"/>
      <c r="L223" s="251"/>
      <c r="M223" s="251"/>
      <c r="N223" s="251"/>
      <c r="O223" s="251"/>
      <c r="P223" s="251"/>
      <c r="Q223" s="251"/>
      <c r="R223" s="251"/>
      <c r="S223" s="251"/>
      <c r="T223" s="251"/>
      <c r="U223" s="251"/>
      <c r="V223" s="251"/>
      <c r="W223" s="251"/>
      <c r="X223" s="251"/>
      <c r="Y223" s="171"/>
      <c r="Z223" s="171"/>
      <c r="AA223" s="171"/>
      <c r="AB223" s="171"/>
      <c r="AC223" s="171"/>
      <c r="AD223" s="171"/>
      <c r="AE223" s="171"/>
      <c r="AF223" s="171"/>
      <c r="AG223" s="171"/>
      <c r="AH223" s="171"/>
      <c r="AI223" s="171"/>
      <c r="AJ223" s="171"/>
      <c r="AK223" s="9"/>
      <c r="AL223" s="9"/>
      <c r="AM223" s="9"/>
    </row>
    <row r="224" spans="1:39" ht="15.75">
      <c r="A224" s="169"/>
      <c r="B224" s="171" t="s">
        <v>104</v>
      </c>
      <c r="C224" s="237">
        <v>163.857</v>
      </c>
      <c r="D224" s="237">
        <v>147.32400000000001</v>
      </c>
      <c r="E224" s="237">
        <v>149.75200000000001</v>
      </c>
      <c r="F224" s="237">
        <f>410.319+3.767+30.373</f>
        <v>444.459</v>
      </c>
      <c r="G224" s="237">
        <f>409.493+3.797+7.285+48.703</f>
        <v>469.27800000000002</v>
      </c>
      <c r="H224" s="237">
        <f>499.432+0.343+3.771+68.834</f>
        <v>572.38000000000011</v>
      </c>
      <c r="I224" s="237">
        <f>669.149+0.483+1.393+70.008</f>
        <v>741.03300000000002</v>
      </c>
      <c r="J224" s="237">
        <f>532.627+0.277+68.133+75.612</f>
        <v>676.649</v>
      </c>
      <c r="K224" s="237">
        <f>422.5+0.182+10.203+49.879</f>
        <v>482.76400000000001</v>
      </c>
      <c r="L224" s="234">
        <f t="shared" ref="L224:V224" si="229">L225*L11</f>
        <v>362.30832550916216</v>
      </c>
      <c r="M224" s="234">
        <f t="shared" si="229"/>
        <v>287.3615768702083</v>
      </c>
      <c r="N224" s="234">
        <f t="shared" si="229"/>
        <v>268.61372516167916</v>
      </c>
      <c r="O224" s="234">
        <f t="shared" si="229"/>
        <v>254.35584954729717</v>
      </c>
      <c r="P224" s="234">
        <f t="shared" si="229"/>
        <v>226.59204900455012</v>
      </c>
      <c r="Q224" s="234">
        <f t="shared" si="229"/>
        <v>205.65901091764684</v>
      </c>
      <c r="R224" s="234">
        <f t="shared" si="229"/>
        <v>192.87019743699142</v>
      </c>
      <c r="S224" s="234">
        <f t="shared" si="229"/>
        <v>177.75709753018134</v>
      </c>
      <c r="T224" s="234">
        <f t="shared" si="229"/>
        <v>187.26228977518198</v>
      </c>
      <c r="U224" s="234">
        <f t="shared" si="229"/>
        <v>197.29883967936217</v>
      </c>
      <c r="V224" s="234">
        <f t="shared" si="229"/>
        <v>207.9069176017897</v>
      </c>
      <c r="W224" s="234"/>
      <c r="X224" s="234"/>
      <c r="Y224" s="171"/>
      <c r="Z224" s="171"/>
      <c r="AA224" s="171"/>
      <c r="AB224" s="171"/>
      <c r="AC224" s="171"/>
      <c r="AD224" s="171"/>
      <c r="AE224" s="171"/>
      <c r="AF224" s="171"/>
      <c r="AG224" s="171"/>
      <c r="AH224" s="171"/>
      <c r="AI224" s="171"/>
      <c r="AJ224" s="171"/>
      <c r="AK224" s="9"/>
      <c r="AL224" s="9"/>
      <c r="AM224" s="9"/>
    </row>
    <row r="225" spans="1:39" ht="15.75">
      <c r="A225" s="169"/>
      <c r="B225" s="171" t="s">
        <v>16</v>
      </c>
      <c r="C225" s="178">
        <f t="shared" ref="C225:K225" si="230">C224/C11</f>
        <v>0.25131441717791408</v>
      </c>
      <c r="D225" s="178">
        <f t="shared" si="230"/>
        <v>0.1794445797807552</v>
      </c>
      <c r="E225" s="178">
        <f t="shared" si="230"/>
        <v>0.17562096868769791</v>
      </c>
      <c r="F225" s="178">
        <f t="shared" si="230"/>
        <v>0.36103881545599875</v>
      </c>
      <c r="G225" s="178">
        <f t="shared" si="230"/>
        <v>0.33444416095692719</v>
      </c>
      <c r="H225" s="178">
        <f t="shared" si="230"/>
        <v>0.36232773955042963</v>
      </c>
      <c r="I225" s="178">
        <f t="shared" si="230"/>
        <v>0.37782765401909651</v>
      </c>
      <c r="J225" s="178">
        <f t="shared" si="230"/>
        <v>0.31834231223233261</v>
      </c>
      <c r="K225" s="178">
        <f t="shared" si="230"/>
        <v>0.28211602799164343</v>
      </c>
      <c r="L225" s="250">
        <v>0.21</v>
      </c>
      <c r="M225" s="250">
        <v>0.16</v>
      </c>
      <c r="N225" s="250">
        <v>0.14000000000000001</v>
      </c>
      <c r="O225" s="250">
        <v>0.125</v>
      </c>
      <c r="P225" s="250">
        <v>0.105</v>
      </c>
      <c r="Q225" s="250">
        <v>0.09</v>
      </c>
      <c r="R225" s="250">
        <v>0.08</v>
      </c>
      <c r="S225" s="250">
        <v>7.0000000000000007E-2</v>
      </c>
      <c r="T225" s="250">
        <v>7.0000000000000007E-2</v>
      </c>
      <c r="U225" s="250">
        <v>7.0000000000000007E-2</v>
      </c>
      <c r="V225" s="250">
        <v>7.0000000000000007E-2</v>
      </c>
      <c r="W225" s="178"/>
      <c r="X225" s="178"/>
      <c r="Y225" s="171"/>
      <c r="Z225" s="171"/>
      <c r="AA225" s="171"/>
      <c r="AB225" s="171"/>
      <c r="AC225" s="171"/>
      <c r="AD225" s="171"/>
      <c r="AE225" s="171"/>
      <c r="AF225" s="171"/>
      <c r="AG225" s="171"/>
      <c r="AH225" s="171"/>
      <c r="AI225" s="171"/>
      <c r="AJ225" s="171"/>
      <c r="AK225" s="9"/>
      <c r="AL225" s="9"/>
      <c r="AM225" s="9"/>
    </row>
    <row r="226" spans="1:39" ht="15.75">
      <c r="A226" s="169"/>
      <c r="B226" s="171" t="s">
        <v>105</v>
      </c>
      <c r="C226" s="234"/>
      <c r="D226" s="234">
        <f t="shared" ref="D226:V226" si="231">D224-C224</f>
        <v>-16.532999999999987</v>
      </c>
      <c r="E226" s="234">
        <f t="shared" si="231"/>
        <v>2.4279999999999973</v>
      </c>
      <c r="F226" s="234">
        <f t="shared" si="231"/>
        <v>294.70699999999999</v>
      </c>
      <c r="G226" s="234">
        <f t="shared" si="231"/>
        <v>24.819000000000017</v>
      </c>
      <c r="H226" s="234">
        <f t="shared" si="231"/>
        <v>103.10200000000009</v>
      </c>
      <c r="I226" s="234">
        <f t="shared" si="231"/>
        <v>168.65299999999991</v>
      </c>
      <c r="J226" s="234">
        <f t="shared" si="231"/>
        <v>-64.384000000000015</v>
      </c>
      <c r="K226" s="234">
        <f t="shared" si="231"/>
        <v>-193.88499999999999</v>
      </c>
      <c r="L226" s="234">
        <f t="shared" si="231"/>
        <v>-120.45567449083785</v>
      </c>
      <c r="M226" s="234">
        <f t="shared" si="231"/>
        <v>-74.946748638953864</v>
      </c>
      <c r="N226" s="234">
        <f t="shared" si="231"/>
        <v>-18.74785170852914</v>
      </c>
      <c r="O226" s="234">
        <f t="shared" si="231"/>
        <v>-14.257875614381987</v>
      </c>
      <c r="P226" s="234">
        <f t="shared" si="231"/>
        <v>-27.763800542747049</v>
      </c>
      <c r="Q226" s="234">
        <f t="shared" si="231"/>
        <v>-20.933038086903281</v>
      </c>
      <c r="R226" s="234">
        <f t="shared" si="231"/>
        <v>-12.788813480655421</v>
      </c>
      <c r="S226" s="234">
        <f t="shared" si="231"/>
        <v>-15.113099906810078</v>
      </c>
      <c r="T226" s="234">
        <f t="shared" si="231"/>
        <v>9.505192245000643</v>
      </c>
      <c r="U226" s="234">
        <f t="shared" si="231"/>
        <v>10.036549904180191</v>
      </c>
      <c r="V226" s="234">
        <f t="shared" si="231"/>
        <v>10.608077922427526</v>
      </c>
      <c r="W226" s="234"/>
      <c r="X226" s="234"/>
      <c r="Y226" s="171"/>
      <c r="Z226" s="171"/>
      <c r="AA226" s="171"/>
      <c r="AB226" s="171"/>
      <c r="AC226" s="171"/>
      <c r="AD226" s="171"/>
      <c r="AE226" s="171"/>
      <c r="AF226" s="171"/>
      <c r="AG226" s="171"/>
      <c r="AH226" s="171"/>
      <c r="AI226" s="171"/>
      <c r="AJ226" s="171"/>
      <c r="AK226" s="9"/>
      <c r="AL226" s="9"/>
      <c r="AM226" s="9"/>
    </row>
    <row r="227" spans="1:39" ht="15.75">
      <c r="A227" s="169"/>
      <c r="B227" s="171"/>
      <c r="C227" s="234"/>
      <c r="D227" s="234"/>
      <c r="E227" s="234"/>
      <c r="F227" s="234"/>
      <c r="G227" s="234"/>
      <c r="H227" s="234"/>
      <c r="I227" s="234"/>
      <c r="J227" s="234"/>
      <c r="K227" s="234"/>
      <c r="L227" s="234"/>
      <c r="M227" s="234"/>
      <c r="N227" s="234"/>
      <c r="O227" s="234"/>
      <c r="P227" s="234"/>
      <c r="Q227" s="234"/>
      <c r="R227" s="234"/>
      <c r="S227" s="234"/>
      <c r="T227" s="234"/>
      <c r="U227" s="234"/>
      <c r="V227" s="234"/>
      <c r="W227" s="234"/>
      <c r="X227" s="234"/>
      <c r="Y227" s="171"/>
      <c r="Z227" s="171"/>
      <c r="AA227" s="171"/>
      <c r="AB227" s="171"/>
      <c r="AC227" s="171"/>
      <c r="AD227" s="171"/>
      <c r="AE227" s="171"/>
      <c r="AF227" s="171"/>
      <c r="AG227" s="171"/>
      <c r="AH227" s="171"/>
      <c r="AI227" s="171"/>
      <c r="AJ227" s="171"/>
      <c r="AK227" s="9"/>
      <c r="AL227" s="9"/>
      <c r="AM227" s="9"/>
    </row>
    <row r="228" spans="1:39" ht="15.75">
      <c r="A228" s="169"/>
      <c r="B228" s="176" t="s">
        <v>106</v>
      </c>
      <c r="C228" s="177"/>
      <c r="D228" s="177">
        <f t="shared" ref="D228:Q228" si="232">-D218-D222+D226</f>
        <v>11.870000000000015</v>
      </c>
      <c r="E228" s="177">
        <f t="shared" si="232"/>
        <v>7.9419999999999966</v>
      </c>
      <c r="F228" s="177">
        <f t="shared" si="232"/>
        <v>82.382000000000005</v>
      </c>
      <c r="G228" s="177">
        <f t="shared" si="232"/>
        <v>-26.728000000000009</v>
      </c>
      <c r="H228" s="177">
        <f t="shared" si="232"/>
        <v>-31.662999999999897</v>
      </c>
      <c r="I228" s="177">
        <f t="shared" si="232"/>
        <v>-57.878000000000071</v>
      </c>
      <c r="J228" s="177">
        <f t="shared" si="232"/>
        <v>24.874999999999929</v>
      </c>
      <c r="K228" s="177">
        <f t="shared" si="232"/>
        <v>110.43700000000007</v>
      </c>
      <c r="L228" s="177">
        <f t="shared" si="232"/>
        <v>-135.15493423109282</v>
      </c>
      <c r="M228" s="177">
        <f t="shared" si="232"/>
        <v>-125.57690886901644</v>
      </c>
      <c r="N228" s="177">
        <f t="shared" si="232"/>
        <v>-104.27030912083694</v>
      </c>
      <c r="O228" s="177">
        <f t="shared" si="232"/>
        <v>-105.27322557897782</v>
      </c>
      <c r="P228" s="177">
        <f t="shared" si="232"/>
        <v>-106.39389916131162</v>
      </c>
      <c r="Q228" s="177">
        <f t="shared" si="232"/>
        <v>-105.7717050242818</v>
      </c>
      <c r="R228" s="177">
        <f t="shared" ref="R228:V228" si="233">-R218-R222+R226</f>
        <v>-102.25721279217592</v>
      </c>
      <c r="S228" s="177">
        <f t="shared" si="233"/>
        <v>-110.61798739812178</v>
      </c>
      <c r="T228" s="177">
        <f t="shared" si="233"/>
        <v>-107.33990281919588</v>
      </c>
      <c r="U228" s="177">
        <f t="shared" si="233"/>
        <v>-102.67790960480198</v>
      </c>
      <c r="V228" s="177">
        <f t="shared" si="233"/>
        <v>-111.37659455884666</v>
      </c>
      <c r="W228" s="188"/>
      <c r="X228" s="188"/>
      <c r="Y228" s="171"/>
      <c r="Z228" s="171"/>
      <c r="AA228" s="171"/>
      <c r="AB228" s="171"/>
      <c r="AC228" s="171"/>
      <c r="AD228" s="171"/>
      <c r="AE228" s="171"/>
      <c r="AF228" s="171"/>
      <c r="AG228" s="171"/>
      <c r="AH228" s="171"/>
      <c r="AI228" s="171"/>
      <c r="AJ228" s="171"/>
      <c r="AK228" s="9"/>
      <c r="AL228" s="9"/>
      <c r="AM228" s="9"/>
    </row>
    <row r="229" spans="1:39" ht="15.75">
      <c r="A229" s="169"/>
      <c r="B229" s="173"/>
      <c r="C229" s="188"/>
      <c r="D229" s="234">
        <f t="shared" ref="D229:J229" si="234">D113</f>
        <v>-6.5150000000000006</v>
      </c>
      <c r="E229" s="234">
        <f t="shared" si="234"/>
        <v>-16.7</v>
      </c>
      <c r="F229" s="234">
        <f t="shared" si="234"/>
        <v>-18</v>
      </c>
      <c r="G229" s="234">
        <f t="shared" si="234"/>
        <v>-157.76499999999999</v>
      </c>
      <c r="H229" s="234">
        <f t="shared" si="234"/>
        <v>-69.826999999999998</v>
      </c>
      <c r="I229" s="234">
        <f t="shared" si="234"/>
        <v>-46.24</v>
      </c>
      <c r="J229" s="234">
        <f t="shared" si="234"/>
        <v>-224.982</v>
      </c>
      <c r="K229" s="234">
        <f>K113</f>
        <v>-158.667</v>
      </c>
      <c r="L229" s="188"/>
      <c r="M229" s="188"/>
      <c r="N229" s="188"/>
      <c r="O229" s="188"/>
      <c r="P229" s="188"/>
      <c r="Q229" s="188"/>
      <c r="R229" s="188"/>
      <c r="S229" s="188"/>
      <c r="T229" s="188"/>
      <c r="U229" s="188"/>
      <c r="V229" s="188"/>
      <c r="W229" s="188"/>
      <c r="X229" s="188"/>
      <c r="Y229" s="171"/>
      <c r="Z229" s="171"/>
      <c r="AA229" s="171"/>
      <c r="AB229" s="171"/>
      <c r="AC229" s="171"/>
      <c r="AD229" s="171"/>
      <c r="AE229" s="171"/>
      <c r="AF229" s="171"/>
      <c r="AG229" s="171"/>
      <c r="AH229" s="171"/>
      <c r="AI229" s="171"/>
      <c r="AJ229" s="171"/>
      <c r="AK229" s="9"/>
      <c r="AL229" s="9"/>
      <c r="AM229" s="9"/>
    </row>
    <row r="230" spans="1:39" ht="15.75">
      <c r="A230" s="169"/>
      <c r="B230" s="173"/>
      <c r="C230" s="188"/>
      <c r="D230" s="188"/>
      <c r="E230" s="188"/>
      <c r="F230" s="188"/>
      <c r="G230" s="188"/>
      <c r="H230" s="188"/>
      <c r="I230" s="188"/>
      <c r="J230" s="188"/>
      <c r="K230" s="188"/>
      <c r="L230" s="188"/>
      <c r="M230" s="188"/>
      <c r="N230" s="188"/>
      <c r="O230" s="188"/>
      <c r="P230" s="188"/>
      <c r="Q230" s="188"/>
      <c r="R230" s="188"/>
      <c r="S230" s="188"/>
      <c r="T230" s="188"/>
      <c r="U230" s="188"/>
      <c r="V230" s="188"/>
      <c r="W230" s="188"/>
      <c r="X230" s="188"/>
      <c r="Y230" s="171"/>
      <c r="Z230" s="171"/>
      <c r="AA230" s="171"/>
      <c r="AB230" s="171"/>
      <c r="AC230" s="171"/>
      <c r="AD230" s="171"/>
      <c r="AE230" s="171"/>
      <c r="AF230" s="171"/>
      <c r="AG230" s="171"/>
      <c r="AH230" s="171"/>
      <c r="AI230" s="171"/>
      <c r="AJ230" s="171"/>
      <c r="AK230" s="9"/>
      <c r="AL230" s="9"/>
      <c r="AM230" s="9"/>
    </row>
    <row r="231" spans="1:39" ht="15.75">
      <c r="A231" s="169"/>
      <c r="B231" s="173"/>
      <c r="C231" s="188"/>
      <c r="D231" s="188"/>
      <c r="E231" s="188"/>
      <c r="F231" s="188"/>
      <c r="G231" s="188"/>
      <c r="H231" s="188"/>
      <c r="I231" s="188"/>
      <c r="J231" s="188"/>
      <c r="K231" s="188"/>
      <c r="L231" s="188"/>
      <c r="M231" s="188"/>
      <c r="N231" s="188"/>
      <c r="O231" s="188"/>
      <c r="P231" s="188"/>
      <c r="Q231" s="188"/>
      <c r="R231" s="188"/>
      <c r="S231" s="188"/>
      <c r="T231" s="188"/>
      <c r="U231" s="188"/>
      <c r="V231" s="188"/>
      <c r="W231" s="188"/>
      <c r="X231" s="188"/>
      <c r="Y231" s="171"/>
      <c r="Z231" s="171"/>
      <c r="AA231" s="171"/>
      <c r="AB231" s="171"/>
      <c r="AC231" s="171"/>
      <c r="AD231" s="171"/>
      <c r="AE231" s="171"/>
      <c r="AF231" s="171"/>
      <c r="AG231" s="171"/>
      <c r="AH231" s="171"/>
      <c r="AI231" s="171"/>
      <c r="AJ231" s="171"/>
      <c r="AK231" s="9"/>
      <c r="AL231" s="9"/>
      <c r="AM231" s="9"/>
    </row>
    <row r="232" spans="1:39" s="9" customFormat="1" ht="15.75">
      <c r="A232" s="171"/>
      <c r="B232" s="186" t="s">
        <v>24</v>
      </c>
      <c r="C232" s="187">
        <v>2016</v>
      </c>
      <c r="D232" s="187">
        <f t="shared" ref="D232:V232" si="235">C232+1</f>
        <v>2017</v>
      </c>
      <c r="E232" s="187">
        <f t="shared" si="235"/>
        <v>2018</v>
      </c>
      <c r="F232" s="187">
        <f t="shared" si="235"/>
        <v>2019</v>
      </c>
      <c r="G232" s="187">
        <f t="shared" si="235"/>
        <v>2020</v>
      </c>
      <c r="H232" s="187">
        <f t="shared" si="235"/>
        <v>2021</v>
      </c>
      <c r="I232" s="187">
        <f t="shared" si="235"/>
        <v>2022</v>
      </c>
      <c r="J232" s="187">
        <f t="shared" si="235"/>
        <v>2023</v>
      </c>
      <c r="K232" s="187">
        <f t="shared" si="235"/>
        <v>2024</v>
      </c>
      <c r="L232" s="187">
        <f t="shared" si="235"/>
        <v>2025</v>
      </c>
      <c r="M232" s="187">
        <f t="shared" si="235"/>
        <v>2026</v>
      </c>
      <c r="N232" s="187">
        <f t="shared" si="235"/>
        <v>2027</v>
      </c>
      <c r="O232" s="187">
        <f t="shared" si="235"/>
        <v>2028</v>
      </c>
      <c r="P232" s="187">
        <f t="shared" si="235"/>
        <v>2029</v>
      </c>
      <c r="Q232" s="187">
        <f t="shared" si="235"/>
        <v>2030</v>
      </c>
      <c r="R232" s="187">
        <f t="shared" si="235"/>
        <v>2031</v>
      </c>
      <c r="S232" s="187">
        <f t="shared" si="235"/>
        <v>2032</v>
      </c>
      <c r="T232" s="187">
        <f t="shared" si="235"/>
        <v>2033</v>
      </c>
      <c r="U232" s="187">
        <f t="shared" si="235"/>
        <v>2034</v>
      </c>
      <c r="V232" s="187">
        <f t="shared" si="235"/>
        <v>2035</v>
      </c>
      <c r="W232" s="174"/>
      <c r="X232" s="174"/>
      <c r="Y232" s="171"/>
      <c r="Z232" s="171"/>
      <c r="AA232" s="171"/>
      <c r="AB232" s="171"/>
      <c r="AC232" s="171"/>
      <c r="AD232" s="171"/>
      <c r="AE232" s="171"/>
      <c r="AF232" s="171"/>
      <c r="AG232" s="171"/>
      <c r="AH232" s="171"/>
      <c r="AI232" s="171"/>
      <c r="AJ232" s="171"/>
    </row>
    <row r="233" spans="1:39" ht="15.75">
      <c r="A233" s="169"/>
      <c r="B233" s="171" t="s">
        <v>24</v>
      </c>
      <c r="C233" s="252">
        <v>0</v>
      </c>
      <c r="D233" s="252">
        <v>3.2069999999999999</v>
      </c>
      <c r="E233" s="252">
        <v>4.3689999999999998</v>
      </c>
      <c r="F233" s="252">
        <v>13.518000000000001</v>
      </c>
      <c r="G233" s="252">
        <v>169.82900000000001</v>
      </c>
      <c r="H233" s="252">
        <v>17.98</v>
      </c>
      <c r="I233" s="252">
        <v>-75.013000000000005</v>
      </c>
      <c r="J233" s="252">
        <v>107.52800000000001</v>
      </c>
      <c r="K233" s="252">
        <v>33.957000000000001</v>
      </c>
      <c r="L233" s="253">
        <f t="shared" ref="L233:Q233" si="236">IF(L234&lt;0,0,L234*L235)</f>
        <v>44.980206961226379</v>
      </c>
      <c r="M233" s="253">
        <f t="shared" si="236"/>
        <v>65.646527322746209</v>
      </c>
      <c r="N233" s="253">
        <f t="shared" si="236"/>
        <v>88.114476653310433</v>
      </c>
      <c r="O233" s="253">
        <f t="shared" si="236"/>
        <v>106.84398123795764</v>
      </c>
      <c r="P233" s="253">
        <f t="shared" si="236"/>
        <v>127.7293323991356</v>
      </c>
      <c r="Q233" s="253">
        <f t="shared" si="236"/>
        <v>150.06020705724754</v>
      </c>
      <c r="R233" s="253">
        <f t="shared" ref="R233:V233" si="237">IF(R234&lt;0,0,R234*R235)</f>
        <v>172.53323710010218</v>
      </c>
      <c r="S233" s="253">
        <f t="shared" si="237"/>
        <v>196.1136120180027</v>
      </c>
      <c r="T233" s="253">
        <f t="shared" si="237"/>
        <v>221.46817080988657</v>
      </c>
      <c r="U233" s="253">
        <f t="shared" si="237"/>
        <v>248.92913200351177</v>
      </c>
      <c r="V233" s="253">
        <f t="shared" si="237"/>
        <v>278.33927193664994</v>
      </c>
      <c r="W233" s="253"/>
      <c r="X233" s="253"/>
      <c r="Y233" s="171"/>
      <c r="Z233" s="171"/>
      <c r="AA233" s="171"/>
      <c r="AB233" s="171"/>
      <c r="AC233" s="171"/>
      <c r="AD233" s="171"/>
      <c r="AE233" s="171"/>
      <c r="AF233" s="171"/>
      <c r="AG233" s="171"/>
      <c r="AH233" s="171"/>
      <c r="AI233" s="171"/>
      <c r="AJ233" s="171"/>
      <c r="AK233" s="9"/>
      <c r="AL233" s="9"/>
      <c r="AM233" s="9"/>
    </row>
    <row r="234" spans="1:39" s="9" customFormat="1" ht="15.75">
      <c r="A234" s="171"/>
      <c r="B234" s="171" t="s">
        <v>107</v>
      </c>
      <c r="C234" s="234">
        <f t="shared" ref="C234:V234" si="238">C52</f>
        <v>-98.073999999999998</v>
      </c>
      <c r="D234" s="234">
        <f t="shared" si="238"/>
        <v>-104.227</v>
      </c>
      <c r="E234" s="234">
        <f t="shared" si="238"/>
        <v>-119.578</v>
      </c>
      <c r="F234" s="234">
        <f t="shared" si="238"/>
        <v>-409.43400000000008</v>
      </c>
      <c r="G234" s="234">
        <f t="shared" si="238"/>
        <v>-152.85299999999995</v>
      </c>
      <c r="H234" s="234">
        <f t="shared" si="238"/>
        <v>-8.5480000000000587</v>
      </c>
      <c r="I234" s="234">
        <f t="shared" si="238"/>
        <v>-544.44100000000014</v>
      </c>
      <c r="J234" s="234">
        <f t="shared" si="238"/>
        <v>-1880.7459999999996</v>
      </c>
      <c r="K234" s="234">
        <f t="shared" si="238"/>
        <v>-1611.4370000000001</v>
      </c>
      <c r="L234" s="234">
        <f t="shared" si="238"/>
        <v>160.64359629009419</v>
      </c>
      <c r="M234" s="234">
        <f t="shared" si="238"/>
        <v>218.82175774248736</v>
      </c>
      <c r="N234" s="234">
        <f t="shared" si="238"/>
        <v>293.71492217770145</v>
      </c>
      <c r="O234" s="234">
        <f t="shared" si="238"/>
        <v>356.14660412652546</v>
      </c>
      <c r="P234" s="234">
        <f t="shared" si="238"/>
        <v>425.76444133045203</v>
      </c>
      <c r="Q234" s="234">
        <f t="shared" si="238"/>
        <v>500.20069019082513</v>
      </c>
      <c r="R234" s="234">
        <f t="shared" si="238"/>
        <v>575.110790333674</v>
      </c>
      <c r="S234" s="234">
        <f t="shared" si="238"/>
        <v>653.71204006000903</v>
      </c>
      <c r="T234" s="234">
        <f t="shared" si="238"/>
        <v>738.22723603295526</v>
      </c>
      <c r="U234" s="234">
        <f t="shared" si="238"/>
        <v>829.76377334503923</v>
      </c>
      <c r="V234" s="234">
        <f t="shared" si="238"/>
        <v>927.79757312216657</v>
      </c>
      <c r="W234" s="234"/>
      <c r="X234" s="234"/>
      <c r="Y234" s="171"/>
      <c r="Z234" s="171"/>
      <c r="AA234" s="171"/>
      <c r="AB234" s="171"/>
      <c r="AC234" s="171"/>
      <c r="AD234" s="171"/>
      <c r="AE234" s="171"/>
      <c r="AF234" s="171"/>
      <c r="AG234" s="171"/>
      <c r="AH234" s="171"/>
      <c r="AI234" s="171"/>
      <c r="AJ234" s="171"/>
    </row>
    <row r="235" spans="1:39" s="9" customFormat="1" ht="15.75">
      <c r="A235" s="171"/>
      <c r="B235" s="171" t="s">
        <v>108</v>
      </c>
      <c r="C235" s="254"/>
      <c r="D235" s="254">
        <f t="shared" ref="D235:K235" si="239">D233/D234</f>
        <v>-3.0769378376044591E-2</v>
      </c>
      <c r="E235" s="254">
        <f t="shared" si="239"/>
        <v>-3.6536821154392947E-2</v>
      </c>
      <c r="F235" s="254">
        <f t="shared" si="239"/>
        <v>-3.3016310321077387E-2</v>
      </c>
      <c r="G235" s="254">
        <f t="shared" si="239"/>
        <v>-1.111060953988473</v>
      </c>
      <c r="H235" s="254">
        <f t="shared" si="239"/>
        <v>-2.1034160037435514</v>
      </c>
      <c r="I235" s="254">
        <f t="shared" si="239"/>
        <v>0.13777985126028347</v>
      </c>
      <c r="J235" s="254">
        <f t="shared" si="239"/>
        <v>-5.7173057924887263E-2</v>
      </c>
      <c r="K235" s="254">
        <f t="shared" si="239"/>
        <v>-2.1072496163362264E-2</v>
      </c>
      <c r="L235" s="255">
        <v>0.28000000000000003</v>
      </c>
      <c r="M235" s="255">
        <v>0.3</v>
      </c>
      <c r="N235" s="255">
        <f t="shared" ref="N235:V235" si="240">M235</f>
        <v>0.3</v>
      </c>
      <c r="O235" s="255">
        <f t="shared" si="240"/>
        <v>0.3</v>
      </c>
      <c r="P235" s="255">
        <f t="shared" si="240"/>
        <v>0.3</v>
      </c>
      <c r="Q235" s="255">
        <f t="shared" si="240"/>
        <v>0.3</v>
      </c>
      <c r="R235" s="255">
        <f t="shared" si="240"/>
        <v>0.3</v>
      </c>
      <c r="S235" s="255">
        <f t="shared" si="240"/>
        <v>0.3</v>
      </c>
      <c r="T235" s="255">
        <f t="shared" si="240"/>
        <v>0.3</v>
      </c>
      <c r="U235" s="255">
        <f t="shared" si="240"/>
        <v>0.3</v>
      </c>
      <c r="V235" s="255">
        <f t="shared" si="240"/>
        <v>0.3</v>
      </c>
      <c r="W235" s="185"/>
      <c r="X235" s="185"/>
      <c r="Y235" s="171"/>
      <c r="Z235" s="171"/>
      <c r="AA235" s="171"/>
      <c r="AB235" s="171"/>
      <c r="AC235" s="171"/>
      <c r="AD235" s="171"/>
      <c r="AE235" s="171"/>
      <c r="AF235" s="171"/>
      <c r="AG235" s="171"/>
      <c r="AH235" s="171"/>
      <c r="AI235" s="171"/>
      <c r="AJ235" s="171"/>
    </row>
    <row r="236" spans="1:39" s="9" customFormat="1" ht="15.75">
      <c r="A236" s="171"/>
      <c r="B236" s="171"/>
      <c r="C236" s="251"/>
      <c r="D236" s="251"/>
      <c r="E236" s="251"/>
      <c r="F236" s="251"/>
      <c r="G236" s="251"/>
      <c r="H236" s="251"/>
      <c r="I236" s="251"/>
      <c r="J236" s="251"/>
      <c r="K236" s="251"/>
      <c r="L236" s="251"/>
      <c r="M236" s="251"/>
      <c r="N236" s="251"/>
      <c r="O236" s="251"/>
      <c r="P236" s="251"/>
      <c r="Q236" s="251"/>
      <c r="R236" s="251"/>
      <c r="S236" s="251"/>
      <c r="T236" s="251"/>
      <c r="U236" s="251"/>
      <c r="V236" s="251"/>
      <c r="W236" s="251"/>
      <c r="X236" s="251"/>
      <c r="Y236" s="171"/>
      <c r="Z236" s="171"/>
      <c r="AA236" s="171"/>
      <c r="AB236" s="171"/>
      <c r="AC236" s="171"/>
      <c r="AD236" s="171"/>
      <c r="AE236" s="171"/>
      <c r="AF236" s="171"/>
      <c r="AG236" s="171"/>
      <c r="AH236" s="171"/>
      <c r="AI236" s="171"/>
      <c r="AJ236" s="171"/>
    </row>
    <row r="237" spans="1:39" s="9" customFormat="1" ht="15.75">
      <c r="A237" s="171"/>
      <c r="B237" s="171" t="s">
        <v>989</v>
      </c>
      <c r="C237" s="251"/>
      <c r="D237" s="251"/>
      <c r="E237" s="251"/>
      <c r="F237" s="251"/>
      <c r="G237" s="251"/>
      <c r="H237" s="237">
        <v>-4.4329999999999998</v>
      </c>
      <c r="I237" s="237">
        <v>-193.643</v>
      </c>
      <c r="J237" s="237">
        <v>-638.25400000000002</v>
      </c>
      <c r="K237" s="237">
        <v>-528.80999999999995</v>
      </c>
      <c r="L237" s="234">
        <f t="shared" ref="L237:Q237" si="241">L238*L234</f>
        <v>52.716885707703561</v>
      </c>
      <c r="M237" s="234">
        <f t="shared" si="241"/>
        <v>71.808661282944811</v>
      </c>
      <c r="N237" s="234">
        <f t="shared" si="241"/>
        <v>96.385640888716281</v>
      </c>
      <c r="O237" s="234">
        <f t="shared" si="241"/>
        <v>116.87325395168902</v>
      </c>
      <c r="P237" s="234">
        <f t="shared" si="241"/>
        <v>139.71907944273113</v>
      </c>
      <c r="Q237" s="234">
        <f t="shared" si="241"/>
        <v>164.14611739696321</v>
      </c>
      <c r="R237" s="234">
        <f t="shared" ref="R237:V237" si="242">R238*R234</f>
        <v>188.72865463331803</v>
      </c>
      <c r="S237" s="234">
        <f t="shared" si="242"/>
        <v>214.52248142752919</v>
      </c>
      <c r="T237" s="234">
        <f t="shared" si="242"/>
        <v>242.25703188308759</v>
      </c>
      <c r="U237" s="234">
        <f t="shared" si="242"/>
        <v>272.29570934674467</v>
      </c>
      <c r="V237" s="234">
        <f t="shared" si="242"/>
        <v>304.46653182391424</v>
      </c>
      <c r="W237" s="251"/>
      <c r="X237" s="251"/>
      <c r="Y237" s="171"/>
      <c r="Z237" s="171"/>
      <c r="AA237" s="171"/>
      <c r="AB237" s="171"/>
      <c r="AC237" s="171"/>
      <c r="AD237" s="171"/>
      <c r="AE237" s="171"/>
      <c r="AF237" s="171"/>
      <c r="AG237" s="171"/>
      <c r="AH237" s="171"/>
      <c r="AI237" s="171"/>
      <c r="AJ237" s="171"/>
    </row>
    <row r="238" spans="1:39" s="9" customFormat="1" ht="15.75">
      <c r="A238" s="171"/>
      <c r="B238" s="171" t="s">
        <v>990</v>
      </c>
      <c r="C238" s="251"/>
      <c r="D238" s="251"/>
      <c r="E238" s="251"/>
      <c r="F238" s="251"/>
      <c r="G238" s="251"/>
      <c r="H238" s="185">
        <f>H237/H234</f>
        <v>0.51860084230228931</v>
      </c>
      <c r="I238" s="185">
        <f>I237/I234</f>
        <v>0.35567306650307368</v>
      </c>
      <c r="J238" s="185">
        <f>J237/J234</f>
        <v>0.33936214672263038</v>
      </c>
      <c r="K238" s="185">
        <f>K237/K234</f>
        <v>0.32816051760012954</v>
      </c>
      <c r="L238" s="746">
        <f t="shared" ref="L238:V238" si="243">K238</f>
        <v>0.32816051760012954</v>
      </c>
      <c r="M238" s="746">
        <f t="shared" si="243"/>
        <v>0.32816051760012954</v>
      </c>
      <c r="N238" s="746">
        <f t="shared" si="243"/>
        <v>0.32816051760012954</v>
      </c>
      <c r="O238" s="746">
        <f t="shared" si="243"/>
        <v>0.32816051760012954</v>
      </c>
      <c r="P238" s="746">
        <f t="shared" si="243"/>
        <v>0.32816051760012954</v>
      </c>
      <c r="Q238" s="746">
        <f t="shared" si="243"/>
        <v>0.32816051760012954</v>
      </c>
      <c r="R238" s="746">
        <f t="shared" si="243"/>
        <v>0.32816051760012954</v>
      </c>
      <c r="S238" s="746">
        <f t="shared" si="243"/>
        <v>0.32816051760012954</v>
      </c>
      <c r="T238" s="746">
        <f t="shared" si="243"/>
        <v>0.32816051760012954</v>
      </c>
      <c r="U238" s="746">
        <f t="shared" si="243"/>
        <v>0.32816051760012954</v>
      </c>
      <c r="V238" s="746">
        <f t="shared" si="243"/>
        <v>0.32816051760012954</v>
      </c>
      <c r="W238" s="251"/>
      <c r="X238" s="251"/>
      <c r="Y238" s="169"/>
      <c r="Z238" s="169"/>
      <c r="AA238" s="171"/>
      <c r="AB238" s="171"/>
      <c r="AC238" s="171"/>
      <c r="AD238" s="169"/>
      <c r="AE238" s="169"/>
      <c r="AF238" s="169"/>
      <c r="AG238" s="169"/>
      <c r="AH238" s="171"/>
      <c r="AI238" s="171"/>
      <c r="AJ238" s="171"/>
    </row>
    <row r="239" spans="1:39" s="9" customFormat="1" ht="15.75">
      <c r="A239" s="171"/>
      <c r="B239" s="171" t="s">
        <v>991</v>
      </c>
      <c r="C239" s="251"/>
      <c r="D239" s="251"/>
      <c r="E239" s="251"/>
      <c r="F239" s="251"/>
      <c r="G239" s="251"/>
      <c r="H239" s="234">
        <f t="shared" ref="H239:I239" si="244">H233-H237</f>
        <v>22.413</v>
      </c>
      <c r="I239" s="234">
        <f t="shared" si="244"/>
        <v>118.63</v>
      </c>
      <c r="J239" s="234">
        <f>J233-J237</f>
        <v>745.78200000000004</v>
      </c>
      <c r="K239" s="234">
        <f>K233-K237</f>
        <v>562.76699999999994</v>
      </c>
      <c r="L239" s="234">
        <f t="shared" ref="L239:Q239" si="245">L233-L237</f>
        <v>-7.7366787464771818</v>
      </c>
      <c r="M239" s="234">
        <f t="shared" si="245"/>
        <v>-6.1621339601986023</v>
      </c>
      <c r="N239" s="234">
        <f t="shared" si="245"/>
        <v>-8.2711642354058483</v>
      </c>
      <c r="O239" s="234">
        <f t="shared" si="245"/>
        <v>-10.029272713731388</v>
      </c>
      <c r="P239" s="234">
        <f t="shared" si="245"/>
        <v>-11.989747043595528</v>
      </c>
      <c r="Q239" s="234">
        <f t="shared" si="245"/>
        <v>-14.085910339715667</v>
      </c>
      <c r="R239" s="234">
        <f t="shared" ref="R239:V239" si="246">R233-R237</f>
        <v>-16.195417533215846</v>
      </c>
      <c r="S239" s="234">
        <f t="shared" si="246"/>
        <v>-18.408869409526488</v>
      </c>
      <c r="T239" s="234">
        <f t="shared" si="246"/>
        <v>-20.788861073201019</v>
      </c>
      <c r="U239" s="234">
        <f t="shared" si="246"/>
        <v>-23.366577343232905</v>
      </c>
      <c r="V239" s="234">
        <f t="shared" si="246"/>
        <v>-26.127259887264302</v>
      </c>
      <c r="W239" s="251"/>
      <c r="X239" s="251"/>
      <c r="Y239" s="169"/>
      <c r="Z239" s="169"/>
      <c r="AA239" s="171"/>
      <c r="AB239" s="171"/>
      <c r="AC239" s="171"/>
      <c r="AD239" s="169"/>
      <c r="AE239" s="169"/>
      <c r="AF239" s="169"/>
      <c r="AG239" s="169"/>
      <c r="AH239" s="171"/>
      <c r="AI239" s="171"/>
      <c r="AJ239" s="171"/>
    </row>
    <row r="240" spans="1:39" s="9" customFormat="1" ht="15.75">
      <c r="A240" s="171"/>
      <c r="B240" s="171"/>
      <c r="C240" s="251"/>
      <c r="D240" s="251"/>
      <c r="E240" s="251"/>
      <c r="F240" s="251"/>
      <c r="G240" s="251"/>
      <c r="H240" s="747"/>
      <c r="I240" s="747"/>
      <c r="J240" s="747"/>
      <c r="K240" s="747"/>
      <c r="L240" s="747"/>
      <c r="M240" s="747"/>
      <c r="N240" s="747"/>
      <c r="O240" s="747"/>
      <c r="P240" s="747"/>
      <c r="Q240" s="747"/>
      <c r="R240" s="747"/>
      <c r="S240" s="747"/>
      <c r="T240" s="747"/>
      <c r="U240" s="747"/>
      <c r="V240" s="747"/>
      <c r="W240" s="251"/>
      <c r="X240" s="251"/>
      <c r="Y240" s="169"/>
      <c r="Z240" s="169"/>
      <c r="AA240" s="171"/>
      <c r="AB240" s="171"/>
      <c r="AC240" s="171"/>
      <c r="AD240" s="169"/>
      <c r="AE240" s="169"/>
      <c r="AF240" s="169"/>
      <c r="AG240" s="169"/>
      <c r="AH240" s="171"/>
      <c r="AI240" s="171"/>
      <c r="AJ240" s="171"/>
    </row>
    <row r="241" spans="1:39" s="9" customFormat="1" ht="15.75">
      <c r="A241" s="171"/>
      <c r="B241" s="171"/>
      <c r="C241" s="251"/>
      <c r="D241" s="251"/>
      <c r="E241" s="251"/>
      <c r="F241" s="251"/>
      <c r="G241" s="251"/>
      <c r="H241" s="747"/>
      <c r="I241" s="747"/>
      <c r="J241" s="747"/>
      <c r="K241" s="251"/>
      <c r="L241" s="251"/>
      <c r="M241" s="251"/>
      <c r="N241" s="251"/>
      <c r="O241" s="251"/>
      <c r="P241" s="251"/>
      <c r="Q241" s="251"/>
      <c r="R241" s="251"/>
      <c r="S241" s="251"/>
      <c r="T241" s="251"/>
      <c r="U241" s="251"/>
      <c r="V241" s="251"/>
      <c r="W241" s="251"/>
      <c r="X241" s="251"/>
      <c r="Y241" s="169"/>
      <c r="Z241" s="169"/>
      <c r="AA241" s="171"/>
      <c r="AB241" s="171"/>
      <c r="AC241" s="171"/>
      <c r="AD241" s="169"/>
      <c r="AE241" s="169"/>
      <c r="AF241" s="169"/>
      <c r="AG241" s="169"/>
      <c r="AH241" s="171"/>
      <c r="AI241" s="171"/>
      <c r="AJ241" s="171"/>
    </row>
    <row r="242" spans="1:39" s="9" customFormat="1" ht="15.75">
      <c r="A242" s="171"/>
      <c r="B242" s="186" t="s">
        <v>109</v>
      </c>
      <c r="C242" s="187">
        <v>2016</v>
      </c>
      <c r="D242" s="187">
        <f t="shared" ref="D242:V242" si="247">C242+1</f>
        <v>2017</v>
      </c>
      <c r="E242" s="187">
        <f t="shared" si="247"/>
        <v>2018</v>
      </c>
      <c r="F242" s="187">
        <f t="shared" si="247"/>
        <v>2019</v>
      </c>
      <c r="G242" s="187">
        <f t="shared" si="247"/>
        <v>2020</v>
      </c>
      <c r="H242" s="187">
        <f t="shared" si="247"/>
        <v>2021</v>
      </c>
      <c r="I242" s="187">
        <f t="shared" si="247"/>
        <v>2022</v>
      </c>
      <c r="J242" s="187">
        <f t="shared" si="247"/>
        <v>2023</v>
      </c>
      <c r="K242" s="187">
        <f t="shared" si="247"/>
        <v>2024</v>
      </c>
      <c r="L242" s="187">
        <f t="shared" si="247"/>
        <v>2025</v>
      </c>
      <c r="M242" s="187">
        <f t="shared" si="247"/>
        <v>2026</v>
      </c>
      <c r="N242" s="187">
        <f t="shared" si="247"/>
        <v>2027</v>
      </c>
      <c r="O242" s="187">
        <f t="shared" si="247"/>
        <v>2028</v>
      </c>
      <c r="P242" s="187">
        <f t="shared" si="247"/>
        <v>2029</v>
      </c>
      <c r="Q242" s="187">
        <f t="shared" si="247"/>
        <v>2030</v>
      </c>
      <c r="R242" s="187">
        <f t="shared" si="247"/>
        <v>2031</v>
      </c>
      <c r="S242" s="187">
        <f t="shared" si="247"/>
        <v>2032</v>
      </c>
      <c r="T242" s="187">
        <f t="shared" si="247"/>
        <v>2033</v>
      </c>
      <c r="U242" s="187">
        <f t="shared" si="247"/>
        <v>2034</v>
      </c>
      <c r="V242" s="187">
        <f t="shared" si="247"/>
        <v>2035</v>
      </c>
      <c r="W242" s="174"/>
      <c r="X242" s="174"/>
      <c r="Y242" s="169"/>
      <c r="Z242" s="169"/>
      <c r="AA242" s="169"/>
      <c r="AB242" s="169"/>
      <c r="AC242" s="171"/>
      <c r="AD242" s="171"/>
      <c r="AE242" s="171"/>
      <c r="AF242" s="171"/>
      <c r="AG242" s="171"/>
      <c r="AH242" s="171"/>
      <c r="AI242" s="171"/>
      <c r="AJ242" s="171"/>
    </row>
    <row r="243" spans="1:39" s="9" customFormat="1" ht="15.75">
      <c r="A243" s="171"/>
      <c r="B243" s="171" t="s">
        <v>109</v>
      </c>
      <c r="C243" s="237">
        <v>1095.9290000000001</v>
      </c>
      <c r="D243" s="237">
        <v>1096.105</v>
      </c>
      <c r="E243" s="237">
        <v>1096.105</v>
      </c>
      <c r="F243" s="237">
        <v>4530.87</v>
      </c>
      <c r="G243" s="237">
        <v>4530.87</v>
      </c>
      <c r="H243" s="237">
        <v>5223.4840000000004</v>
      </c>
      <c r="I243" s="237">
        <v>5311.9530000000004</v>
      </c>
      <c r="J243" s="237">
        <v>5394.8119999999999</v>
      </c>
      <c r="K243" s="237">
        <v>5403.1390000000001</v>
      </c>
      <c r="L243" s="234">
        <f>K243-L285</f>
        <v>5363.1390000000001</v>
      </c>
      <c r="M243" s="234">
        <f>L243-M285</f>
        <v>5313.1390000000001</v>
      </c>
      <c r="N243" s="234">
        <f t="shared" ref="N243:V243" si="248">M243-N285</f>
        <v>5253.1390000000001</v>
      </c>
      <c r="O243" s="234">
        <f t="shared" si="248"/>
        <v>5183.1390000000001</v>
      </c>
      <c r="P243" s="234">
        <f t="shared" si="248"/>
        <v>5103.1390000000001</v>
      </c>
      <c r="Q243" s="234">
        <f t="shared" si="248"/>
        <v>5013.1390000000001</v>
      </c>
      <c r="R243" s="234">
        <f t="shared" si="248"/>
        <v>4913.1390000000001</v>
      </c>
      <c r="S243" s="234">
        <f t="shared" si="248"/>
        <v>4803.1390000000001</v>
      </c>
      <c r="T243" s="234">
        <f t="shared" si="248"/>
        <v>4683.1390000000001</v>
      </c>
      <c r="U243" s="234">
        <f t="shared" si="248"/>
        <v>4553.1390000000001</v>
      </c>
      <c r="V243" s="234">
        <f t="shared" si="248"/>
        <v>4413.1390000000001</v>
      </c>
      <c r="W243" s="234"/>
      <c r="X243" s="234"/>
      <c r="Y243" s="169"/>
      <c r="Z243" s="169"/>
      <c r="AA243" s="169"/>
      <c r="AB243" s="169"/>
      <c r="AC243" s="171"/>
      <c r="AD243" s="171"/>
      <c r="AE243" s="171"/>
      <c r="AF243" s="171"/>
      <c r="AG243" s="171"/>
      <c r="AH243" s="171"/>
      <c r="AI243" s="171"/>
      <c r="AJ243" s="171"/>
    </row>
    <row r="244" spans="1:39" s="9" customFormat="1" ht="15.75">
      <c r="A244" s="171"/>
      <c r="B244" s="171"/>
      <c r="C244" s="234"/>
      <c r="D244" s="234"/>
      <c r="E244" s="234"/>
      <c r="F244" s="234"/>
      <c r="G244" s="234"/>
      <c r="H244" s="234"/>
      <c r="I244" s="234"/>
      <c r="J244" s="234"/>
      <c r="K244" s="234"/>
      <c r="L244" s="234"/>
      <c r="M244" s="234"/>
      <c r="N244" s="234"/>
      <c r="O244" s="234"/>
      <c r="P244" s="234"/>
      <c r="Q244" s="234"/>
      <c r="R244" s="234"/>
      <c r="S244" s="234"/>
      <c r="T244" s="234"/>
      <c r="U244" s="234"/>
      <c r="V244" s="234"/>
      <c r="W244" s="234"/>
      <c r="X244" s="234"/>
      <c r="Y244" s="169"/>
      <c r="Z244" s="169"/>
      <c r="AA244" s="169"/>
      <c r="AB244" s="169"/>
      <c r="AC244" s="171"/>
      <c r="AD244" s="171"/>
      <c r="AE244" s="171"/>
      <c r="AF244" s="171"/>
      <c r="AG244" s="171"/>
      <c r="AH244" s="171"/>
      <c r="AI244" s="171"/>
      <c r="AJ244" s="171"/>
    </row>
    <row r="245" spans="1:39" s="9" customFormat="1" ht="15.75">
      <c r="A245" s="171"/>
      <c r="B245" s="171"/>
      <c r="C245" s="234"/>
      <c r="D245" s="234"/>
      <c r="E245" s="234"/>
      <c r="F245" s="234"/>
      <c r="G245" s="234"/>
      <c r="H245" s="234"/>
      <c r="I245" s="234"/>
      <c r="J245" s="234"/>
      <c r="K245" s="234"/>
      <c r="L245" s="234"/>
      <c r="M245" s="234"/>
      <c r="N245" s="234"/>
      <c r="O245" s="234"/>
      <c r="P245" s="234"/>
      <c r="Q245" s="234"/>
      <c r="R245" s="234"/>
      <c r="S245" s="234"/>
      <c r="T245" s="234"/>
      <c r="U245" s="234"/>
      <c r="V245" s="234"/>
      <c r="W245" s="234"/>
      <c r="X245" s="234"/>
      <c r="Y245" s="169"/>
      <c r="Z245" s="169"/>
      <c r="AA245" s="169"/>
      <c r="AB245" s="169"/>
      <c r="AC245" s="171"/>
      <c r="AD245" s="171"/>
      <c r="AE245" s="171"/>
      <c r="AF245" s="171"/>
      <c r="AG245" s="171"/>
      <c r="AH245" s="171"/>
      <c r="AI245" s="171"/>
      <c r="AJ245" s="171"/>
    </row>
    <row r="246" spans="1:39" s="9" customFormat="1" ht="15.75">
      <c r="A246" s="171"/>
      <c r="B246" s="186" t="s">
        <v>49</v>
      </c>
      <c r="C246" s="187">
        <v>2016</v>
      </c>
      <c r="D246" s="187">
        <f t="shared" ref="D246:V246" si="249">C246+1</f>
        <v>2017</v>
      </c>
      <c r="E246" s="187">
        <f t="shared" si="249"/>
        <v>2018</v>
      </c>
      <c r="F246" s="187">
        <f t="shared" si="249"/>
        <v>2019</v>
      </c>
      <c r="G246" s="187">
        <f t="shared" si="249"/>
        <v>2020</v>
      </c>
      <c r="H246" s="187">
        <f t="shared" si="249"/>
        <v>2021</v>
      </c>
      <c r="I246" s="187">
        <f t="shared" si="249"/>
        <v>2022</v>
      </c>
      <c r="J246" s="187">
        <f t="shared" si="249"/>
        <v>2023</v>
      </c>
      <c r="K246" s="187">
        <f t="shared" si="249"/>
        <v>2024</v>
      </c>
      <c r="L246" s="187">
        <f t="shared" si="249"/>
        <v>2025</v>
      </c>
      <c r="M246" s="187">
        <f t="shared" si="249"/>
        <v>2026</v>
      </c>
      <c r="N246" s="187">
        <f t="shared" si="249"/>
        <v>2027</v>
      </c>
      <c r="O246" s="187">
        <f t="shared" si="249"/>
        <v>2028</v>
      </c>
      <c r="P246" s="187">
        <f t="shared" si="249"/>
        <v>2029</v>
      </c>
      <c r="Q246" s="187">
        <f t="shared" si="249"/>
        <v>2030</v>
      </c>
      <c r="R246" s="187">
        <f t="shared" si="249"/>
        <v>2031</v>
      </c>
      <c r="S246" s="187">
        <f t="shared" si="249"/>
        <v>2032</v>
      </c>
      <c r="T246" s="187">
        <f t="shared" si="249"/>
        <v>2033</v>
      </c>
      <c r="U246" s="187">
        <f t="shared" si="249"/>
        <v>2034</v>
      </c>
      <c r="V246" s="187">
        <f t="shared" si="249"/>
        <v>2035</v>
      </c>
      <c r="W246" s="174"/>
      <c r="X246" s="174"/>
      <c r="Y246" s="169"/>
      <c r="Z246" s="169"/>
      <c r="AA246" s="169"/>
      <c r="AB246" s="169"/>
      <c r="AC246" s="169"/>
      <c r="AD246" s="171"/>
      <c r="AE246" s="171"/>
      <c r="AF246" s="171"/>
      <c r="AG246" s="171"/>
      <c r="AH246" s="169"/>
      <c r="AI246" s="169"/>
      <c r="AJ246" s="169"/>
      <c r="AK246" s="8"/>
      <c r="AL246" s="8"/>
      <c r="AM246" s="8"/>
    </row>
    <row r="247" spans="1:39" s="9" customFormat="1" ht="15.75">
      <c r="A247" s="171"/>
      <c r="B247" s="171" t="s">
        <v>110</v>
      </c>
      <c r="C247" s="237">
        <f>-11.693-77.282</f>
        <v>-88.974999999999994</v>
      </c>
      <c r="D247" s="237">
        <f>-12.778-79.449</f>
        <v>-92.227000000000004</v>
      </c>
      <c r="E247" s="237">
        <f>-12.778-81.663</f>
        <v>-94.441000000000003</v>
      </c>
      <c r="F247" s="198">
        <v>-587.15499999999997</v>
      </c>
      <c r="G247" s="198">
        <v>-485.505</v>
      </c>
      <c r="H247" s="198">
        <v>-780.27200000000005</v>
      </c>
      <c r="I247" s="198">
        <v>-861.42200000000003</v>
      </c>
      <c r="J247" s="198">
        <v>8.43</v>
      </c>
      <c r="K247" s="198">
        <v>1067.701</v>
      </c>
      <c r="L247" s="180">
        <f t="shared" ref="L247:V247" si="250">K247</f>
        <v>1067.701</v>
      </c>
      <c r="M247" s="180">
        <f t="shared" si="250"/>
        <v>1067.701</v>
      </c>
      <c r="N247" s="180">
        <f t="shared" si="250"/>
        <v>1067.701</v>
      </c>
      <c r="O247" s="180">
        <f t="shared" si="250"/>
        <v>1067.701</v>
      </c>
      <c r="P247" s="180">
        <f t="shared" si="250"/>
        <v>1067.701</v>
      </c>
      <c r="Q247" s="180">
        <f t="shared" si="250"/>
        <v>1067.701</v>
      </c>
      <c r="R247" s="180">
        <f t="shared" si="250"/>
        <v>1067.701</v>
      </c>
      <c r="S247" s="180">
        <f t="shared" si="250"/>
        <v>1067.701</v>
      </c>
      <c r="T247" s="180">
        <f t="shared" si="250"/>
        <v>1067.701</v>
      </c>
      <c r="U247" s="180">
        <f t="shared" si="250"/>
        <v>1067.701</v>
      </c>
      <c r="V247" s="180">
        <f t="shared" si="250"/>
        <v>1067.701</v>
      </c>
      <c r="W247" s="180"/>
      <c r="X247" s="180"/>
      <c r="Y247" s="169"/>
      <c r="Z247" s="169"/>
      <c r="AA247" s="169"/>
      <c r="AB247" s="169"/>
      <c r="AC247" s="169"/>
      <c r="AD247" s="169"/>
      <c r="AE247" s="169"/>
      <c r="AF247" s="169"/>
      <c r="AG247" s="169"/>
      <c r="AH247" s="171"/>
      <c r="AI247" s="171"/>
      <c r="AJ247" s="171"/>
    </row>
    <row r="248" spans="1:39" s="9" customFormat="1" ht="15.75">
      <c r="A248" s="171"/>
      <c r="B248" s="171"/>
      <c r="C248" s="234"/>
      <c r="D248" s="234"/>
      <c r="E248" s="234"/>
      <c r="F248" s="234"/>
      <c r="G248" s="234"/>
      <c r="H248" s="234"/>
      <c r="I248" s="234"/>
      <c r="J248" s="234"/>
      <c r="K248" s="234"/>
      <c r="L248" s="234"/>
      <c r="M248" s="234"/>
      <c r="N248" s="234"/>
      <c r="O248" s="234"/>
      <c r="P248" s="234"/>
      <c r="Q248" s="234"/>
      <c r="R248" s="234"/>
      <c r="S248" s="234"/>
      <c r="T248" s="234"/>
      <c r="U248" s="234"/>
      <c r="V248" s="234"/>
      <c r="W248" s="234"/>
      <c r="X248" s="234"/>
      <c r="Y248" s="169"/>
      <c r="Z248" s="169"/>
      <c r="AA248" s="169"/>
      <c r="AB248" s="169"/>
      <c r="AC248" s="169"/>
      <c r="AD248" s="169"/>
      <c r="AE248" s="169"/>
      <c r="AF248" s="169"/>
      <c r="AG248" s="169"/>
      <c r="AH248" s="171"/>
      <c r="AI248" s="171"/>
      <c r="AJ248" s="171"/>
    </row>
    <row r="249" spans="1:39" s="9" customFormat="1" ht="15.75">
      <c r="A249" s="171"/>
      <c r="B249" s="171"/>
      <c r="C249" s="234"/>
      <c r="D249" s="234"/>
      <c r="E249" s="234"/>
      <c r="F249" s="234"/>
      <c r="G249" s="234"/>
      <c r="H249" s="234"/>
      <c r="I249" s="234"/>
      <c r="J249" s="234"/>
      <c r="K249" s="234"/>
      <c r="L249" s="234"/>
      <c r="M249" s="234"/>
      <c r="N249" s="234"/>
      <c r="O249" s="234"/>
      <c r="P249" s="234"/>
      <c r="Q249" s="234"/>
      <c r="R249" s="234"/>
      <c r="S249" s="234"/>
      <c r="T249" s="234"/>
      <c r="U249" s="234"/>
      <c r="V249" s="234"/>
      <c r="W249" s="234"/>
      <c r="X249" s="234"/>
      <c r="Y249" s="169"/>
      <c r="Z249" s="169"/>
      <c r="AA249" s="169"/>
      <c r="AB249" s="169"/>
      <c r="AC249" s="169"/>
      <c r="AD249" s="169"/>
      <c r="AE249" s="169"/>
      <c r="AF249" s="169"/>
      <c r="AG249" s="169"/>
      <c r="AH249" s="171"/>
      <c r="AI249" s="171"/>
      <c r="AJ249" s="171"/>
    </row>
    <row r="250" spans="1:39" s="9" customFormat="1" ht="15.75">
      <c r="A250" s="171"/>
      <c r="B250" s="186" t="s">
        <v>304</v>
      </c>
      <c r="C250" s="187">
        <v>2016</v>
      </c>
      <c r="D250" s="187">
        <f t="shared" ref="D250:V250" si="251">C250+1</f>
        <v>2017</v>
      </c>
      <c r="E250" s="187">
        <f t="shared" si="251"/>
        <v>2018</v>
      </c>
      <c r="F250" s="187">
        <f t="shared" si="251"/>
        <v>2019</v>
      </c>
      <c r="G250" s="187">
        <f t="shared" si="251"/>
        <v>2020</v>
      </c>
      <c r="H250" s="187">
        <f t="shared" si="251"/>
        <v>2021</v>
      </c>
      <c r="I250" s="187">
        <f t="shared" si="251"/>
        <v>2022</v>
      </c>
      <c r="J250" s="187">
        <f t="shared" si="251"/>
        <v>2023</v>
      </c>
      <c r="K250" s="187">
        <f t="shared" si="251"/>
        <v>2024</v>
      </c>
      <c r="L250" s="187">
        <f t="shared" si="251"/>
        <v>2025</v>
      </c>
      <c r="M250" s="187">
        <f t="shared" si="251"/>
        <v>2026</v>
      </c>
      <c r="N250" s="187">
        <f t="shared" si="251"/>
        <v>2027</v>
      </c>
      <c r="O250" s="187">
        <f t="shared" si="251"/>
        <v>2028</v>
      </c>
      <c r="P250" s="187">
        <f t="shared" si="251"/>
        <v>2029</v>
      </c>
      <c r="Q250" s="187">
        <f t="shared" si="251"/>
        <v>2030</v>
      </c>
      <c r="R250" s="187">
        <f t="shared" si="251"/>
        <v>2031</v>
      </c>
      <c r="S250" s="187">
        <f t="shared" si="251"/>
        <v>2032</v>
      </c>
      <c r="T250" s="187">
        <f t="shared" si="251"/>
        <v>2033</v>
      </c>
      <c r="U250" s="187">
        <f t="shared" si="251"/>
        <v>2034</v>
      </c>
      <c r="V250" s="187">
        <f t="shared" si="251"/>
        <v>2035</v>
      </c>
      <c r="W250" s="174"/>
      <c r="X250" s="174"/>
      <c r="Y250" s="169"/>
      <c r="Z250" s="169"/>
      <c r="AA250" s="169"/>
      <c r="AB250" s="169"/>
      <c r="AC250" s="169"/>
      <c r="AD250" s="169"/>
      <c r="AE250" s="169"/>
      <c r="AF250" s="169"/>
      <c r="AG250" s="169"/>
      <c r="AH250" s="171"/>
      <c r="AI250" s="171"/>
      <c r="AJ250" s="171"/>
    </row>
    <row r="251" spans="1:39" s="9" customFormat="1" ht="15.75">
      <c r="A251" s="171"/>
      <c r="B251" s="171" t="s">
        <v>30</v>
      </c>
      <c r="C251" s="237">
        <f>-11.693-77.282</f>
        <v>-88.974999999999994</v>
      </c>
      <c r="D251" s="237">
        <f>-12.778-79.449</f>
        <v>-92.227000000000004</v>
      </c>
      <c r="E251" s="237">
        <f>-12.778-81.663</f>
        <v>-94.441000000000003</v>
      </c>
      <c r="F251" s="227">
        <v>0</v>
      </c>
      <c r="G251" s="227">
        <v>14.215999999999999</v>
      </c>
      <c r="H251" s="227">
        <v>142.953</v>
      </c>
      <c r="I251" s="227">
        <v>227.2</v>
      </c>
      <c r="J251" s="227">
        <v>237.506</v>
      </c>
      <c r="K251" s="227">
        <v>158.77000000000001</v>
      </c>
      <c r="L251" s="200">
        <f t="shared" ref="L251:V251" si="252">K251+L252</f>
        <v>145.98520000000002</v>
      </c>
      <c r="M251" s="200">
        <f t="shared" si="252"/>
        <v>132.56116000000003</v>
      </c>
      <c r="N251" s="200">
        <f t="shared" si="252"/>
        <v>118.46591800000003</v>
      </c>
      <c r="O251" s="200">
        <f t="shared" si="252"/>
        <v>103.66591390000002</v>
      </c>
      <c r="P251" s="200">
        <f t="shared" si="252"/>
        <v>88.125909595000024</v>
      </c>
      <c r="Q251" s="200">
        <f t="shared" si="252"/>
        <v>71.808905074750015</v>
      </c>
      <c r="R251" s="200">
        <f t="shared" si="252"/>
        <v>54.676050328487506</v>
      </c>
      <c r="S251" s="200">
        <f t="shared" si="252"/>
        <v>36.686552844911873</v>
      </c>
      <c r="T251" s="200">
        <f t="shared" si="252"/>
        <v>17.797580487157457</v>
      </c>
      <c r="U251" s="200">
        <f t="shared" si="252"/>
        <v>-2.0358404884846806</v>
      </c>
      <c r="V251" s="200">
        <f t="shared" si="252"/>
        <v>-22.860932512908928</v>
      </c>
      <c r="W251" s="200"/>
      <c r="X251" s="200"/>
      <c r="Y251" s="169"/>
      <c r="Z251" s="169"/>
      <c r="AA251" s="169"/>
      <c r="AB251" s="169"/>
      <c r="AC251" s="169"/>
      <c r="AD251" s="169"/>
      <c r="AE251" s="169"/>
      <c r="AF251" s="169"/>
      <c r="AG251" s="169"/>
      <c r="AH251" s="171"/>
      <c r="AI251" s="171"/>
      <c r="AJ251" s="171"/>
    </row>
    <row r="252" spans="1:39" s="9" customFormat="1" ht="15.75">
      <c r="A252" s="171"/>
      <c r="B252" s="171" t="s">
        <v>305</v>
      </c>
      <c r="C252" s="234"/>
      <c r="D252" s="234"/>
      <c r="E252" s="234"/>
      <c r="F252" s="200">
        <v>0</v>
      </c>
      <c r="G252" s="227">
        <v>-0.68799999999999994</v>
      </c>
      <c r="H252" s="227">
        <v>-0.28899999999999998</v>
      </c>
      <c r="I252" s="227">
        <v>-9.9589999999999996</v>
      </c>
      <c r="J252" s="227">
        <v>-11.569000000000001</v>
      </c>
      <c r="K252" s="227">
        <v>-12.176</v>
      </c>
      <c r="L252" s="200">
        <f t="shared" ref="L252:V252" si="253">K252*(1+L253)</f>
        <v>-12.784800000000001</v>
      </c>
      <c r="M252" s="200">
        <f t="shared" si="253"/>
        <v>-13.424040000000002</v>
      </c>
      <c r="N252" s="200">
        <f t="shared" si="253"/>
        <v>-14.095242000000002</v>
      </c>
      <c r="O252" s="200">
        <f t="shared" si="253"/>
        <v>-14.800004100000002</v>
      </c>
      <c r="P252" s="200">
        <f t="shared" si="253"/>
        <v>-15.540004305000004</v>
      </c>
      <c r="Q252" s="200">
        <f t="shared" si="253"/>
        <v>-16.317004520250006</v>
      </c>
      <c r="R252" s="200">
        <f t="shared" si="253"/>
        <v>-17.132854746262506</v>
      </c>
      <c r="S252" s="200">
        <f t="shared" si="253"/>
        <v>-17.989497483575633</v>
      </c>
      <c r="T252" s="200">
        <f t="shared" si="253"/>
        <v>-18.888972357754415</v>
      </c>
      <c r="U252" s="200">
        <f t="shared" si="253"/>
        <v>-19.833420975642138</v>
      </c>
      <c r="V252" s="200">
        <f t="shared" si="253"/>
        <v>-20.825092024424247</v>
      </c>
      <c r="W252" s="200"/>
      <c r="X252" s="200"/>
      <c r="Y252" s="169"/>
      <c r="Z252" s="169"/>
      <c r="AA252" s="169"/>
      <c r="AB252" s="169"/>
      <c r="AC252" s="169"/>
      <c r="AD252" s="169"/>
      <c r="AE252" s="169"/>
      <c r="AF252" s="169"/>
      <c r="AG252" s="169"/>
      <c r="AH252" s="171"/>
      <c r="AI252" s="171"/>
      <c r="AJ252" s="171"/>
    </row>
    <row r="253" spans="1:39" s="9" customFormat="1" ht="15.75">
      <c r="A253" s="171"/>
      <c r="B253" s="171" t="s">
        <v>633</v>
      </c>
      <c r="C253" s="234"/>
      <c r="D253" s="185"/>
      <c r="E253" s="185"/>
      <c r="F253" s="185"/>
      <c r="G253" s="185"/>
      <c r="H253" s="185">
        <f>H252/G252-1</f>
        <v>-0.57994186046511631</v>
      </c>
      <c r="I253" s="185">
        <f>I252/H252-1</f>
        <v>33.460207612456749</v>
      </c>
      <c r="J253" s="185">
        <f>J252/I252-1</f>
        <v>0.16166281755196321</v>
      </c>
      <c r="K253" s="185">
        <f>K252/J252-1</f>
        <v>5.2467801884346077E-2</v>
      </c>
      <c r="L253" s="256">
        <v>0.05</v>
      </c>
      <c r="M253" s="256">
        <v>0.05</v>
      </c>
      <c r="N253" s="256">
        <v>0.05</v>
      </c>
      <c r="O253" s="256">
        <v>0.05</v>
      </c>
      <c r="P253" s="256">
        <v>0.05</v>
      </c>
      <c r="Q253" s="256">
        <v>0.05</v>
      </c>
      <c r="R253" s="256">
        <v>0.05</v>
      </c>
      <c r="S253" s="256">
        <v>0.05</v>
      </c>
      <c r="T253" s="256">
        <v>0.05</v>
      </c>
      <c r="U253" s="256">
        <v>0.05</v>
      </c>
      <c r="V253" s="256">
        <v>0.05</v>
      </c>
      <c r="W253" s="686"/>
      <c r="X253" s="686"/>
      <c r="Y253" s="169"/>
      <c r="Z253" s="169"/>
      <c r="AA253" s="169"/>
      <c r="AB253" s="169"/>
      <c r="AC253" s="169"/>
      <c r="AD253" s="169"/>
      <c r="AE253" s="169"/>
      <c r="AF253" s="169"/>
      <c r="AG253" s="169"/>
      <c r="AH253" s="171"/>
      <c r="AI253" s="171"/>
      <c r="AJ253" s="171"/>
    </row>
    <row r="254" spans="1:39" s="9" customFormat="1" ht="15.75">
      <c r="A254" s="171"/>
      <c r="B254" s="171"/>
      <c r="C254" s="234"/>
      <c r="D254" s="234"/>
      <c r="E254" s="234"/>
      <c r="F254" s="234"/>
      <c r="G254" s="234"/>
      <c r="H254" s="234"/>
      <c r="I254" s="234"/>
      <c r="J254" s="234"/>
      <c r="K254" s="234"/>
      <c r="L254" s="234"/>
      <c r="M254" s="234"/>
      <c r="N254" s="234"/>
      <c r="O254" s="234"/>
      <c r="P254" s="234"/>
      <c r="Q254" s="234"/>
      <c r="R254" s="234"/>
      <c r="S254" s="234"/>
      <c r="T254" s="234"/>
      <c r="U254" s="234"/>
      <c r="V254" s="234"/>
      <c r="W254" s="234"/>
      <c r="X254" s="234"/>
      <c r="Y254" s="169"/>
      <c r="Z254" s="169"/>
      <c r="AA254" s="169"/>
      <c r="AB254" s="169"/>
      <c r="AC254" s="169"/>
      <c r="AD254" s="169"/>
      <c r="AE254" s="169"/>
      <c r="AF254" s="169"/>
      <c r="AG254" s="169"/>
      <c r="AH254" s="171"/>
      <c r="AI254" s="171"/>
      <c r="AJ254" s="171"/>
    </row>
    <row r="255" spans="1:39" s="9" customFormat="1" ht="15.75">
      <c r="A255" s="171"/>
      <c r="B255" s="171"/>
      <c r="C255" s="234"/>
      <c r="D255" s="178"/>
      <c r="E255" s="178"/>
      <c r="F255" s="178"/>
      <c r="G255" s="178"/>
      <c r="H255" s="178"/>
      <c r="I255" s="178"/>
      <c r="J255" s="178"/>
      <c r="K255" s="234"/>
      <c r="L255" s="234"/>
      <c r="M255" s="234"/>
      <c r="N255" s="234"/>
      <c r="O255" s="234"/>
      <c r="P255" s="234"/>
      <c r="Q255" s="234"/>
      <c r="R255" s="234"/>
      <c r="S255" s="234"/>
      <c r="T255" s="234"/>
      <c r="U255" s="234"/>
      <c r="V255" s="234"/>
      <c r="W255" s="234"/>
      <c r="X255" s="234"/>
      <c r="Y255" s="169"/>
      <c r="Z255" s="169"/>
      <c r="AA255" s="169"/>
      <c r="AB255" s="169"/>
      <c r="AC255" s="169"/>
      <c r="AD255" s="169"/>
      <c r="AE255" s="169"/>
      <c r="AF255" s="169"/>
      <c r="AG255" s="169"/>
      <c r="AH255" s="171"/>
      <c r="AI255" s="171"/>
      <c r="AJ255" s="171"/>
    </row>
    <row r="256" spans="1:39" s="9" customFormat="1" ht="15.75">
      <c r="A256" s="171"/>
      <c r="B256" s="186" t="s">
        <v>50</v>
      </c>
      <c r="C256" s="187">
        <v>2016</v>
      </c>
      <c r="D256" s="187">
        <f t="shared" ref="D256:V256" si="254">C256+1</f>
        <v>2017</v>
      </c>
      <c r="E256" s="187">
        <f t="shared" si="254"/>
        <v>2018</v>
      </c>
      <c r="F256" s="187">
        <f t="shared" si="254"/>
        <v>2019</v>
      </c>
      <c r="G256" s="187">
        <f t="shared" si="254"/>
        <v>2020</v>
      </c>
      <c r="H256" s="187">
        <f t="shared" si="254"/>
        <v>2021</v>
      </c>
      <c r="I256" s="187">
        <f t="shared" si="254"/>
        <v>2022</v>
      </c>
      <c r="J256" s="187">
        <f t="shared" si="254"/>
        <v>2023</v>
      </c>
      <c r="K256" s="187">
        <f t="shared" si="254"/>
        <v>2024</v>
      </c>
      <c r="L256" s="187">
        <f t="shared" si="254"/>
        <v>2025</v>
      </c>
      <c r="M256" s="187">
        <f t="shared" si="254"/>
        <v>2026</v>
      </c>
      <c r="N256" s="187">
        <f t="shared" si="254"/>
        <v>2027</v>
      </c>
      <c r="O256" s="187">
        <f t="shared" si="254"/>
        <v>2028</v>
      </c>
      <c r="P256" s="187">
        <f t="shared" si="254"/>
        <v>2029</v>
      </c>
      <c r="Q256" s="187">
        <f t="shared" si="254"/>
        <v>2030</v>
      </c>
      <c r="R256" s="187">
        <f t="shared" si="254"/>
        <v>2031</v>
      </c>
      <c r="S256" s="187">
        <f t="shared" si="254"/>
        <v>2032</v>
      </c>
      <c r="T256" s="187">
        <f t="shared" si="254"/>
        <v>2033</v>
      </c>
      <c r="U256" s="187">
        <f t="shared" si="254"/>
        <v>2034</v>
      </c>
      <c r="V256" s="187">
        <f t="shared" si="254"/>
        <v>2035</v>
      </c>
      <c r="W256" s="174"/>
      <c r="X256" s="174"/>
      <c r="Y256" s="169"/>
      <c r="Z256" s="169"/>
      <c r="AA256" s="169"/>
      <c r="AB256" s="169"/>
      <c r="AC256" s="169"/>
      <c r="AD256" s="169"/>
      <c r="AE256" s="169"/>
      <c r="AF256" s="169"/>
      <c r="AG256" s="169"/>
      <c r="AH256" s="171"/>
      <c r="AI256" s="171"/>
      <c r="AJ256" s="171"/>
    </row>
    <row r="257" spans="1:38" s="9" customFormat="1" ht="15.75">
      <c r="A257" s="171"/>
      <c r="B257" s="171" t="s">
        <v>50</v>
      </c>
      <c r="C257" s="237">
        <v>-554.87800000000004</v>
      </c>
      <c r="D257" s="237">
        <v>-752.28</v>
      </c>
      <c r="E257" s="237">
        <v>-879.95899999999995</v>
      </c>
      <c r="F257" s="198">
        <v>-2513.3960000000002</v>
      </c>
      <c r="G257" s="198">
        <v>-2835.39</v>
      </c>
      <c r="H257" s="198">
        <v>-2860.2049999999999</v>
      </c>
      <c r="I257" s="198">
        <v>-3317.652</v>
      </c>
      <c r="J257" s="198">
        <v>-5293.3940000000002</v>
      </c>
      <c r="K257" s="198">
        <v>-6925.4189999999999</v>
      </c>
      <c r="L257" s="180">
        <f t="shared" ref="L257:V257" si="255">K257+L259+L260+L258</f>
        <v>-6496.4708106711323</v>
      </c>
      <c r="M257" s="180">
        <f t="shared" si="255"/>
        <v>-6218.2032349158244</v>
      </c>
      <c r="N257" s="180">
        <f t="shared" si="255"/>
        <v>-5912.0951626013039</v>
      </c>
      <c r="O257" s="180">
        <f t="shared" si="255"/>
        <v>-5595.2927583749315</v>
      </c>
      <c r="P257" s="180">
        <f t="shared" si="255"/>
        <v>-5258.868956582899</v>
      </c>
      <c r="Q257" s="180">
        <f t="shared" si="255"/>
        <v>-4902.4290233947304</v>
      </c>
      <c r="R257" s="180">
        <f t="shared" si="255"/>
        <v>-4526.7888569816851</v>
      </c>
      <c r="S257" s="180">
        <f t="shared" si="255"/>
        <v>-4126.4897080728888</v>
      </c>
      <c r="T257" s="180">
        <f t="shared" si="255"/>
        <v>-3699.1408845130691</v>
      </c>
      <c r="U257" s="180">
        <f t="shared" si="255"/>
        <v>-3241.8523548074336</v>
      </c>
      <c r="V257" s="180">
        <f t="shared" si="255"/>
        <v>-2753.4862822682562</v>
      </c>
      <c r="W257" s="180"/>
      <c r="X257" s="180"/>
      <c r="Y257" s="169"/>
      <c r="Z257" s="169"/>
      <c r="AA257" s="169"/>
      <c r="AB257" s="169"/>
      <c r="AC257" s="169"/>
      <c r="AD257" s="169"/>
      <c r="AE257" s="169"/>
      <c r="AF257" s="169"/>
      <c r="AG257" s="169"/>
      <c r="AH257" s="169"/>
      <c r="AI257" s="169"/>
      <c r="AJ257" s="169"/>
      <c r="AK257" s="8"/>
      <c r="AL257" s="8"/>
    </row>
    <row r="258" spans="1:38" s="9" customFormat="1" ht="15.75">
      <c r="A258" s="171"/>
      <c r="B258" s="171" t="s">
        <v>111</v>
      </c>
      <c r="C258" s="234"/>
      <c r="D258" s="234"/>
      <c r="E258" s="234"/>
      <c r="F258" s="180">
        <f t="shared" ref="F258:V258" si="256">F57</f>
        <v>-422.95200000000011</v>
      </c>
      <c r="G258" s="180">
        <f t="shared" si="256"/>
        <v>-321.99399999999997</v>
      </c>
      <c r="H258" s="234">
        <f t="shared" si="256"/>
        <v>-26.239000000000058</v>
      </c>
      <c r="I258" s="180">
        <f t="shared" si="256"/>
        <v>-459.46900000000011</v>
      </c>
      <c r="J258" s="180">
        <f t="shared" si="256"/>
        <v>-1976.7049999999997</v>
      </c>
      <c r="K258" s="180">
        <f t="shared" si="256"/>
        <v>-1633.2180000000003</v>
      </c>
      <c r="L258" s="180">
        <f t="shared" si="256"/>
        <v>128.44818932886781</v>
      </c>
      <c r="M258" s="180">
        <f t="shared" si="256"/>
        <v>166.59927041974115</v>
      </c>
      <c r="N258" s="180">
        <f t="shared" si="256"/>
        <v>219.69568752439105</v>
      </c>
      <c r="O258" s="180">
        <f t="shared" si="256"/>
        <v>264.10262698856786</v>
      </c>
      <c r="P258" s="180">
        <f t="shared" si="256"/>
        <v>313.57511323631644</v>
      </c>
      <c r="Q258" s="180">
        <f t="shared" si="256"/>
        <v>366.45748765382763</v>
      </c>
      <c r="R258" s="180">
        <f t="shared" si="256"/>
        <v>419.71040797983437</v>
      </c>
      <c r="S258" s="180">
        <f t="shared" si="256"/>
        <v>475.58792552558197</v>
      </c>
      <c r="T258" s="180">
        <f t="shared" si="256"/>
        <v>535.64803758082303</v>
      </c>
      <c r="U258" s="180">
        <f t="shared" si="256"/>
        <v>600.66806231716964</v>
      </c>
      <c r="V258" s="180">
        <f t="shared" si="256"/>
        <v>670.28339320994087</v>
      </c>
      <c r="W258" s="180"/>
      <c r="X258" s="180"/>
      <c r="Y258" s="169"/>
      <c r="Z258" s="169"/>
      <c r="AA258" s="169"/>
      <c r="AB258" s="169"/>
      <c r="AC258" s="169"/>
      <c r="AD258" s="169"/>
      <c r="AE258" s="169"/>
      <c r="AF258" s="169"/>
      <c r="AG258" s="169"/>
      <c r="AH258" s="169"/>
      <c r="AI258" s="169"/>
      <c r="AJ258" s="169"/>
      <c r="AK258" s="8"/>
      <c r="AL258" s="8"/>
    </row>
    <row r="259" spans="1:38" s="9" customFormat="1" ht="15.75">
      <c r="A259" s="171"/>
      <c r="B259" s="171" t="s">
        <v>112</v>
      </c>
      <c r="C259" s="180">
        <f t="shared" ref="C259:I259" si="257">C297</f>
        <v>0</v>
      </c>
      <c r="D259" s="180">
        <f t="shared" si="257"/>
        <v>0</v>
      </c>
      <c r="E259" s="180">
        <f t="shared" si="257"/>
        <v>0</v>
      </c>
      <c r="F259" s="180">
        <f t="shared" si="257"/>
        <v>0</v>
      </c>
      <c r="G259" s="180">
        <f t="shared" si="257"/>
        <v>0</v>
      </c>
      <c r="H259" s="180">
        <f t="shared" si="257"/>
        <v>0</v>
      </c>
      <c r="I259" s="180">
        <f t="shared" si="257"/>
        <v>0</v>
      </c>
      <c r="J259" s="180">
        <f>J297</f>
        <v>0</v>
      </c>
      <c r="K259" s="180">
        <f>K297</f>
        <v>0</v>
      </c>
      <c r="L259" s="180">
        <f>L117</f>
        <v>0</v>
      </c>
      <c r="M259" s="180">
        <f t="shared" ref="M259:V259" si="258">M117</f>
        <v>-57.831694664433911</v>
      </c>
      <c r="N259" s="180">
        <f t="shared" si="258"/>
        <v>-76.587615209870577</v>
      </c>
      <c r="O259" s="180">
        <f t="shared" si="258"/>
        <v>-102.80022276219552</v>
      </c>
      <c r="P259" s="180">
        <f t="shared" si="258"/>
        <v>-124.65131144428392</v>
      </c>
      <c r="Q259" s="180">
        <f t="shared" si="258"/>
        <v>-149.01755446565821</v>
      </c>
      <c r="R259" s="180">
        <f t="shared" si="258"/>
        <v>-175.07024156678881</v>
      </c>
      <c r="S259" s="180">
        <f t="shared" si="258"/>
        <v>-201.28877661678592</v>
      </c>
      <c r="T259" s="180">
        <f t="shared" si="258"/>
        <v>-228.79921402100317</v>
      </c>
      <c r="U259" s="180">
        <f t="shared" si="258"/>
        <v>-258.37953261153433</v>
      </c>
      <c r="V259" s="180">
        <f t="shared" si="258"/>
        <v>-290.41732067076373</v>
      </c>
      <c r="W259" s="180"/>
      <c r="X259" s="180"/>
      <c r="Y259" s="169"/>
      <c r="Z259" s="169"/>
      <c r="AA259" s="169"/>
      <c r="AB259" s="169"/>
      <c r="AC259" s="169"/>
      <c r="AD259" s="169"/>
      <c r="AE259" s="169"/>
      <c r="AF259" s="169"/>
      <c r="AG259" s="169"/>
      <c r="AH259" s="169"/>
      <c r="AI259" s="169"/>
      <c r="AJ259" s="169"/>
      <c r="AK259" s="8"/>
      <c r="AL259" s="8"/>
    </row>
    <row r="260" spans="1:38" s="9" customFormat="1" ht="15.75">
      <c r="A260" s="171"/>
      <c r="B260" s="171" t="s">
        <v>21</v>
      </c>
      <c r="C260" s="180">
        <f t="shared" ref="C260:I260" si="259">C115-C197</f>
        <v>-6.6820000000000004</v>
      </c>
      <c r="D260" s="180">
        <f t="shared" si="259"/>
        <v>-33.472000000000001</v>
      </c>
      <c r="E260" s="180">
        <f t="shared" si="259"/>
        <v>6.4089999999999989</v>
      </c>
      <c r="F260" s="180">
        <f t="shared" si="259"/>
        <v>-0.58100000000000307</v>
      </c>
      <c r="G260" s="180">
        <f t="shared" si="259"/>
        <v>241.11599999999996</v>
      </c>
      <c r="H260" s="180">
        <f t="shared" si="259"/>
        <v>128.88</v>
      </c>
      <c r="I260" s="180">
        <f t="shared" si="259"/>
        <v>486.32300000000009</v>
      </c>
      <c r="J260" s="180">
        <f t="shared" ref="J260:K260" si="260">J115-J197-J46</f>
        <v>2104.5889999999999</v>
      </c>
      <c r="K260" s="180">
        <f t="shared" si="260"/>
        <v>1711.297</v>
      </c>
      <c r="L260" s="193">
        <v>300.5</v>
      </c>
      <c r="M260" s="193">
        <v>169.5</v>
      </c>
      <c r="N260" s="193">
        <v>163</v>
      </c>
      <c r="O260" s="193">
        <v>155.5</v>
      </c>
      <c r="P260" s="193">
        <v>147.5</v>
      </c>
      <c r="Q260" s="193">
        <v>139</v>
      </c>
      <c r="R260" s="193">
        <v>131</v>
      </c>
      <c r="S260" s="193">
        <v>126</v>
      </c>
      <c r="T260" s="193">
        <v>120.5</v>
      </c>
      <c r="U260" s="193">
        <v>115</v>
      </c>
      <c r="V260" s="193">
        <v>108.5</v>
      </c>
      <c r="W260" s="180"/>
      <c r="X260" s="180"/>
      <c r="Y260" s="169"/>
      <c r="Z260" s="169"/>
      <c r="AA260" s="169"/>
      <c r="AB260" s="169"/>
      <c r="AC260" s="169"/>
      <c r="AD260" s="169"/>
      <c r="AE260" s="169"/>
      <c r="AF260" s="169"/>
      <c r="AG260" s="169"/>
      <c r="AH260" s="169"/>
      <c r="AI260" s="169"/>
      <c r="AJ260" s="169"/>
      <c r="AK260" s="8"/>
      <c r="AL260" s="8"/>
    </row>
    <row r="261" spans="1:38" s="9" customFormat="1" ht="15.75">
      <c r="A261" s="171"/>
      <c r="B261" s="171"/>
      <c r="C261" s="251"/>
      <c r="D261" s="251"/>
      <c r="E261" s="251"/>
      <c r="F261" s="251"/>
      <c r="G261" s="251"/>
      <c r="H261" s="251"/>
      <c r="I261" s="251"/>
      <c r="J261" s="251"/>
      <c r="K261" s="251"/>
      <c r="L261" s="251"/>
      <c r="M261" s="251"/>
      <c r="N261" s="251"/>
      <c r="O261" s="251"/>
      <c r="P261" s="251"/>
      <c r="Q261" s="251"/>
      <c r="R261" s="251"/>
      <c r="S261" s="251"/>
      <c r="T261" s="251"/>
      <c r="U261" s="251"/>
      <c r="V261" s="251"/>
      <c r="W261" s="251"/>
      <c r="X261" s="251"/>
      <c r="Y261" s="169"/>
      <c r="Z261" s="169"/>
      <c r="AA261" s="169"/>
      <c r="AB261" s="169"/>
      <c r="AC261" s="169"/>
      <c r="AD261" s="169"/>
      <c r="AE261" s="169"/>
      <c r="AF261" s="169"/>
      <c r="AG261" s="169"/>
      <c r="AH261" s="169"/>
      <c r="AI261" s="169"/>
      <c r="AJ261" s="169"/>
      <c r="AK261" s="8"/>
      <c r="AL261" s="8"/>
    </row>
    <row r="262" spans="1:38" s="9" customFormat="1" ht="15.75">
      <c r="A262" s="171"/>
      <c r="B262" s="171"/>
      <c r="C262" s="251"/>
      <c r="D262" s="251"/>
      <c r="E262" s="251"/>
      <c r="F262" s="251"/>
      <c r="G262" s="251"/>
      <c r="H262" s="251"/>
      <c r="I262" s="251"/>
      <c r="J262" s="251"/>
      <c r="K262" s="251"/>
      <c r="L262" s="251"/>
      <c r="M262" s="251"/>
      <c r="N262" s="251"/>
      <c r="O262" s="251"/>
      <c r="P262" s="251"/>
      <c r="Q262" s="251"/>
      <c r="R262" s="251"/>
      <c r="S262" s="251"/>
      <c r="T262" s="251"/>
      <c r="U262" s="251"/>
      <c r="V262" s="251"/>
      <c r="W262" s="251"/>
      <c r="X262" s="251"/>
      <c r="Y262" s="169"/>
      <c r="Z262" s="169"/>
      <c r="AA262" s="169"/>
      <c r="AB262" s="169"/>
      <c r="AC262" s="169"/>
      <c r="AD262" s="169"/>
      <c r="AE262" s="169"/>
      <c r="AF262" s="169"/>
      <c r="AG262" s="169"/>
      <c r="AH262" s="169"/>
      <c r="AI262" s="169"/>
      <c r="AJ262" s="169"/>
      <c r="AK262" s="8"/>
      <c r="AL262" s="8"/>
    </row>
    <row r="263" spans="1:38" s="9" customFormat="1" ht="15.75">
      <c r="A263" s="171"/>
      <c r="B263" s="169"/>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69"/>
      <c r="Z263" s="169"/>
      <c r="AA263" s="169"/>
      <c r="AB263" s="169"/>
      <c r="AC263" s="169"/>
      <c r="AD263" s="169"/>
      <c r="AE263" s="169"/>
      <c r="AF263" s="169"/>
      <c r="AG263" s="169"/>
      <c r="AH263" s="169"/>
      <c r="AI263" s="169"/>
      <c r="AJ263" s="169"/>
      <c r="AK263" s="8"/>
      <c r="AL263" s="8"/>
    </row>
    <row r="264" spans="1:38" s="9" customFormat="1" ht="21.75" customHeight="1">
      <c r="A264" s="171"/>
      <c r="B264" s="284" t="s">
        <v>674</v>
      </c>
      <c r="C264" s="285"/>
      <c r="D264" s="285"/>
      <c r="E264" s="285"/>
      <c r="F264" s="285"/>
      <c r="G264" s="285"/>
      <c r="H264" s="285"/>
      <c r="I264" s="285"/>
      <c r="J264" s="285"/>
      <c r="K264" s="285"/>
      <c r="L264" s="285"/>
      <c r="M264" s="285"/>
      <c r="N264" s="285"/>
      <c r="O264" s="285"/>
      <c r="P264" s="285"/>
      <c r="Q264" s="285"/>
      <c r="R264" s="285"/>
      <c r="S264" s="285"/>
      <c r="T264" s="285"/>
      <c r="U264" s="285"/>
      <c r="V264" s="285"/>
      <c r="W264" s="190"/>
      <c r="X264" s="190"/>
      <c r="Y264" s="169"/>
      <c r="Z264" s="169"/>
      <c r="AA264" s="169"/>
      <c r="AB264" s="169"/>
      <c r="AC264" s="169"/>
      <c r="AD264" s="169"/>
      <c r="AE264" s="169"/>
      <c r="AF264" s="169"/>
      <c r="AG264" s="169"/>
      <c r="AH264" s="169"/>
      <c r="AI264" s="169"/>
      <c r="AJ264" s="169"/>
      <c r="AK264" s="8"/>
      <c r="AL264" s="8"/>
    </row>
    <row r="265" spans="1:38" s="9" customFormat="1" ht="15.75">
      <c r="A265" s="171"/>
      <c r="B265" s="169"/>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69"/>
      <c r="Z265" s="169"/>
      <c r="AA265" s="169"/>
      <c r="AB265" s="169"/>
      <c r="AC265" s="169"/>
      <c r="AD265" s="169"/>
      <c r="AE265" s="169"/>
      <c r="AF265" s="169"/>
      <c r="AG265" s="169"/>
      <c r="AH265" s="169"/>
      <c r="AI265" s="169"/>
      <c r="AJ265" s="169"/>
      <c r="AK265" s="8"/>
      <c r="AL265" s="8"/>
    </row>
    <row r="266" spans="1:38" s="9" customFormat="1" ht="15.75">
      <c r="A266" s="171"/>
      <c r="B266" s="186" t="s">
        <v>113</v>
      </c>
      <c r="C266" s="187">
        <v>2016</v>
      </c>
      <c r="D266" s="187">
        <f t="shared" ref="D266:V266" si="261">C266+1</f>
        <v>2017</v>
      </c>
      <c r="E266" s="187">
        <f t="shared" si="261"/>
        <v>2018</v>
      </c>
      <c r="F266" s="187">
        <f t="shared" si="261"/>
        <v>2019</v>
      </c>
      <c r="G266" s="187">
        <f t="shared" si="261"/>
        <v>2020</v>
      </c>
      <c r="H266" s="187">
        <f t="shared" si="261"/>
        <v>2021</v>
      </c>
      <c r="I266" s="187">
        <f t="shared" si="261"/>
        <v>2022</v>
      </c>
      <c r="J266" s="187">
        <f t="shared" si="261"/>
        <v>2023</v>
      </c>
      <c r="K266" s="187">
        <f t="shared" si="261"/>
        <v>2024</v>
      </c>
      <c r="L266" s="187">
        <f t="shared" si="261"/>
        <v>2025</v>
      </c>
      <c r="M266" s="187">
        <f t="shared" si="261"/>
        <v>2026</v>
      </c>
      <c r="N266" s="187">
        <f t="shared" si="261"/>
        <v>2027</v>
      </c>
      <c r="O266" s="187">
        <f t="shared" si="261"/>
        <v>2028</v>
      </c>
      <c r="P266" s="187">
        <f t="shared" si="261"/>
        <v>2029</v>
      </c>
      <c r="Q266" s="187">
        <f t="shared" si="261"/>
        <v>2030</v>
      </c>
      <c r="R266" s="187">
        <f t="shared" si="261"/>
        <v>2031</v>
      </c>
      <c r="S266" s="187">
        <f t="shared" si="261"/>
        <v>2032</v>
      </c>
      <c r="T266" s="187">
        <f t="shared" si="261"/>
        <v>2033</v>
      </c>
      <c r="U266" s="187">
        <f t="shared" si="261"/>
        <v>2034</v>
      </c>
      <c r="V266" s="187">
        <f t="shared" si="261"/>
        <v>2035</v>
      </c>
      <c r="W266" s="174"/>
      <c r="X266" s="174"/>
      <c r="Y266" s="169"/>
      <c r="Z266" s="169"/>
      <c r="AA266" s="169"/>
      <c r="AB266" s="169"/>
      <c r="AC266" s="169"/>
      <c r="AD266" s="169"/>
      <c r="AE266" s="169"/>
      <c r="AF266" s="169"/>
      <c r="AG266" s="169"/>
      <c r="AH266" s="169"/>
      <c r="AI266" s="169"/>
      <c r="AJ266" s="169"/>
      <c r="AK266" s="8"/>
      <c r="AL266" s="8"/>
    </row>
    <row r="267" spans="1:38" s="9" customFormat="1" ht="15.75">
      <c r="A267" s="171"/>
      <c r="B267" s="171" t="s">
        <v>9</v>
      </c>
      <c r="C267" s="201">
        <f t="shared" ref="C267:V267" si="262">C19</f>
        <v>84.518000000000001</v>
      </c>
      <c r="D267" s="201">
        <f t="shared" si="262"/>
        <v>146</v>
      </c>
      <c r="E267" s="200">
        <f t="shared" si="262"/>
        <v>177.6</v>
      </c>
      <c r="F267" s="200">
        <f t="shared" si="262"/>
        <v>668.61399999999992</v>
      </c>
      <c r="G267" s="200">
        <f t="shared" si="262"/>
        <v>819.01400000000001</v>
      </c>
      <c r="H267" s="200">
        <f t="shared" si="262"/>
        <v>926.39599999999996</v>
      </c>
      <c r="I267" s="200">
        <f t="shared" si="262"/>
        <v>1031.386</v>
      </c>
      <c r="J267" s="200">
        <f t="shared" si="262"/>
        <v>1132.5350000000001</v>
      </c>
      <c r="K267" s="200">
        <f t="shared" si="262"/>
        <v>928.35399999999993</v>
      </c>
      <c r="L267" s="200">
        <f t="shared" si="262"/>
        <v>998.65849699308114</v>
      </c>
      <c r="M267" s="200">
        <f t="shared" si="262"/>
        <v>1051.2963469177898</v>
      </c>
      <c r="N267" s="200">
        <f t="shared" si="262"/>
        <v>1136.8872381829219</v>
      </c>
      <c r="O267" s="200">
        <f t="shared" si="262"/>
        <v>1215.7125917450928</v>
      </c>
      <c r="P267" s="200">
        <f t="shared" si="262"/>
        <v>1299.9171313615789</v>
      </c>
      <c r="Q267" s="200">
        <f t="shared" si="262"/>
        <v>1387.4387083095012</v>
      </c>
      <c r="R267" s="200">
        <f t="shared" si="262"/>
        <v>1474.7790505029366</v>
      </c>
      <c r="S267" s="200">
        <f t="shared" si="262"/>
        <v>1564.7079206201638</v>
      </c>
      <c r="T267" s="200">
        <f t="shared" si="262"/>
        <v>1660.3990786374698</v>
      </c>
      <c r="U267" s="200">
        <f t="shared" si="262"/>
        <v>1762.1582617619658</v>
      </c>
      <c r="V267" s="200">
        <f t="shared" si="262"/>
        <v>1870.4763671005544</v>
      </c>
      <c r="W267" s="200"/>
      <c r="X267" s="200"/>
      <c r="Y267" s="169"/>
      <c r="Z267" s="169"/>
      <c r="AA267" s="169"/>
      <c r="AB267" s="169"/>
      <c r="AC267" s="169"/>
      <c r="AD267" s="169"/>
      <c r="AE267" s="169"/>
      <c r="AF267" s="169"/>
      <c r="AG267" s="169"/>
      <c r="AH267" s="169"/>
      <c r="AI267" s="169"/>
      <c r="AJ267" s="169"/>
      <c r="AK267" s="8"/>
      <c r="AL267" s="8"/>
    </row>
    <row r="268" spans="1:38" s="9" customFormat="1" ht="15.75">
      <c r="A268" s="171"/>
      <c r="B268" s="171" t="s">
        <v>114</v>
      </c>
      <c r="C268" s="201">
        <f>-C137</f>
        <v>0</v>
      </c>
      <c r="D268" s="201">
        <f>-D137</f>
        <v>0</v>
      </c>
      <c r="E268" s="200">
        <f>-E137</f>
        <v>-287.70800000000003</v>
      </c>
      <c r="F268" s="200">
        <f>-F44</f>
        <v>-355.76</v>
      </c>
      <c r="G268" s="200">
        <f t="shared" ref="G268:Q268" si="263">-G137</f>
        <v>-373.24700000000001</v>
      </c>
      <c r="H268" s="200">
        <f t="shared" si="263"/>
        <v>-345.12299999999999</v>
      </c>
      <c r="I268" s="200">
        <f t="shared" si="263"/>
        <v>-422.49099999999999</v>
      </c>
      <c r="J268" s="200">
        <f t="shared" si="263"/>
        <v>-386.46499999999997</v>
      </c>
      <c r="K268" s="200">
        <f t="shared" si="263"/>
        <v>-317.15699999999998</v>
      </c>
      <c r="L268" s="200">
        <f t="shared" si="263"/>
        <v>-316.42947243316257</v>
      </c>
      <c r="M268" s="200">
        <f t="shared" si="263"/>
        <v>-314.6262582830916</v>
      </c>
      <c r="N268" s="200">
        <f t="shared" si="263"/>
        <v>-320.40456895759104</v>
      </c>
      <c r="O268" s="200">
        <f t="shared" si="263"/>
        <v>-332.16689165620301</v>
      </c>
      <c r="P268" s="200">
        <f t="shared" si="263"/>
        <v>-343.19591484150334</v>
      </c>
      <c r="Q268" s="200">
        <f t="shared" si="263"/>
        <v>-352.8663963551241</v>
      </c>
      <c r="R268" s="200">
        <f t="shared" ref="R268:V268" si="264">-R137</f>
        <v>-361.90429051680616</v>
      </c>
      <c r="S268" s="200">
        <f t="shared" si="264"/>
        <v>-369.59842793092349</v>
      </c>
      <c r="T268" s="200">
        <f t="shared" si="264"/>
        <v>-376.68255150334079</v>
      </c>
      <c r="U268" s="200">
        <f t="shared" si="264"/>
        <v>-382.51055001458133</v>
      </c>
      <c r="V268" s="200">
        <f t="shared" si="264"/>
        <v>-387.84869422655896</v>
      </c>
      <c r="W268" s="200"/>
      <c r="X268" s="200"/>
      <c r="Y268" s="169"/>
      <c r="Z268" s="169"/>
      <c r="AA268" s="169"/>
      <c r="AB268" s="169"/>
      <c r="AC268" s="169"/>
      <c r="AD268" s="169"/>
      <c r="AE268" s="169"/>
      <c r="AF268" s="169"/>
      <c r="AG268" s="169"/>
      <c r="AH268" s="169"/>
      <c r="AI268" s="169"/>
      <c r="AJ268" s="169"/>
      <c r="AK268" s="8"/>
      <c r="AL268" s="8"/>
    </row>
    <row r="269" spans="1:38" s="9" customFormat="1" ht="15.75">
      <c r="A269" s="171"/>
      <c r="B269" s="171" t="s">
        <v>115</v>
      </c>
      <c r="C269" s="201">
        <f>-C45</f>
        <v>0</v>
      </c>
      <c r="D269" s="201">
        <f>-D45</f>
        <v>-21.777999999999999</v>
      </c>
      <c r="E269" s="200">
        <f>-E45</f>
        <v>-8.3729999999999993</v>
      </c>
      <c r="F269" s="200">
        <f>-F45</f>
        <v>-28.747</v>
      </c>
      <c r="G269" s="200">
        <f t="shared" ref="G269:V269" si="265">-G45</f>
        <v>-35.414999999999999</v>
      </c>
      <c r="H269" s="200">
        <f t="shared" si="265"/>
        <v>-38.165999999999997</v>
      </c>
      <c r="I269" s="200">
        <f t="shared" si="265"/>
        <v>-47.33</v>
      </c>
      <c r="J269" s="200">
        <f t="shared" si="265"/>
        <v>-50.383000000000003</v>
      </c>
      <c r="K269" s="200">
        <f t="shared" si="265"/>
        <v>-46.768000000000001</v>
      </c>
      <c r="L269" s="200">
        <f t="shared" si="265"/>
        <v>-48.593861018267759</v>
      </c>
      <c r="M269" s="200">
        <f t="shared" si="265"/>
        <v>-50.092861660878981</v>
      </c>
      <c r="N269" s="200">
        <f t="shared" si="265"/>
        <v>-54.549470910254826</v>
      </c>
      <c r="O269" s="200">
        <f t="shared" si="265"/>
        <v>-59.057084860744347</v>
      </c>
      <c r="P269" s="200">
        <f t="shared" si="265"/>
        <v>-62.413994456364705</v>
      </c>
      <c r="Q269" s="200">
        <f t="shared" si="265"/>
        <v>-65.655916116962786</v>
      </c>
      <c r="R269" s="200">
        <f t="shared" si="265"/>
        <v>-68.843816186659112</v>
      </c>
      <c r="S269" s="200">
        <f t="shared" si="265"/>
        <v>-71.911180903779012</v>
      </c>
      <c r="T269" s="200">
        <f t="shared" si="265"/>
        <v>-74.922805103013488</v>
      </c>
      <c r="U269" s="200">
        <f t="shared" si="265"/>
        <v>-77.814167341598434</v>
      </c>
      <c r="V269" s="200">
        <f t="shared" si="265"/>
        <v>-80.657327105682597</v>
      </c>
      <c r="W269" s="200"/>
      <c r="X269" s="200"/>
      <c r="Y269" s="169"/>
      <c r="Z269" s="169"/>
      <c r="AA269" s="169"/>
      <c r="AB269" s="169"/>
      <c r="AC269" s="169"/>
      <c r="AD269" s="169"/>
      <c r="AE269" s="169"/>
      <c r="AF269" s="169"/>
      <c r="AG269" s="169"/>
      <c r="AH269" s="169"/>
      <c r="AI269" s="169"/>
      <c r="AJ269" s="169"/>
      <c r="AK269" s="8"/>
      <c r="AL269" s="8"/>
    </row>
    <row r="270" spans="1:38" s="9" customFormat="1" ht="15.75">
      <c r="A270" s="171"/>
      <c r="B270" s="171" t="s">
        <v>116</v>
      </c>
      <c r="C270" s="201">
        <f t="shared" ref="C270:Q270" si="266">-C179+C183</f>
        <v>-59.811</v>
      </c>
      <c r="D270" s="201">
        <f t="shared" si="266"/>
        <v>-102.051</v>
      </c>
      <c r="E270" s="200">
        <f t="shared" si="266"/>
        <v>-106.054</v>
      </c>
      <c r="F270" s="200">
        <f t="shared" si="266"/>
        <v>-194.58099999999999</v>
      </c>
      <c r="G270" s="200">
        <f t="shared" si="266"/>
        <v>-204.529</v>
      </c>
      <c r="H270" s="200">
        <f t="shared" si="266"/>
        <v>-204.30799999999999</v>
      </c>
      <c r="I270" s="200">
        <f t="shared" si="266"/>
        <v>-293.27199999999999</v>
      </c>
      <c r="J270" s="200">
        <f t="shared" si="266"/>
        <v>-398.99</v>
      </c>
      <c r="K270" s="200">
        <f t="shared" si="266"/>
        <v>-409.33599999999996</v>
      </c>
      <c r="L270" s="200">
        <f t="shared" si="266"/>
        <v>-386.51656725155664</v>
      </c>
      <c r="M270" s="200">
        <f t="shared" si="266"/>
        <v>-381.28046923133184</v>
      </c>
      <c r="N270" s="200">
        <f t="shared" si="266"/>
        <v>-381.74327613737455</v>
      </c>
      <c r="O270" s="200">
        <f t="shared" si="266"/>
        <v>-381.86701110161994</v>
      </c>
      <c r="P270" s="200">
        <f t="shared" si="266"/>
        <v>-382.06778073325887</v>
      </c>
      <c r="Q270" s="200">
        <f t="shared" si="266"/>
        <v>-382.24070564658905</v>
      </c>
      <c r="R270" s="200">
        <f t="shared" ref="R270:V270" si="267">-R179+R183</f>
        <v>-382.44515346579732</v>
      </c>
      <c r="S270" s="200">
        <f t="shared" si="267"/>
        <v>-383.0112717254525</v>
      </c>
      <c r="T270" s="200">
        <f t="shared" si="267"/>
        <v>-384.09148599816046</v>
      </c>
      <c r="U270" s="200">
        <f t="shared" si="267"/>
        <v>-385.59477106074706</v>
      </c>
      <c r="V270" s="200">
        <f t="shared" si="267"/>
        <v>-387.69777264614646</v>
      </c>
      <c r="W270" s="200"/>
      <c r="X270" s="200"/>
      <c r="Y270" s="169"/>
      <c r="Z270" s="169"/>
      <c r="AA270" s="257"/>
      <c r="AB270" s="169"/>
      <c r="AC270" s="169"/>
      <c r="AD270" s="169"/>
      <c r="AE270" s="169"/>
      <c r="AF270" s="169"/>
      <c r="AG270" s="169"/>
      <c r="AH270" s="169"/>
      <c r="AI270" s="169"/>
      <c r="AJ270" s="169"/>
      <c r="AK270" s="8"/>
      <c r="AL270" s="8"/>
    </row>
    <row r="271" spans="1:38" s="9" customFormat="1" ht="15.75">
      <c r="A271" s="171"/>
      <c r="B271" s="171" t="s">
        <v>117</v>
      </c>
      <c r="C271" s="201"/>
      <c r="D271" s="201"/>
      <c r="E271" s="200"/>
      <c r="F271" s="200"/>
      <c r="G271" s="200"/>
      <c r="H271" s="200"/>
      <c r="I271" s="200"/>
      <c r="J271" s="200"/>
      <c r="K271" s="200"/>
      <c r="L271" s="200"/>
      <c r="M271" s="200"/>
      <c r="N271" s="200"/>
      <c r="O271" s="200"/>
      <c r="P271" s="200"/>
      <c r="Q271" s="200"/>
      <c r="R271" s="200"/>
      <c r="S271" s="200"/>
      <c r="T271" s="200"/>
      <c r="U271" s="200"/>
      <c r="V271" s="200"/>
      <c r="W271" s="200"/>
      <c r="X271" s="200"/>
      <c r="Y271" s="169"/>
      <c r="Z271" s="169"/>
      <c r="AA271" s="181"/>
      <c r="AB271" s="169"/>
      <c r="AC271" s="169"/>
      <c r="AD271" s="169"/>
      <c r="AE271" s="169"/>
      <c r="AF271" s="169"/>
      <c r="AG271" s="169"/>
      <c r="AH271" s="169"/>
      <c r="AI271" s="169"/>
      <c r="AJ271" s="169"/>
      <c r="AK271" s="8"/>
      <c r="AL271" s="8"/>
    </row>
    <row r="272" spans="1:38" s="9" customFormat="1" ht="15.75">
      <c r="A272" s="171"/>
      <c r="B272" s="171" t="s">
        <v>118</v>
      </c>
      <c r="C272" s="201">
        <f t="shared" ref="C272:Q272" si="268">-C233</f>
        <v>0</v>
      </c>
      <c r="D272" s="201">
        <f t="shared" si="268"/>
        <v>-3.2069999999999999</v>
      </c>
      <c r="E272" s="200">
        <f t="shared" si="268"/>
        <v>-4.3689999999999998</v>
      </c>
      <c r="F272" s="200">
        <f t="shared" si="268"/>
        <v>-13.518000000000001</v>
      </c>
      <c r="G272" s="200">
        <f t="shared" si="268"/>
        <v>-169.82900000000001</v>
      </c>
      <c r="H272" s="200">
        <f t="shared" si="268"/>
        <v>-17.98</v>
      </c>
      <c r="I272" s="200">
        <f t="shared" si="268"/>
        <v>75.013000000000005</v>
      </c>
      <c r="J272" s="200">
        <f t="shared" si="268"/>
        <v>-107.52800000000001</v>
      </c>
      <c r="K272" s="200">
        <f t="shared" si="268"/>
        <v>-33.957000000000001</v>
      </c>
      <c r="L272" s="200">
        <f t="shared" si="268"/>
        <v>-44.980206961226379</v>
      </c>
      <c r="M272" s="200">
        <f t="shared" si="268"/>
        <v>-65.646527322746209</v>
      </c>
      <c r="N272" s="200">
        <f t="shared" si="268"/>
        <v>-88.114476653310433</v>
      </c>
      <c r="O272" s="200">
        <f t="shared" si="268"/>
        <v>-106.84398123795764</v>
      </c>
      <c r="P272" s="200">
        <f t="shared" si="268"/>
        <v>-127.7293323991356</v>
      </c>
      <c r="Q272" s="200">
        <f t="shared" si="268"/>
        <v>-150.06020705724754</v>
      </c>
      <c r="R272" s="200">
        <f t="shared" ref="R272:V272" si="269">-R233</f>
        <v>-172.53323710010218</v>
      </c>
      <c r="S272" s="200">
        <f t="shared" si="269"/>
        <v>-196.1136120180027</v>
      </c>
      <c r="T272" s="200">
        <f t="shared" si="269"/>
        <v>-221.46817080988657</v>
      </c>
      <c r="U272" s="200">
        <f t="shared" si="269"/>
        <v>-248.92913200351177</v>
      </c>
      <c r="V272" s="200">
        <f t="shared" si="269"/>
        <v>-278.33927193664994</v>
      </c>
      <c r="W272" s="200"/>
      <c r="X272" s="200"/>
      <c r="Y272" s="169"/>
      <c r="Z272" s="169"/>
      <c r="AA272" s="181"/>
      <c r="AB272" s="169"/>
      <c r="AC272" s="169"/>
      <c r="AD272" s="169"/>
      <c r="AE272" s="169"/>
      <c r="AF272" s="169"/>
      <c r="AG272" s="169"/>
      <c r="AH272" s="169"/>
      <c r="AI272" s="169"/>
      <c r="AJ272" s="169"/>
      <c r="AK272" s="8"/>
      <c r="AL272" s="8"/>
    </row>
    <row r="273" spans="1:38" s="9" customFormat="1" ht="15.75">
      <c r="A273" s="171"/>
      <c r="B273" s="171" t="s">
        <v>119</v>
      </c>
      <c r="C273" s="201">
        <v>0</v>
      </c>
      <c r="D273" s="201">
        <v>0</v>
      </c>
      <c r="E273" s="200">
        <v>0</v>
      </c>
      <c r="F273" s="200">
        <v>0</v>
      </c>
      <c r="G273" s="200">
        <v>0</v>
      </c>
      <c r="H273" s="200">
        <v>0</v>
      </c>
      <c r="I273" s="200">
        <v>0</v>
      </c>
      <c r="J273" s="200">
        <v>0</v>
      </c>
      <c r="K273" s="200">
        <v>0</v>
      </c>
      <c r="L273" s="200">
        <v>0</v>
      </c>
      <c r="M273" s="200">
        <v>0</v>
      </c>
      <c r="N273" s="200">
        <v>0</v>
      </c>
      <c r="O273" s="200">
        <v>0</v>
      </c>
      <c r="P273" s="200">
        <v>0</v>
      </c>
      <c r="Q273" s="200">
        <v>0</v>
      </c>
      <c r="R273" s="200">
        <v>0</v>
      </c>
      <c r="S273" s="200">
        <v>0</v>
      </c>
      <c r="T273" s="200">
        <v>0</v>
      </c>
      <c r="U273" s="200">
        <v>0</v>
      </c>
      <c r="V273" s="200">
        <v>0</v>
      </c>
      <c r="W273" s="200"/>
      <c r="X273" s="200"/>
      <c r="Y273" s="169"/>
      <c r="Z273" s="169"/>
      <c r="AA273" s="169"/>
      <c r="AB273" s="169"/>
      <c r="AC273" s="169"/>
      <c r="AD273" s="169"/>
      <c r="AE273" s="169"/>
      <c r="AF273" s="169"/>
      <c r="AG273" s="169"/>
      <c r="AH273" s="169"/>
      <c r="AI273" s="169"/>
      <c r="AJ273" s="169"/>
      <c r="AK273" s="8"/>
      <c r="AL273" s="8"/>
    </row>
    <row r="274" spans="1:38" s="9" customFormat="1" ht="15.75">
      <c r="A274" s="171"/>
      <c r="B274" s="173" t="s">
        <v>120</v>
      </c>
      <c r="C274" s="177">
        <f t="shared" ref="C274:L274" si="270">SUM(C267:C273)</f>
        <v>24.707000000000001</v>
      </c>
      <c r="D274" s="177">
        <f t="shared" si="270"/>
        <v>18.964000000000006</v>
      </c>
      <c r="E274" s="258">
        <f t="shared" si="270"/>
        <v>-228.90400000000002</v>
      </c>
      <c r="F274" s="258">
        <f t="shared" si="270"/>
        <v>76.007999999999925</v>
      </c>
      <c r="G274" s="258">
        <f t="shared" si="270"/>
        <v>35.993999999999971</v>
      </c>
      <c r="H274" s="258">
        <f t="shared" si="270"/>
        <v>320.81899999999996</v>
      </c>
      <c r="I274" s="258">
        <f t="shared" si="270"/>
        <v>343.30599999999993</v>
      </c>
      <c r="J274" s="258">
        <f t="shared" si="270"/>
        <v>189.1690000000001</v>
      </c>
      <c r="K274" s="258">
        <f t="shared" si="270"/>
        <v>121.13599999999991</v>
      </c>
      <c r="L274" s="258">
        <f t="shared" si="270"/>
        <v>202.13838932886785</v>
      </c>
      <c r="M274" s="258">
        <f t="shared" ref="M274:V274" si="271">SUM(M267:M273)</f>
        <v>239.65023041974123</v>
      </c>
      <c r="N274" s="258">
        <f t="shared" si="271"/>
        <v>292.07544552439111</v>
      </c>
      <c r="O274" s="258">
        <f t="shared" si="271"/>
        <v>335.77762288856792</v>
      </c>
      <c r="P274" s="258">
        <f t="shared" si="271"/>
        <v>384.51010893131649</v>
      </c>
      <c r="Q274" s="258">
        <f t="shared" si="271"/>
        <v>436.61548313357764</v>
      </c>
      <c r="R274" s="258">
        <f t="shared" si="271"/>
        <v>489.05255323357176</v>
      </c>
      <c r="S274" s="258">
        <f t="shared" si="271"/>
        <v>544.07342804200607</v>
      </c>
      <c r="T274" s="258">
        <f t="shared" si="271"/>
        <v>603.23406522306846</v>
      </c>
      <c r="U274" s="258">
        <f t="shared" si="271"/>
        <v>667.30964134152737</v>
      </c>
      <c r="V274" s="258">
        <f t="shared" si="271"/>
        <v>735.93330118551648</v>
      </c>
      <c r="W274" s="687"/>
      <c r="X274" s="687"/>
      <c r="Y274" s="169"/>
      <c r="Z274" s="169"/>
      <c r="AA274" s="169"/>
      <c r="AB274" s="169"/>
      <c r="AC274" s="169"/>
      <c r="AD274" s="169"/>
      <c r="AE274" s="169"/>
      <c r="AF274" s="169"/>
      <c r="AG274" s="169"/>
      <c r="AH274" s="169"/>
      <c r="AI274" s="169"/>
      <c r="AJ274" s="169"/>
      <c r="AK274" s="8"/>
      <c r="AL274" s="8"/>
    </row>
    <row r="275" spans="1:38" s="9" customFormat="1" ht="15.75">
      <c r="A275" s="171"/>
      <c r="B275" s="171" t="s">
        <v>27</v>
      </c>
      <c r="C275" s="217"/>
      <c r="D275" s="217"/>
      <c r="E275" s="217"/>
      <c r="F275" s="217">
        <f t="shared" ref="F275:O275" si="272">F274/(F280)</f>
        <v>0.50960543011109238</v>
      </c>
      <c r="G275" s="217">
        <f t="shared" si="272"/>
        <v>0.11342087102842603</v>
      </c>
      <c r="H275" s="217">
        <f t="shared" si="272"/>
        <v>0.99785697400997786</v>
      </c>
      <c r="I275" s="217">
        <f t="shared" si="272"/>
        <v>1.0216041851413198</v>
      </c>
      <c r="J275" s="217">
        <f t="shared" si="272"/>
        <v>0.56442074735347147</v>
      </c>
      <c r="K275" s="217">
        <f t="shared" si="272"/>
        <v>0.36146728216207158</v>
      </c>
      <c r="L275" s="217">
        <f t="shared" si="272"/>
        <v>0.61501669224814537</v>
      </c>
      <c r="M275" s="217">
        <f t="shared" si="272"/>
        <v>0.74748937755564759</v>
      </c>
      <c r="N275" s="217">
        <f t="shared" si="272"/>
        <v>0.93936243096075467</v>
      </c>
      <c r="O275" s="217">
        <f t="shared" si="272"/>
        <v>1.1206067244055409</v>
      </c>
      <c r="P275" s="217">
        <f t="shared" ref="P275:V275" si="273">P274/(P280)</f>
        <v>1.3409904536039639</v>
      </c>
      <c r="Q275" s="217">
        <f t="shared" si="273"/>
        <v>1.6039080350685464</v>
      </c>
      <c r="R275" s="217">
        <f t="shared" si="273"/>
        <v>1.9096846279463597</v>
      </c>
      <c r="S275" s="217">
        <f t="shared" si="273"/>
        <v>2.2826773758250734</v>
      </c>
      <c r="T275" s="217">
        <f t="shared" si="273"/>
        <v>2.7545693218998846</v>
      </c>
      <c r="U275" s="217">
        <f t="shared" si="273"/>
        <v>3.3698043712338763</v>
      </c>
      <c r="V275" s="217">
        <f t="shared" si="273"/>
        <v>4.1946528289814351</v>
      </c>
      <c r="W275" s="685"/>
      <c r="X275" s="685"/>
      <c r="Y275" s="169"/>
      <c r="Z275" s="169"/>
      <c r="AA275" s="169"/>
      <c r="AB275" s="169"/>
      <c r="AC275" s="169"/>
      <c r="AD275" s="169"/>
      <c r="AE275" s="169"/>
      <c r="AF275" s="169"/>
      <c r="AG275" s="169"/>
      <c r="AH275" s="169"/>
      <c r="AI275" s="169"/>
      <c r="AJ275" s="169"/>
      <c r="AK275" s="8"/>
      <c r="AL275" s="8"/>
    </row>
    <row r="276" spans="1:38" s="9" customFormat="1" ht="15.75">
      <c r="A276" s="171"/>
      <c r="B276" s="171" t="s">
        <v>13</v>
      </c>
      <c r="C276" s="218"/>
      <c r="D276" s="218"/>
      <c r="E276" s="218"/>
      <c r="F276" s="218"/>
      <c r="G276" s="218">
        <f t="shared" ref="G276:V276" si="274">G275/F275-1</f>
        <v>-0.77743394334769822</v>
      </c>
      <c r="H276" s="218">
        <f t="shared" si="274"/>
        <v>7.7978249943071827</v>
      </c>
      <c r="I276" s="218">
        <f t="shared" si="274"/>
        <v>2.3798211316709672E-2</v>
      </c>
      <c r="J276" s="218">
        <f t="shared" si="274"/>
        <v>-0.44751523578048535</v>
      </c>
      <c r="K276" s="218">
        <f t="shared" si="274"/>
        <v>-0.35957832192213735</v>
      </c>
      <c r="L276" s="218">
        <f t="shared" si="274"/>
        <v>0.70144497883598067</v>
      </c>
      <c r="M276" s="218">
        <f t="shared" si="274"/>
        <v>0.21539689406357199</v>
      </c>
      <c r="N276" s="218">
        <f t="shared" si="274"/>
        <v>0.25669000679654852</v>
      </c>
      <c r="O276" s="218">
        <f t="shared" si="274"/>
        <v>0.19294394524530256</v>
      </c>
      <c r="P276" s="218">
        <f t="shared" si="274"/>
        <v>0.19666464996034372</v>
      </c>
      <c r="Q276" s="218">
        <f t="shared" si="274"/>
        <v>0.19606223203005024</v>
      </c>
      <c r="R276" s="218">
        <f t="shared" si="274"/>
        <v>0.19064471664969584</v>
      </c>
      <c r="S276" s="218">
        <f t="shared" si="274"/>
        <v>0.19531641110805986</v>
      </c>
      <c r="T276" s="218">
        <f t="shared" si="274"/>
        <v>0.206727394362616</v>
      </c>
      <c r="U276" s="218">
        <f t="shared" si="274"/>
        <v>0.22335072290344504</v>
      </c>
      <c r="V276" s="218">
        <f t="shared" si="274"/>
        <v>0.24477636292148763</v>
      </c>
      <c r="W276" s="218"/>
      <c r="X276" s="218"/>
      <c r="Y276" s="169"/>
      <c r="Z276" s="169"/>
      <c r="AA276" s="169"/>
      <c r="AB276" s="169"/>
      <c r="AC276" s="169"/>
      <c r="AD276" s="169"/>
      <c r="AE276" s="169"/>
      <c r="AF276" s="169"/>
      <c r="AG276" s="169"/>
      <c r="AH276" s="169"/>
      <c r="AI276" s="169"/>
      <c r="AJ276" s="169"/>
      <c r="AK276" s="8"/>
      <c r="AL276" s="8"/>
    </row>
    <row r="277" spans="1:38" s="9" customFormat="1" ht="15.75">
      <c r="A277" s="171"/>
      <c r="B277" s="169"/>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69"/>
      <c r="Z277" s="169"/>
      <c r="AA277" s="169"/>
      <c r="AB277" s="169"/>
      <c r="AC277" s="169"/>
      <c r="AD277" s="169"/>
      <c r="AE277" s="169"/>
      <c r="AF277" s="169"/>
      <c r="AG277" s="169"/>
      <c r="AH277" s="169"/>
      <c r="AI277" s="169"/>
      <c r="AJ277" s="169"/>
      <c r="AK277" s="8"/>
      <c r="AL277" s="8"/>
    </row>
    <row r="278" spans="1:38" s="9" customFormat="1" ht="15.75">
      <c r="A278" s="171"/>
      <c r="B278" s="173" t="s">
        <v>121</v>
      </c>
      <c r="C278" s="259"/>
      <c r="D278" s="259"/>
      <c r="E278" s="259"/>
      <c r="F278" s="259"/>
      <c r="G278" s="259"/>
      <c r="H278" s="259"/>
      <c r="I278" s="977"/>
      <c r="J278" s="977"/>
      <c r="K278" s="259"/>
      <c r="L278" s="259"/>
      <c r="M278" s="259"/>
      <c r="N278" s="259"/>
      <c r="O278" s="259"/>
      <c r="P278" s="259"/>
      <c r="Q278" s="259"/>
      <c r="R278" s="259"/>
      <c r="S278" s="259"/>
      <c r="T278" s="259"/>
      <c r="U278" s="259"/>
      <c r="V278" s="259"/>
      <c r="W278" s="259"/>
      <c r="X278" s="259"/>
      <c r="Y278" s="169"/>
      <c r="Z278" s="169"/>
      <c r="AA278" s="169"/>
      <c r="AB278" s="169"/>
      <c r="AC278" s="169"/>
      <c r="AD278" s="169"/>
      <c r="AE278" s="169"/>
      <c r="AF278" s="169"/>
      <c r="AG278" s="169"/>
      <c r="AH278" s="169"/>
      <c r="AI278" s="169"/>
      <c r="AJ278" s="169"/>
      <c r="AK278" s="8"/>
      <c r="AL278" s="8"/>
    </row>
    <row r="279" spans="1:38" s="9" customFormat="1" ht="15.75">
      <c r="A279" s="171"/>
      <c r="B279" s="171" t="s">
        <v>122</v>
      </c>
      <c r="C279" s="259"/>
      <c r="D279" s="259"/>
      <c r="E279" s="259"/>
      <c r="F279" s="260">
        <v>147.05099999999999</v>
      </c>
      <c r="G279" s="260">
        <v>294.10300000000001</v>
      </c>
      <c r="H279" s="260">
        <v>301.185</v>
      </c>
      <c r="I279" s="260">
        <v>330.96300000000002</v>
      </c>
      <c r="J279" s="260">
        <v>333.17599999999999</v>
      </c>
      <c r="K279" s="260">
        <v>333.06299999999999</v>
      </c>
      <c r="L279" s="261">
        <f>K279-L286</f>
        <v>326.61138709677419</v>
      </c>
      <c r="M279" s="261">
        <f t="shared" ref="M279:V279" si="275">L279-M286</f>
        <v>318.54687096774194</v>
      </c>
      <c r="N279" s="261">
        <f t="shared" si="275"/>
        <v>308.86945161290322</v>
      </c>
      <c r="O279" s="261">
        <f t="shared" si="275"/>
        <v>297.57912903225804</v>
      </c>
      <c r="P279" s="261">
        <f t="shared" si="275"/>
        <v>284.67590322580645</v>
      </c>
      <c r="Q279" s="261">
        <f t="shared" si="275"/>
        <v>270.1597741935484</v>
      </c>
      <c r="R279" s="261">
        <f t="shared" si="275"/>
        <v>254.03074193548389</v>
      </c>
      <c r="S279" s="261">
        <f t="shared" si="275"/>
        <v>236.28880645161291</v>
      </c>
      <c r="T279" s="261">
        <f t="shared" si="275"/>
        <v>216.9339677419355</v>
      </c>
      <c r="U279" s="261">
        <f t="shared" si="275"/>
        <v>195.96622580645163</v>
      </c>
      <c r="V279" s="261">
        <f t="shared" si="275"/>
        <v>173.38558064516133</v>
      </c>
      <c r="W279" s="259"/>
      <c r="X279" s="259"/>
      <c r="Y279" s="169"/>
      <c r="Z279" s="169"/>
      <c r="AA279" s="169"/>
      <c r="AB279" s="169"/>
      <c r="AC279" s="169"/>
      <c r="AD279" s="169"/>
      <c r="AE279" s="169"/>
      <c r="AF279" s="169"/>
      <c r="AG279" s="169"/>
      <c r="AH279" s="169"/>
      <c r="AI279" s="169"/>
      <c r="AJ279" s="169"/>
      <c r="AK279" s="8"/>
      <c r="AL279" s="8"/>
    </row>
    <row r="280" spans="1:38" s="9" customFormat="1" ht="15.75">
      <c r="A280" s="171"/>
      <c r="B280" s="171" t="s">
        <v>123</v>
      </c>
      <c r="C280" s="259"/>
      <c r="D280" s="259"/>
      <c r="E280" s="259"/>
      <c r="F280" s="260">
        <v>149.150687</v>
      </c>
      <c r="G280" s="260">
        <v>317.34899999999999</v>
      </c>
      <c r="H280" s="260">
        <v>321.50799999999998</v>
      </c>
      <c r="I280" s="260">
        <v>336.04599999999999</v>
      </c>
      <c r="J280" s="260">
        <v>335.15600000000001</v>
      </c>
      <c r="K280" s="260">
        <f>K279+2.06</f>
        <v>335.12299999999999</v>
      </c>
      <c r="L280" s="259">
        <f>L279+L281</f>
        <v>328.6713870967742</v>
      </c>
      <c r="M280" s="259">
        <f t="shared" ref="M280:Q280" si="276">M279+M281</f>
        <v>320.60687096774194</v>
      </c>
      <c r="N280" s="259">
        <f t="shared" si="276"/>
        <v>310.92945161290322</v>
      </c>
      <c r="O280" s="259">
        <f t="shared" si="276"/>
        <v>299.63912903225804</v>
      </c>
      <c r="P280" s="259">
        <f t="shared" si="276"/>
        <v>286.73590322580645</v>
      </c>
      <c r="Q280" s="259">
        <f t="shared" si="276"/>
        <v>272.2197741935484</v>
      </c>
      <c r="R280" s="259">
        <f t="shared" ref="R280:V280" si="277">R279+R281</f>
        <v>256.09074193548389</v>
      </c>
      <c r="S280" s="259">
        <f t="shared" si="277"/>
        <v>238.34880645161292</v>
      </c>
      <c r="T280" s="259">
        <f t="shared" si="277"/>
        <v>218.99396774193551</v>
      </c>
      <c r="U280" s="259">
        <f t="shared" si="277"/>
        <v>198.02622580645163</v>
      </c>
      <c r="V280" s="259">
        <f t="shared" si="277"/>
        <v>175.44558064516133</v>
      </c>
      <c r="W280" s="259"/>
      <c r="X280" s="259"/>
      <c r="Y280" s="169"/>
      <c r="Z280" s="169"/>
      <c r="AA280" s="169"/>
      <c r="AB280" s="169"/>
      <c r="AC280" s="169"/>
      <c r="AD280" s="169"/>
      <c r="AE280" s="169"/>
      <c r="AF280" s="169"/>
      <c r="AG280" s="169"/>
      <c r="AH280" s="169"/>
      <c r="AI280" s="169"/>
      <c r="AJ280" s="169"/>
      <c r="AK280" s="8"/>
      <c r="AL280" s="8"/>
    </row>
    <row r="281" spans="1:38" s="9" customFormat="1" ht="15.75">
      <c r="A281" s="171"/>
      <c r="B281" s="171" t="s">
        <v>124</v>
      </c>
      <c r="C281" s="235"/>
      <c r="D281" s="235"/>
      <c r="E281" s="235"/>
      <c r="F281" s="235">
        <f t="shared" ref="F281:K281" si="278">F280-F279</f>
        <v>2.0996870000000172</v>
      </c>
      <c r="G281" s="235">
        <f t="shared" si="278"/>
        <v>23.245999999999981</v>
      </c>
      <c r="H281" s="235">
        <f t="shared" si="278"/>
        <v>20.322999999999979</v>
      </c>
      <c r="I281" s="235">
        <f t="shared" si="278"/>
        <v>5.08299999999997</v>
      </c>
      <c r="J281" s="235">
        <f t="shared" si="278"/>
        <v>1.9800000000000182</v>
      </c>
      <c r="K281" s="235">
        <f t="shared" si="278"/>
        <v>2.0600000000000023</v>
      </c>
      <c r="L281" s="262">
        <f>K281</f>
        <v>2.0600000000000023</v>
      </c>
      <c r="M281" s="262">
        <f t="shared" ref="M281:V281" si="279">L281</f>
        <v>2.0600000000000023</v>
      </c>
      <c r="N281" s="262">
        <f t="shared" si="279"/>
        <v>2.0600000000000023</v>
      </c>
      <c r="O281" s="262">
        <f t="shared" si="279"/>
        <v>2.0600000000000023</v>
      </c>
      <c r="P281" s="262">
        <f t="shared" si="279"/>
        <v>2.0600000000000023</v>
      </c>
      <c r="Q281" s="262">
        <f t="shared" si="279"/>
        <v>2.0600000000000023</v>
      </c>
      <c r="R281" s="262">
        <f t="shared" si="279"/>
        <v>2.0600000000000023</v>
      </c>
      <c r="S281" s="262">
        <f t="shared" si="279"/>
        <v>2.0600000000000023</v>
      </c>
      <c r="T281" s="262">
        <f t="shared" si="279"/>
        <v>2.0600000000000023</v>
      </c>
      <c r="U281" s="262">
        <f t="shared" si="279"/>
        <v>2.0600000000000023</v>
      </c>
      <c r="V281" s="262">
        <f t="shared" si="279"/>
        <v>2.0600000000000023</v>
      </c>
      <c r="W281" s="239"/>
      <c r="X281" s="239"/>
      <c r="Y281" s="169"/>
      <c r="Z281" s="169"/>
      <c r="AA281" s="169"/>
      <c r="AB281" s="169"/>
      <c r="AC281" s="169"/>
      <c r="AD281" s="169"/>
      <c r="AE281" s="169"/>
      <c r="AF281" s="169"/>
      <c r="AG281" s="169"/>
      <c r="AH281" s="169"/>
      <c r="AI281" s="169"/>
      <c r="AJ281" s="169"/>
      <c r="AK281" s="8"/>
      <c r="AL281" s="8"/>
    </row>
    <row r="282" spans="1:38" s="9" customFormat="1" ht="15.75">
      <c r="A282" s="171"/>
      <c r="B282" s="171" t="s">
        <v>125</v>
      </c>
      <c r="C282" s="235"/>
      <c r="D282" s="235"/>
      <c r="E282" s="235"/>
      <c r="F282" s="235"/>
      <c r="G282" s="235"/>
      <c r="H282" s="235"/>
      <c r="I282" s="235"/>
      <c r="J282" s="235"/>
      <c r="K282" s="235"/>
      <c r="L282" s="262">
        <v>0</v>
      </c>
      <c r="M282" s="262">
        <v>0</v>
      </c>
      <c r="N282" s="262">
        <v>0</v>
      </c>
      <c r="O282" s="262">
        <v>0</v>
      </c>
      <c r="P282" s="262">
        <v>0</v>
      </c>
      <c r="Q282" s="262">
        <v>0</v>
      </c>
      <c r="R282" s="262">
        <v>0</v>
      </c>
      <c r="S282" s="262">
        <v>0</v>
      </c>
      <c r="T282" s="262">
        <v>0</v>
      </c>
      <c r="U282" s="262">
        <v>0</v>
      </c>
      <c r="V282" s="262">
        <v>0</v>
      </c>
      <c r="W282" s="239"/>
      <c r="X282" s="239"/>
      <c r="Y282" s="169"/>
      <c r="Z282" s="169"/>
      <c r="AA282" s="169"/>
      <c r="AB282" s="169"/>
      <c r="AC282" s="169"/>
      <c r="AD282" s="169"/>
      <c r="AE282" s="169"/>
      <c r="AF282" s="169"/>
      <c r="AG282" s="169"/>
      <c r="AH282" s="169"/>
      <c r="AI282" s="169"/>
      <c r="AJ282" s="169"/>
      <c r="AK282" s="8"/>
      <c r="AL282" s="8"/>
    </row>
    <row r="283" spans="1:38" s="9" customFormat="1" ht="15.75">
      <c r="A283" s="171"/>
      <c r="B283" s="171" t="s">
        <v>126</v>
      </c>
      <c r="C283" s="235"/>
      <c r="D283" s="235"/>
      <c r="E283" s="235"/>
      <c r="F283" s="235"/>
      <c r="G283" s="235"/>
      <c r="H283" s="235"/>
      <c r="I283" s="235"/>
      <c r="J283" s="235"/>
      <c r="K283" s="235"/>
      <c r="L283" s="235"/>
      <c r="M283" s="235"/>
      <c r="N283" s="235"/>
      <c r="O283" s="235"/>
      <c r="P283" s="235"/>
      <c r="Q283" s="235"/>
      <c r="R283" s="235"/>
      <c r="S283" s="235"/>
      <c r="T283" s="235"/>
      <c r="U283" s="235"/>
      <c r="V283" s="235"/>
      <c r="W283" s="239"/>
      <c r="X283" s="239"/>
      <c r="Y283" s="169"/>
      <c r="Z283" s="169"/>
      <c r="AA283" s="169"/>
      <c r="AB283" s="169"/>
      <c r="AC283" s="169"/>
      <c r="AD283" s="169"/>
      <c r="AE283" s="169"/>
      <c r="AF283" s="169"/>
      <c r="AG283" s="169"/>
      <c r="AH283" s="169"/>
      <c r="AI283" s="169"/>
      <c r="AJ283" s="169"/>
      <c r="AK283" s="8"/>
      <c r="AL283" s="8"/>
    </row>
    <row r="284" spans="1:38" s="9" customFormat="1" ht="15.75">
      <c r="A284" s="171"/>
      <c r="B284" s="171"/>
      <c r="C284" s="263"/>
      <c r="D284" s="263"/>
      <c r="E284" s="263"/>
      <c r="F284" s="263"/>
      <c r="G284" s="263"/>
      <c r="H284" s="263"/>
      <c r="I284" s="263"/>
      <c r="J284" s="263"/>
      <c r="K284" s="263"/>
      <c r="L284" s="263"/>
      <c r="M284" s="263"/>
      <c r="N284" s="263"/>
      <c r="O284" s="263"/>
      <c r="P284" s="263"/>
      <c r="Q284" s="263"/>
      <c r="R284" s="263"/>
      <c r="S284" s="263"/>
      <c r="T284" s="263"/>
      <c r="U284" s="263"/>
      <c r="V284" s="263"/>
      <c r="W284" s="231"/>
      <c r="X284" s="231"/>
      <c r="Y284" s="169"/>
      <c r="Z284" s="169"/>
      <c r="AA284" s="169"/>
      <c r="AB284" s="169"/>
      <c r="AC284" s="169"/>
      <c r="AD284" s="169"/>
      <c r="AE284" s="169"/>
      <c r="AF284" s="169"/>
      <c r="AG284" s="169"/>
      <c r="AH284" s="169"/>
      <c r="AI284" s="169"/>
      <c r="AJ284" s="169"/>
      <c r="AK284" s="8"/>
      <c r="AL284" s="8"/>
    </row>
    <row r="285" spans="1:38" s="9" customFormat="1" ht="15.75">
      <c r="A285" s="171"/>
      <c r="B285" s="171" t="s">
        <v>986</v>
      </c>
      <c r="C285" s="263"/>
      <c r="D285" s="263"/>
      <c r="E285" s="263"/>
      <c r="F285" s="263"/>
      <c r="G285" s="263"/>
      <c r="H285" s="263"/>
      <c r="I285" s="263"/>
      <c r="J285" s="263">
        <f t="shared" ref="J285:V285" si="280">-J118</f>
        <v>10.037000000000001</v>
      </c>
      <c r="K285" s="263">
        <f t="shared" si="280"/>
        <v>0</v>
      </c>
      <c r="L285" s="263">
        <f t="shared" si="280"/>
        <v>40</v>
      </c>
      <c r="M285" s="263">
        <f t="shared" si="280"/>
        <v>50</v>
      </c>
      <c r="N285" s="263">
        <f t="shared" si="280"/>
        <v>60</v>
      </c>
      <c r="O285" s="263">
        <f t="shared" si="280"/>
        <v>70</v>
      </c>
      <c r="P285" s="263">
        <f t="shared" si="280"/>
        <v>80</v>
      </c>
      <c r="Q285" s="263">
        <f t="shared" si="280"/>
        <v>90</v>
      </c>
      <c r="R285" s="263">
        <f t="shared" si="280"/>
        <v>100</v>
      </c>
      <c r="S285" s="263">
        <f t="shared" si="280"/>
        <v>110</v>
      </c>
      <c r="T285" s="263">
        <f t="shared" si="280"/>
        <v>120</v>
      </c>
      <c r="U285" s="263">
        <f t="shared" si="280"/>
        <v>130</v>
      </c>
      <c r="V285" s="263">
        <f t="shared" si="280"/>
        <v>140</v>
      </c>
      <c r="W285" s="231"/>
      <c r="X285" s="231"/>
      <c r="Y285" s="169"/>
      <c r="Z285" s="169"/>
      <c r="AA285" s="169"/>
      <c r="AB285" s="169"/>
      <c r="AC285" s="169"/>
      <c r="AD285" s="169"/>
      <c r="AE285" s="169"/>
      <c r="AF285" s="169"/>
      <c r="AG285" s="169"/>
      <c r="AH285" s="169"/>
      <c r="AI285" s="169"/>
      <c r="AJ285" s="169"/>
      <c r="AK285" s="8"/>
      <c r="AL285" s="8"/>
    </row>
    <row r="286" spans="1:38" s="9" customFormat="1" ht="15.75">
      <c r="A286" s="171"/>
      <c r="B286" s="171" t="s">
        <v>985</v>
      </c>
      <c r="C286" s="263"/>
      <c r="D286" s="263"/>
      <c r="E286" s="263"/>
      <c r="F286" s="263"/>
      <c r="G286" s="263"/>
      <c r="H286" s="263"/>
      <c r="I286" s="263"/>
      <c r="J286" s="235">
        <f>0.948101+0.930556</f>
        <v>1.878657</v>
      </c>
      <c r="K286" s="235">
        <v>0</v>
      </c>
      <c r="L286" s="235">
        <f t="shared" ref="L286:Q286" si="281">L285/L287</f>
        <v>6.4516129032258061</v>
      </c>
      <c r="M286" s="235">
        <f t="shared" si="281"/>
        <v>8.064516129032258</v>
      </c>
      <c r="N286" s="235">
        <f t="shared" si="281"/>
        <v>9.67741935483871</v>
      </c>
      <c r="O286" s="235">
        <f t="shared" si="281"/>
        <v>11.29032258064516</v>
      </c>
      <c r="P286" s="235">
        <f t="shared" si="281"/>
        <v>12.903225806451612</v>
      </c>
      <c r="Q286" s="235">
        <f t="shared" si="281"/>
        <v>14.516129032258064</v>
      </c>
      <c r="R286" s="235">
        <f t="shared" ref="R286:V286" si="282">R285/R287</f>
        <v>16.129032258064516</v>
      </c>
      <c r="S286" s="235">
        <f t="shared" si="282"/>
        <v>17.741935483870968</v>
      </c>
      <c r="T286" s="235">
        <f t="shared" si="282"/>
        <v>19.35483870967742</v>
      </c>
      <c r="U286" s="235">
        <f t="shared" si="282"/>
        <v>20.967741935483872</v>
      </c>
      <c r="V286" s="235">
        <f t="shared" si="282"/>
        <v>22.58064516129032</v>
      </c>
      <c r="W286" s="231"/>
      <c r="X286" s="231"/>
      <c r="Y286" s="169"/>
      <c r="Z286" s="169"/>
      <c r="AA286" s="169"/>
      <c r="AB286" s="169"/>
      <c r="AC286" s="169"/>
      <c r="AD286" s="169"/>
      <c r="AE286" s="169"/>
      <c r="AF286" s="169"/>
      <c r="AG286" s="169"/>
      <c r="AH286" s="169"/>
      <c r="AI286" s="169"/>
      <c r="AJ286" s="169"/>
      <c r="AK286" s="8"/>
      <c r="AL286" s="8"/>
    </row>
    <row r="287" spans="1:38" s="9" customFormat="1" ht="15.75">
      <c r="A287" s="171"/>
      <c r="B287" s="171" t="s">
        <v>987</v>
      </c>
      <c r="C287" s="263"/>
      <c r="D287" s="263"/>
      <c r="E287" s="263"/>
      <c r="F287" s="263"/>
      <c r="G287" s="263"/>
      <c r="H287" s="263"/>
      <c r="I287" s="263"/>
      <c r="J287" s="235">
        <f>J285/J286</f>
        <v>5.342646369188202</v>
      </c>
      <c r="K287" s="235"/>
      <c r="L287" s="262">
        <v>6.2</v>
      </c>
      <c r="M287" s="262">
        <v>6.2</v>
      </c>
      <c r="N287" s="262">
        <v>6.2</v>
      </c>
      <c r="O287" s="262">
        <v>6.2</v>
      </c>
      <c r="P287" s="262">
        <v>6.2</v>
      </c>
      <c r="Q287" s="262">
        <v>6.2</v>
      </c>
      <c r="R287" s="262">
        <v>6.2</v>
      </c>
      <c r="S287" s="262">
        <v>6.2</v>
      </c>
      <c r="T287" s="262">
        <v>6.2</v>
      </c>
      <c r="U287" s="262">
        <v>6.2</v>
      </c>
      <c r="V287" s="262">
        <v>6.2</v>
      </c>
      <c r="W287" s="231"/>
      <c r="X287" s="231"/>
      <c r="Y287" s="169"/>
      <c r="Z287" s="169"/>
      <c r="AA287" s="169"/>
      <c r="AB287" s="169"/>
      <c r="AC287" s="169"/>
      <c r="AD287" s="169"/>
      <c r="AE287" s="169"/>
      <c r="AF287" s="169"/>
      <c r="AG287" s="169"/>
      <c r="AH287" s="169"/>
      <c r="AI287" s="169"/>
      <c r="AJ287" s="169"/>
      <c r="AK287" s="8"/>
      <c r="AL287" s="8"/>
    </row>
    <row r="288" spans="1:38" s="9" customFormat="1" ht="15.75">
      <c r="A288" s="171"/>
      <c r="B288" s="171"/>
      <c r="C288" s="263"/>
      <c r="D288" s="263"/>
      <c r="E288" s="263"/>
      <c r="F288" s="263"/>
      <c r="G288" s="263"/>
      <c r="H288" s="263"/>
      <c r="I288" s="263"/>
      <c r="J288" s="263"/>
      <c r="K288" s="263"/>
      <c r="L288" s="263"/>
      <c r="M288" s="263"/>
      <c r="N288" s="263"/>
      <c r="O288" s="263"/>
      <c r="P288" s="263"/>
      <c r="Q288" s="263"/>
      <c r="R288" s="263"/>
      <c r="S288" s="263"/>
      <c r="T288" s="263"/>
      <c r="U288" s="263"/>
      <c r="V288" s="263"/>
      <c r="W288" s="231"/>
      <c r="X288" s="231"/>
      <c r="Y288" s="169"/>
      <c r="Z288" s="169"/>
      <c r="AA288" s="169"/>
      <c r="AB288" s="169"/>
      <c r="AC288" s="169"/>
      <c r="AD288" s="169"/>
      <c r="AE288" s="169"/>
      <c r="AF288" s="169"/>
      <c r="AG288" s="169"/>
      <c r="AH288" s="169"/>
      <c r="AI288" s="169"/>
      <c r="AJ288" s="169"/>
      <c r="AK288" s="8"/>
      <c r="AL288" s="8"/>
    </row>
    <row r="289" spans="1:38" s="9" customFormat="1" ht="15.75">
      <c r="A289" s="171"/>
      <c r="B289" s="171"/>
      <c r="C289" s="263"/>
      <c r="D289" s="263"/>
      <c r="E289" s="263"/>
      <c r="F289" s="263"/>
      <c r="G289" s="263"/>
      <c r="H289" s="263"/>
      <c r="I289" s="263"/>
      <c r="J289" s="263"/>
      <c r="K289" s="263"/>
      <c r="L289" s="263"/>
      <c r="M289" s="263"/>
      <c r="N289" s="263"/>
      <c r="O289" s="263"/>
      <c r="P289" s="263"/>
      <c r="Q289" s="263"/>
      <c r="R289" s="263"/>
      <c r="S289" s="263"/>
      <c r="T289" s="263"/>
      <c r="U289" s="263"/>
      <c r="V289" s="263"/>
      <c r="W289" s="231"/>
      <c r="X289" s="231"/>
      <c r="Y289" s="169"/>
      <c r="Z289" s="169"/>
      <c r="AA289" s="169"/>
      <c r="AB289" s="169"/>
      <c r="AC289" s="169"/>
      <c r="AD289" s="169"/>
      <c r="AE289" s="169"/>
      <c r="AF289" s="169"/>
      <c r="AG289" s="169"/>
      <c r="AH289" s="169"/>
      <c r="AI289" s="169"/>
      <c r="AJ289" s="169"/>
      <c r="AK289" s="8"/>
      <c r="AL289" s="8"/>
    </row>
    <row r="290" spans="1:38" s="9" customFormat="1" ht="15.75">
      <c r="A290" s="171"/>
      <c r="B290" s="191" t="s">
        <v>127</v>
      </c>
      <c r="C290" s="264"/>
      <c r="D290" s="264"/>
      <c r="E290" s="264"/>
      <c r="F290" s="264"/>
      <c r="G290" s="264"/>
      <c r="H290" s="264"/>
      <c r="I290" s="264"/>
      <c r="J290" s="264"/>
      <c r="K290" s="264"/>
      <c r="L290" s="264"/>
      <c r="M290" s="264"/>
      <c r="N290" s="264"/>
      <c r="O290" s="264"/>
      <c r="P290" s="264"/>
      <c r="Q290" s="264"/>
      <c r="R290" s="264"/>
      <c r="S290" s="264"/>
      <c r="T290" s="264"/>
      <c r="U290" s="264"/>
      <c r="V290" s="264"/>
      <c r="W290" s="267"/>
      <c r="X290" s="267"/>
      <c r="Y290" s="169"/>
      <c r="Z290" s="169"/>
      <c r="AA290" s="169"/>
      <c r="AB290" s="169"/>
      <c r="AC290" s="169"/>
      <c r="AD290" s="169"/>
      <c r="AE290" s="169"/>
      <c r="AF290" s="169"/>
      <c r="AG290" s="169"/>
      <c r="AH290" s="169"/>
      <c r="AI290" s="169"/>
      <c r="AJ290" s="169"/>
      <c r="AK290" s="8"/>
      <c r="AL290" s="8"/>
    </row>
    <row r="291" spans="1:38" s="9" customFormat="1" ht="15.75">
      <c r="A291" s="171"/>
      <c r="B291" s="191" t="s">
        <v>3</v>
      </c>
      <c r="C291" s="263"/>
      <c r="D291" s="263"/>
      <c r="E291" s="254"/>
      <c r="F291" s="254"/>
      <c r="G291" s="265"/>
      <c r="H291" s="265"/>
      <c r="I291" s="265"/>
      <c r="J291" s="265"/>
      <c r="K291" s="265"/>
      <c r="L291" s="266"/>
      <c r="M291" s="266"/>
      <c r="N291" s="266"/>
      <c r="O291" s="266"/>
      <c r="P291" s="266"/>
      <c r="Q291" s="266"/>
      <c r="R291" s="266"/>
      <c r="S291" s="266"/>
      <c r="T291" s="266"/>
      <c r="U291" s="266"/>
      <c r="V291" s="266"/>
      <c r="W291" s="265"/>
      <c r="X291" s="265"/>
      <c r="Y291" s="169"/>
      <c r="Z291" s="169"/>
      <c r="AA291" s="169"/>
      <c r="AB291" s="169"/>
      <c r="AC291" s="169"/>
      <c r="AD291" s="169"/>
      <c r="AE291" s="169"/>
      <c r="AF291" s="169"/>
      <c r="AG291" s="169"/>
      <c r="AH291" s="169"/>
      <c r="AI291" s="169"/>
      <c r="AJ291" s="169"/>
      <c r="AK291" s="8"/>
      <c r="AL291" s="8"/>
    </row>
    <row r="292" spans="1:38" s="9" customFormat="1" ht="15.75">
      <c r="A292" s="171"/>
      <c r="B292" s="191" t="s">
        <v>128</v>
      </c>
      <c r="C292" s="264"/>
      <c r="D292" s="264"/>
      <c r="E292" s="264"/>
      <c r="F292" s="264"/>
      <c r="G292" s="267"/>
      <c r="H292" s="267"/>
      <c r="I292" s="267"/>
      <c r="J292" s="267"/>
      <c r="K292" s="267"/>
      <c r="L292" s="264"/>
      <c r="M292" s="264"/>
      <c r="N292" s="264"/>
      <c r="O292" s="264"/>
      <c r="P292" s="264"/>
      <c r="Q292" s="264"/>
      <c r="R292" s="264"/>
      <c r="S292" s="264"/>
      <c r="T292" s="264"/>
      <c r="U292" s="264"/>
      <c r="V292" s="264"/>
      <c r="W292" s="267"/>
      <c r="X292" s="267"/>
      <c r="Y292" s="169"/>
      <c r="Z292" s="169"/>
      <c r="AA292" s="169"/>
      <c r="AB292" s="169"/>
      <c r="AC292" s="169"/>
      <c r="AD292" s="169"/>
      <c r="AE292" s="169"/>
      <c r="AF292" s="169"/>
      <c r="AG292" s="169"/>
      <c r="AH292" s="169"/>
      <c r="AI292" s="169"/>
      <c r="AJ292" s="169"/>
      <c r="AK292" s="8"/>
      <c r="AL292" s="8"/>
    </row>
    <row r="293" spans="1:38" s="9" customFormat="1" ht="15.75">
      <c r="A293" s="171"/>
      <c r="B293" s="191" t="s">
        <v>3</v>
      </c>
      <c r="C293" s="263"/>
      <c r="D293" s="254"/>
      <c r="E293" s="254"/>
      <c r="F293" s="254"/>
      <c r="G293" s="268"/>
      <c r="H293" s="268"/>
      <c r="I293" s="268"/>
      <c r="J293" s="268"/>
      <c r="K293" s="268"/>
      <c r="L293" s="269"/>
      <c r="M293" s="269"/>
      <c r="N293" s="269"/>
      <c r="O293" s="269"/>
      <c r="P293" s="269"/>
      <c r="Q293" s="269"/>
      <c r="R293" s="269"/>
      <c r="S293" s="269"/>
      <c r="T293" s="269"/>
      <c r="U293" s="269"/>
      <c r="V293" s="269"/>
      <c r="W293" s="268"/>
      <c r="X293" s="268"/>
      <c r="Y293" s="169"/>
      <c r="Z293" s="169"/>
      <c r="AA293" s="169"/>
      <c r="AB293" s="169"/>
      <c r="AC293" s="169"/>
      <c r="AD293" s="169"/>
      <c r="AE293" s="169"/>
      <c r="AF293" s="169"/>
      <c r="AG293" s="169"/>
      <c r="AH293" s="169"/>
      <c r="AI293" s="169"/>
      <c r="AJ293" s="169"/>
      <c r="AK293" s="8"/>
      <c r="AL293" s="8"/>
    </row>
    <row r="294" spans="1:38" s="9" customFormat="1" ht="15.75">
      <c r="A294" s="171"/>
      <c r="B294" s="1108" t="s">
        <v>28</v>
      </c>
      <c r="C294" s="1109"/>
      <c r="D294" s="1109"/>
      <c r="E294" s="1109"/>
      <c r="F294" s="1109"/>
      <c r="G294" s="1109"/>
      <c r="H294" s="1109"/>
      <c r="I294" s="1109"/>
      <c r="J294" s="1109"/>
      <c r="K294" s="1109"/>
      <c r="L294" s="1109">
        <f>L297/Valuation!I59</f>
        <v>0</v>
      </c>
      <c r="M294" s="1109">
        <f>M297/Valuation!J59</f>
        <v>0.18154846251900655</v>
      </c>
      <c r="N294" s="1109">
        <f>N297/Valuation!K59</f>
        <v>0.24796112017531449</v>
      </c>
      <c r="O294" s="1109">
        <f>O297/Valuation!L59</f>
        <v>0.34545508314547091</v>
      </c>
      <c r="P294" s="1109">
        <f>P297/Valuation!M59</f>
        <v>0.43787096143999876</v>
      </c>
      <c r="Q294" s="1109">
        <f>Q297/Valuation!N59</f>
        <v>0.5515904612760697</v>
      </c>
      <c r="R294" s="1109">
        <f>R297/Valuation!O59</f>
        <v>0.68916950851267977</v>
      </c>
      <c r="S294" s="1109">
        <f>S297/Valuation!P59</f>
        <v>0.85187605642252773</v>
      </c>
      <c r="T294" s="1109">
        <f>T297/Valuation!Q59</f>
        <v>1.0546951978179027</v>
      </c>
      <c r="U294" s="1109">
        <f>U297/Valuation!R59</f>
        <v>1.3184901201634915</v>
      </c>
      <c r="V294" s="1109">
        <f>V297/Valuation!S59</f>
        <v>1.6749796585744421</v>
      </c>
      <c r="W294" s="267"/>
      <c r="X294" s="267"/>
      <c r="Y294" s="169"/>
      <c r="Z294" s="169"/>
      <c r="AA294" s="169"/>
      <c r="AB294" s="169"/>
      <c r="AC294" s="169"/>
      <c r="AD294" s="169"/>
      <c r="AE294" s="169"/>
      <c r="AF294" s="169"/>
      <c r="AG294" s="169"/>
      <c r="AH294" s="169"/>
      <c r="AI294" s="169"/>
      <c r="AJ294" s="169"/>
      <c r="AK294" s="8"/>
      <c r="AL294" s="8"/>
    </row>
    <row r="295" spans="1:38" s="9" customFormat="1" ht="15.75">
      <c r="A295" s="171"/>
      <c r="B295" s="171" t="s">
        <v>99</v>
      </c>
      <c r="C295" s="268"/>
      <c r="D295" s="254"/>
      <c r="E295" s="254"/>
      <c r="F295" s="254"/>
      <c r="G295" s="254"/>
      <c r="H295" s="254"/>
      <c r="I295" s="254"/>
      <c r="J295" s="254"/>
      <c r="K295" s="254"/>
      <c r="L295" s="254"/>
      <c r="M295" s="1110"/>
      <c r="N295" s="1110">
        <f t="shared" ref="N295:V295" si="283">N294/M294-1</f>
        <v>0.36581228358987117</v>
      </c>
      <c r="O295" s="1110">
        <f t="shared" si="283"/>
        <v>0.39318245901303328</v>
      </c>
      <c r="P295" s="1110">
        <f t="shared" si="283"/>
        <v>0.26751923130802968</v>
      </c>
      <c r="Q295" s="1110">
        <f t="shared" si="283"/>
        <v>0.25971007408686964</v>
      </c>
      <c r="R295" s="1110">
        <f t="shared" si="283"/>
        <v>0.24942245541797381</v>
      </c>
      <c r="S295" s="1110">
        <f t="shared" si="283"/>
        <v>0.23609075256534573</v>
      </c>
      <c r="T295" s="1110">
        <f t="shared" si="283"/>
        <v>0.23808527058163653</v>
      </c>
      <c r="U295" s="1110">
        <f t="shared" si="283"/>
        <v>0.25011484160671604</v>
      </c>
      <c r="V295" s="1110">
        <f t="shared" si="283"/>
        <v>0.27037710253509228</v>
      </c>
      <c r="W295" s="265"/>
      <c r="X295" s="265"/>
      <c r="Y295" s="169"/>
      <c r="Z295" s="169"/>
      <c r="AA295" s="169"/>
      <c r="AB295" s="169"/>
      <c r="AC295" s="169"/>
      <c r="AD295" s="169"/>
      <c r="AE295" s="169"/>
      <c r="AF295" s="169"/>
      <c r="AG295" s="169"/>
      <c r="AH295" s="169"/>
      <c r="AI295" s="169"/>
      <c r="AJ295" s="169"/>
      <c r="AK295" s="8"/>
      <c r="AL295" s="8"/>
    </row>
    <row r="296" spans="1:38" s="9" customFormat="1" ht="15.75">
      <c r="A296" s="171"/>
      <c r="B296" s="171" t="s">
        <v>1169</v>
      </c>
      <c r="C296" s="268"/>
      <c r="D296" s="254"/>
      <c r="E296" s="254"/>
      <c r="F296" s="254"/>
      <c r="G296" s="254"/>
      <c r="H296" s="254"/>
      <c r="I296" s="254"/>
      <c r="J296" s="254"/>
      <c r="K296" s="254"/>
      <c r="L296" s="254"/>
      <c r="M296" s="1110">
        <f>M294/Valuation!$C$53</f>
        <v>2.7056402759911558E-2</v>
      </c>
      <c r="N296" s="1110">
        <f>N294/Valuation!$C$53</f>
        <v>3.6953967239242103E-2</v>
      </c>
      <c r="O296" s="1110">
        <f>O294/Valuation!$C$53</f>
        <v>5.1483618948654386E-2</v>
      </c>
      <c r="P296" s="1110">
        <f>P294/Valuation!$C$53</f>
        <v>6.5256477114753908E-2</v>
      </c>
      <c r="Q296" s="1110">
        <f>Q294/Valuation!$C$53</f>
        <v>8.2204241620874766E-2</v>
      </c>
      <c r="R296" s="1110">
        <f>R294/Valuation!$C$53</f>
        <v>0.10270782541172575</v>
      </c>
      <c r="S296" s="1110">
        <f>S294/Valuation!$C$53</f>
        <v>0.12695619320753021</v>
      </c>
      <c r="T296" s="1110">
        <f>T294/Valuation!$C$53</f>
        <v>0.15718259281935956</v>
      </c>
      <c r="U296" s="1110">
        <f>U294/Valuation!$C$53</f>
        <v>0.19649629212570663</v>
      </c>
      <c r="V296" s="1110">
        <f>V294/Valuation!$C$53</f>
        <v>0.24962439024954428</v>
      </c>
      <c r="W296" s="265"/>
      <c r="X296" s="265"/>
      <c r="Y296" s="169"/>
      <c r="Z296" s="169"/>
      <c r="AA296" s="169"/>
      <c r="AB296" s="169"/>
      <c r="AC296" s="169"/>
      <c r="AD296" s="169"/>
      <c r="AE296" s="169"/>
      <c r="AF296" s="169"/>
      <c r="AG296" s="169"/>
      <c r="AH296" s="169"/>
      <c r="AI296" s="169"/>
      <c r="AJ296" s="169"/>
      <c r="AK296" s="8"/>
      <c r="AL296" s="8"/>
    </row>
    <row r="297" spans="1:38" s="9" customFormat="1" ht="15.75">
      <c r="A297" s="171"/>
      <c r="B297" s="171" t="s">
        <v>129</v>
      </c>
      <c r="C297" s="231"/>
      <c r="D297" s="231"/>
      <c r="E297" s="231"/>
      <c r="F297" s="231"/>
      <c r="G297" s="231"/>
      <c r="H297" s="231"/>
      <c r="I297" s="231"/>
      <c r="J297" s="231"/>
      <c r="K297" s="231"/>
      <c r="L297" s="200">
        <f>L299*K56</f>
        <v>0</v>
      </c>
      <c r="M297" s="200">
        <f t="shared" ref="M297:V297" si="284">M299*L56</f>
        <v>57.831694664433911</v>
      </c>
      <c r="N297" s="200">
        <f t="shared" si="284"/>
        <v>76.587615209870577</v>
      </c>
      <c r="O297" s="200">
        <f t="shared" si="284"/>
        <v>102.80022276219552</v>
      </c>
      <c r="P297" s="200">
        <f t="shared" si="284"/>
        <v>124.65131144428392</v>
      </c>
      <c r="Q297" s="200">
        <f t="shared" si="284"/>
        <v>149.01755446565821</v>
      </c>
      <c r="R297" s="200">
        <f t="shared" si="284"/>
        <v>175.07024156678881</v>
      </c>
      <c r="S297" s="200">
        <f t="shared" si="284"/>
        <v>201.28877661678592</v>
      </c>
      <c r="T297" s="200">
        <f t="shared" si="284"/>
        <v>228.79921402100317</v>
      </c>
      <c r="U297" s="200">
        <f t="shared" si="284"/>
        <v>258.37953261153433</v>
      </c>
      <c r="V297" s="200">
        <f t="shared" si="284"/>
        <v>290.41732067076373</v>
      </c>
      <c r="W297" s="231"/>
      <c r="X297" s="231"/>
      <c r="Y297" s="169"/>
      <c r="Z297" s="169"/>
      <c r="AA297" s="169"/>
      <c r="AB297" s="169"/>
      <c r="AC297" s="169"/>
      <c r="AD297" s="169"/>
      <c r="AE297" s="169"/>
      <c r="AF297" s="169"/>
      <c r="AG297" s="169"/>
      <c r="AH297" s="169"/>
      <c r="AI297" s="169"/>
      <c r="AJ297" s="169"/>
      <c r="AK297" s="8"/>
      <c r="AL297" s="8"/>
    </row>
    <row r="298" spans="1:38" ht="15.75">
      <c r="A298" s="169"/>
      <c r="B298" s="171" t="s">
        <v>130</v>
      </c>
      <c r="C298" s="185"/>
      <c r="D298" s="185"/>
      <c r="E298" s="185"/>
      <c r="F298" s="185"/>
      <c r="G298" s="185"/>
      <c r="H298" s="185"/>
      <c r="I298" s="185"/>
      <c r="J298" s="185"/>
      <c r="K298" s="185"/>
      <c r="L298" s="185"/>
      <c r="M298" s="185"/>
      <c r="N298" s="185"/>
      <c r="O298" s="185"/>
      <c r="P298" s="185"/>
      <c r="Q298" s="185"/>
      <c r="R298" s="185"/>
      <c r="S298" s="185"/>
      <c r="T298" s="185"/>
      <c r="U298" s="185"/>
      <c r="V298" s="185"/>
      <c r="W298" s="185"/>
      <c r="X298" s="185"/>
      <c r="Y298" s="169"/>
      <c r="Z298" s="169"/>
      <c r="AA298" s="169"/>
      <c r="AB298" s="169"/>
      <c r="AC298" s="169"/>
      <c r="AD298" s="169"/>
      <c r="AE298" s="169"/>
      <c r="AF298" s="169"/>
      <c r="AG298" s="169"/>
      <c r="AH298" s="169"/>
      <c r="AI298" s="169"/>
      <c r="AJ298" s="169"/>
    </row>
    <row r="299" spans="1:38" s="9" customFormat="1" ht="15.75">
      <c r="A299" s="171"/>
      <c r="B299" s="171" t="s">
        <v>131</v>
      </c>
      <c r="C299" s="185"/>
      <c r="D299" s="185"/>
      <c r="E299" s="185"/>
      <c r="F299" s="185"/>
      <c r="G299" s="185"/>
      <c r="H299" s="185"/>
      <c r="I299" s="185"/>
      <c r="J299" s="185"/>
      <c r="K299" s="185"/>
      <c r="L299" s="746">
        <v>0</v>
      </c>
      <c r="M299" s="746">
        <v>0.5</v>
      </c>
      <c r="N299" s="746">
        <v>0.5</v>
      </c>
      <c r="O299" s="746">
        <v>0.5</v>
      </c>
      <c r="P299" s="746">
        <v>0.5</v>
      </c>
      <c r="Q299" s="746">
        <v>0.5</v>
      </c>
      <c r="R299" s="746">
        <v>0.5</v>
      </c>
      <c r="S299" s="746">
        <v>0.5</v>
      </c>
      <c r="T299" s="746">
        <v>0.5</v>
      </c>
      <c r="U299" s="746">
        <v>0.5</v>
      </c>
      <c r="V299" s="746">
        <v>0.5</v>
      </c>
      <c r="W299" s="185"/>
      <c r="X299" s="185"/>
      <c r="Y299" s="169"/>
      <c r="Z299" s="169"/>
      <c r="AA299" s="169"/>
      <c r="AB299" s="169"/>
      <c r="AC299" s="169"/>
      <c r="AD299" s="169"/>
      <c r="AE299" s="169"/>
      <c r="AF299" s="169"/>
      <c r="AG299" s="169"/>
      <c r="AH299" s="169"/>
      <c r="AI299" s="169"/>
      <c r="AJ299" s="169"/>
      <c r="AK299" s="8"/>
      <c r="AL299" s="8"/>
    </row>
    <row r="300" spans="1:38" s="9" customFormat="1" ht="15.75">
      <c r="A300" s="171"/>
      <c r="B300" s="171" t="s">
        <v>1174</v>
      </c>
      <c r="C300" s="185"/>
      <c r="D300" s="185"/>
      <c r="E300" s="185"/>
      <c r="F300" s="185"/>
      <c r="G300" s="185"/>
      <c r="H300" s="185"/>
      <c r="I300" s="185"/>
      <c r="J300" s="185"/>
      <c r="K300" s="185"/>
      <c r="L300" s="185">
        <f>L297/(Consolidation!J128-Consolidation!J83-Consolidation!J84)</f>
        <v>0</v>
      </c>
      <c r="M300" s="185">
        <f>M297/(Consolidation!K128-Consolidation!K83-Consolidation!K84)</f>
        <v>0.25978490378220798</v>
      </c>
      <c r="N300" s="185">
        <f>N297/(Consolidation!L128-Consolidation!L83-Consolidation!L84)</f>
        <v>0.33571043002856982</v>
      </c>
      <c r="O300" s="185">
        <f>O297/(Consolidation!M128-Consolidation!M83-Consolidation!M84)</f>
        <v>0.37340174609354859</v>
      </c>
      <c r="P300" s="185">
        <f>P297/(Consolidation!N128-Consolidation!N83-Consolidation!N84)</f>
        <v>0.40070219384789346</v>
      </c>
      <c r="Q300" s="185">
        <f>Q297/(Consolidation!O128-Consolidation!O83-Consolidation!O84)</f>
        <v>0.4150398271465795</v>
      </c>
      <c r="R300" s="185">
        <f>R297/(Consolidation!P128-Consolidation!P83-Consolidation!P84)</f>
        <v>0.44056665749378232</v>
      </c>
      <c r="S300" s="185">
        <f>S297/(Consolidation!Q128-Consolidation!Q83-Consolidation!Q84)</f>
        <v>0.44815997022652843</v>
      </c>
      <c r="T300" s="185">
        <f>T297/(Consolidation!R128-Consolidation!R83-Consolidation!R84)</f>
        <v>0.46473759905514556</v>
      </c>
      <c r="U300" s="185">
        <f>U297/(Consolidation!S128-Consolidation!S83-Consolidation!S84)</f>
        <v>0.46884530121753004</v>
      </c>
      <c r="V300" s="185">
        <f>V297/(Consolidation!T128-Consolidation!T83-Consolidation!T84)</f>
        <v>0.48446908252227888</v>
      </c>
      <c r="W300" s="185"/>
      <c r="X300" s="185"/>
      <c r="Y300" s="169"/>
      <c r="Z300" s="169"/>
      <c r="AA300" s="169"/>
      <c r="AB300" s="169"/>
      <c r="AC300" s="169"/>
      <c r="AD300" s="169"/>
      <c r="AE300" s="169"/>
      <c r="AF300" s="169"/>
      <c r="AG300" s="169"/>
      <c r="AH300" s="169"/>
      <c r="AI300" s="169"/>
      <c r="AJ300" s="169"/>
      <c r="AK300" s="8"/>
      <c r="AL300" s="8"/>
    </row>
    <row r="301" spans="1:38" s="9" customFormat="1" ht="15.75">
      <c r="A301" s="171"/>
      <c r="B301" s="171" t="s">
        <v>1176</v>
      </c>
      <c r="C301" s="185"/>
      <c r="D301" s="185"/>
      <c r="E301" s="185"/>
      <c r="F301" s="185"/>
      <c r="G301" s="185"/>
      <c r="H301" s="185"/>
      <c r="I301" s="185"/>
      <c r="J301" s="185"/>
      <c r="K301" s="185"/>
      <c r="L301" s="185">
        <f>-L118/(Consolidation!J128-Consolidation!J83-Consolidation!J84)</f>
        <v>0.33278423933842516</v>
      </c>
      <c r="M301" s="185">
        <f>-M118/(Consolidation!K128-Consolidation!K83-Consolidation!K84)</f>
        <v>0.22460426353541901</v>
      </c>
      <c r="N301" s="185">
        <f>-N118/(Consolidation!L128-Consolidation!L83-Consolidation!L84)</f>
        <v>0.26300108374595549</v>
      </c>
      <c r="O301" s="185">
        <f>-O118/(Consolidation!M128-Consolidation!M83-Consolidation!M84)</f>
        <v>0.2542613383923582</v>
      </c>
      <c r="P301" s="185">
        <f>-P118/(Consolidation!N128-Consolidation!N83-Consolidation!N84)</f>
        <v>0.25716677294775037</v>
      </c>
      <c r="Q301" s="185">
        <f>-Q118/(Consolidation!O128-Consolidation!O83-Consolidation!O84)</f>
        <v>0.25066566537837304</v>
      </c>
      <c r="R301" s="185">
        <f>-R118/(Consolidation!P128-Consolidation!P83-Consolidation!P84)</f>
        <v>0.25165136778868691</v>
      </c>
      <c r="S301" s="185">
        <f>-S118/(Consolidation!Q128-Consolidation!Q83-Consolidation!Q84)</f>
        <v>0.24490981342079998</v>
      </c>
      <c r="T301" s="185">
        <f>-T118/(Consolidation!R128-Consolidation!R83-Consolidation!R84)</f>
        <v>0.24374433332405621</v>
      </c>
      <c r="U301" s="185">
        <f>-U118/(Consolidation!S128-Consolidation!S83-Consolidation!S84)</f>
        <v>0.23589286868908144</v>
      </c>
      <c r="V301" s="185">
        <f>-V118/(Consolidation!T128-Consolidation!T83-Consolidation!T84)</f>
        <v>0.23354554541190989</v>
      </c>
      <c r="W301" s="185"/>
      <c r="X301" s="185"/>
      <c r="Y301" s="169"/>
      <c r="Z301" s="169"/>
      <c r="AA301" s="169"/>
      <c r="AB301" s="169"/>
      <c r="AC301" s="169"/>
      <c r="AD301" s="169"/>
      <c r="AE301" s="169"/>
      <c r="AF301" s="169"/>
      <c r="AG301" s="169"/>
      <c r="AH301" s="169"/>
      <c r="AI301" s="169"/>
      <c r="AJ301" s="169"/>
      <c r="AK301" s="8"/>
      <c r="AL301" s="8"/>
    </row>
    <row r="302" spans="1:38" s="9" customFormat="1" ht="15.75">
      <c r="A302" s="171"/>
      <c r="B302" s="171"/>
      <c r="C302" s="185"/>
      <c r="D302" s="185"/>
      <c r="E302" s="185"/>
      <c r="F302" s="185"/>
      <c r="G302" s="185"/>
      <c r="H302" s="185"/>
      <c r="I302" s="185"/>
      <c r="J302" s="185"/>
      <c r="K302" s="185"/>
      <c r="L302" s="185"/>
      <c r="M302" s="185"/>
      <c r="N302" s="185"/>
      <c r="O302" s="185"/>
      <c r="P302" s="185"/>
      <c r="Q302" s="185"/>
      <c r="R302" s="185"/>
      <c r="S302" s="185"/>
      <c r="T302" s="185"/>
      <c r="U302" s="185"/>
      <c r="V302" s="185"/>
      <c r="W302" s="185"/>
      <c r="X302" s="185"/>
      <c r="Y302" s="169"/>
      <c r="Z302" s="169"/>
      <c r="AA302" s="169"/>
      <c r="AB302" s="169"/>
      <c r="AC302" s="169"/>
      <c r="AD302" s="169"/>
      <c r="AE302" s="169"/>
      <c r="AF302" s="169"/>
      <c r="AG302" s="169"/>
      <c r="AH302" s="169"/>
      <c r="AI302" s="169"/>
      <c r="AJ302" s="169"/>
      <c r="AK302" s="8"/>
      <c r="AL302" s="8"/>
    </row>
    <row r="303" spans="1:38" s="9" customFormat="1" ht="15.75">
      <c r="A303" s="171"/>
      <c r="B303" s="173" t="s">
        <v>132</v>
      </c>
      <c r="C303" s="270">
        <f t="shared" ref="C303:V303" si="285">C104/(C99)</f>
        <v>0.95174111712146714</v>
      </c>
      <c r="D303" s="270">
        <f t="shared" si="285"/>
        <v>2.3656905062838329</v>
      </c>
      <c r="E303" s="270">
        <f t="shared" si="285"/>
        <v>5.4010599400188966</v>
      </c>
      <c r="F303" s="270">
        <f t="shared" si="285"/>
        <v>0.93795160380306786</v>
      </c>
      <c r="G303" s="270">
        <f t="shared" si="285"/>
        <v>1.5786262111059464</v>
      </c>
      <c r="H303" s="270">
        <f t="shared" si="285"/>
        <v>1.1985810795151679</v>
      </c>
      <c r="I303" s="270">
        <f t="shared" si="285"/>
        <v>2.5262370788755657</v>
      </c>
      <c r="J303" s="270">
        <f t="shared" si="285"/>
        <v>10.994599169723099</v>
      </c>
      <c r="K303" s="270">
        <f t="shared" si="285"/>
        <v>-11.232034860332202</v>
      </c>
      <c r="L303" s="270">
        <f t="shared" si="285"/>
        <v>38.206726454777744</v>
      </c>
      <c r="M303" s="270">
        <f t="shared" si="285"/>
        <v>10.045297009349758</v>
      </c>
      <c r="N303" s="270">
        <f t="shared" si="285"/>
        <v>5.4369176635518395</v>
      </c>
      <c r="O303" s="270">
        <f t="shared" si="285"/>
        <v>3.6793260467415139</v>
      </c>
      <c r="P303" s="270">
        <f t="shared" si="285"/>
        <v>2.7051316906991372</v>
      </c>
      <c r="Q303" s="270">
        <f t="shared" si="285"/>
        <v>2.0898788359003886</v>
      </c>
      <c r="R303" s="270">
        <f t="shared" si="285"/>
        <v>1.657682456071035</v>
      </c>
      <c r="S303" s="270">
        <f t="shared" si="285"/>
        <v>1.3422396244895078</v>
      </c>
      <c r="T303" s="270">
        <f t="shared" si="285"/>
        <v>1.0899363698615829</v>
      </c>
      <c r="U303" s="270">
        <f t="shared" si="285"/>
        <v>0.88652296048111712</v>
      </c>
      <c r="V303" s="270">
        <f t="shared" si="285"/>
        <v>0.72418221725501841</v>
      </c>
      <c r="W303" s="270"/>
      <c r="X303" s="270"/>
      <c r="Y303" s="169"/>
      <c r="Z303" s="169"/>
      <c r="AA303" s="169"/>
      <c r="AB303" s="169"/>
      <c r="AC303" s="169"/>
      <c r="AD303" s="169"/>
      <c r="AE303" s="169"/>
      <c r="AF303" s="169"/>
      <c r="AG303" s="169"/>
      <c r="AH303" s="169"/>
      <c r="AI303" s="169"/>
      <c r="AJ303" s="169"/>
      <c r="AK303" s="8"/>
      <c r="AL303" s="8"/>
    </row>
    <row r="304" spans="1:38" ht="15.75">
      <c r="A304" s="169"/>
      <c r="B304" s="171"/>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69"/>
      <c r="Z304" s="169"/>
      <c r="AA304" s="169"/>
      <c r="AB304" s="169"/>
      <c r="AC304" s="169"/>
      <c r="AD304" s="169"/>
      <c r="AE304" s="169"/>
      <c r="AF304" s="169"/>
      <c r="AG304" s="169"/>
      <c r="AH304" s="169"/>
      <c r="AI304" s="169"/>
      <c r="AJ304" s="169"/>
    </row>
    <row r="305" spans="1:36" ht="15.75">
      <c r="A305" s="169"/>
      <c r="B305" s="171"/>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69"/>
      <c r="Z305" s="169"/>
      <c r="AA305" s="169"/>
      <c r="AB305" s="169"/>
      <c r="AC305" s="169"/>
      <c r="AD305" s="169"/>
      <c r="AE305" s="169"/>
      <c r="AF305" s="169"/>
      <c r="AG305" s="169"/>
      <c r="AH305" s="169"/>
      <c r="AI305" s="169"/>
      <c r="AJ305" s="169"/>
    </row>
    <row r="306" spans="1:36" ht="15.75">
      <c r="A306" s="169"/>
      <c r="B306" s="186" t="s">
        <v>342</v>
      </c>
      <c r="C306" s="271"/>
      <c r="D306" s="271"/>
      <c r="E306" s="271"/>
      <c r="F306" s="271">
        <f t="shared" ref="F306:Q306" si="286">F266</f>
        <v>2019</v>
      </c>
      <c r="G306" s="271">
        <f t="shared" si="286"/>
        <v>2020</v>
      </c>
      <c r="H306" s="271">
        <f t="shared" si="286"/>
        <v>2021</v>
      </c>
      <c r="I306" s="271">
        <f t="shared" si="286"/>
        <v>2022</v>
      </c>
      <c r="J306" s="271">
        <f t="shared" si="286"/>
        <v>2023</v>
      </c>
      <c r="K306" s="271">
        <f t="shared" si="286"/>
        <v>2024</v>
      </c>
      <c r="L306" s="271">
        <f t="shared" si="286"/>
        <v>2025</v>
      </c>
      <c r="M306" s="271">
        <f t="shared" si="286"/>
        <v>2026</v>
      </c>
      <c r="N306" s="271">
        <f t="shared" si="286"/>
        <v>2027</v>
      </c>
      <c r="O306" s="271">
        <f t="shared" si="286"/>
        <v>2028</v>
      </c>
      <c r="P306" s="271">
        <f t="shared" si="286"/>
        <v>2029</v>
      </c>
      <c r="Q306" s="271">
        <f t="shared" si="286"/>
        <v>2030</v>
      </c>
      <c r="R306" s="271">
        <f t="shared" ref="R306:V306" si="287">R266</f>
        <v>2031</v>
      </c>
      <c r="S306" s="271">
        <f t="shared" si="287"/>
        <v>2032</v>
      </c>
      <c r="T306" s="271">
        <f t="shared" si="287"/>
        <v>2033</v>
      </c>
      <c r="U306" s="271">
        <f t="shared" si="287"/>
        <v>2034</v>
      </c>
      <c r="V306" s="271">
        <f t="shared" si="287"/>
        <v>2035</v>
      </c>
      <c r="W306" s="688"/>
      <c r="X306" s="688"/>
      <c r="Y306" s="169"/>
      <c r="Z306" s="169"/>
      <c r="AA306" s="169"/>
      <c r="AB306" s="169"/>
      <c r="AC306" s="169"/>
      <c r="AD306" s="169"/>
      <c r="AE306" s="169"/>
      <c r="AF306" s="169"/>
      <c r="AG306" s="169"/>
      <c r="AH306" s="169"/>
      <c r="AI306" s="169"/>
      <c r="AJ306" s="169"/>
    </row>
    <row r="307" spans="1:36" ht="15.75">
      <c r="A307" s="169"/>
      <c r="B307" s="171" t="s">
        <v>9</v>
      </c>
      <c r="C307" s="183"/>
      <c r="D307" s="183"/>
      <c r="E307" s="183"/>
      <c r="F307" s="190">
        <f t="shared" ref="F307:V307" si="288">F19</f>
        <v>668.61399999999992</v>
      </c>
      <c r="G307" s="190">
        <f t="shared" si="288"/>
        <v>819.01400000000001</v>
      </c>
      <c r="H307" s="190">
        <f t="shared" si="288"/>
        <v>926.39599999999996</v>
      </c>
      <c r="I307" s="190">
        <f t="shared" si="288"/>
        <v>1031.386</v>
      </c>
      <c r="J307" s="190">
        <f t="shared" si="288"/>
        <v>1132.5350000000001</v>
      </c>
      <c r="K307" s="190">
        <f t="shared" si="288"/>
        <v>928.35399999999993</v>
      </c>
      <c r="L307" s="190">
        <f t="shared" si="288"/>
        <v>998.65849699308114</v>
      </c>
      <c r="M307" s="190">
        <f t="shared" si="288"/>
        <v>1051.2963469177898</v>
      </c>
      <c r="N307" s="190">
        <f t="shared" si="288"/>
        <v>1136.8872381829219</v>
      </c>
      <c r="O307" s="190">
        <f t="shared" si="288"/>
        <v>1215.7125917450928</v>
      </c>
      <c r="P307" s="190">
        <f t="shared" si="288"/>
        <v>1299.9171313615789</v>
      </c>
      <c r="Q307" s="190">
        <f t="shared" si="288"/>
        <v>1387.4387083095012</v>
      </c>
      <c r="R307" s="190">
        <f t="shared" si="288"/>
        <v>1474.7790505029366</v>
      </c>
      <c r="S307" s="190">
        <f t="shared" si="288"/>
        <v>1564.7079206201638</v>
      </c>
      <c r="T307" s="190">
        <f t="shared" si="288"/>
        <v>1660.3990786374698</v>
      </c>
      <c r="U307" s="190">
        <f t="shared" si="288"/>
        <v>1762.1582617619658</v>
      </c>
      <c r="V307" s="190">
        <f t="shared" si="288"/>
        <v>1870.4763671005544</v>
      </c>
      <c r="W307" s="190"/>
      <c r="X307" s="190"/>
      <c r="Y307" s="169"/>
      <c r="Z307" s="169"/>
      <c r="AA307" s="169"/>
      <c r="AB307" s="169"/>
      <c r="AC307" s="169"/>
      <c r="AD307" s="169"/>
      <c r="AE307" s="169"/>
      <c r="AF307" s="169"/>
      <c r="AG307" s="169"/>
      <c r="AH307" s="169"/>
      <c r="AI307" s="169"/>
      <c r="AJ307" s="169"/>
    </row>
    <row r="308" spans="1:36" ht="15.75">
      <c r="A308" s="169"/>
      <c r="B308" s="171" t="s">
        <v>347</v>
      </c>
      <c r="C308" s="183"/>
      <c r="D308" s="183"/>
      <c r="E308" s="183"/>
      <c r="F308" s="200">
        <f>-Consolidation!E39</f>
        <v>-16.024000000000001</v>
      </c>
      <c r="G308" s="200">
        <f>-Consolidation!F39</f>
        <v>-27.384</v>
      </c>
      <c r="H308" s="200">
        <f>-Consolidation!G39</f>
        <v>-32.826000000000001</v>
      </c>
      <c r="I308" s="200">
        <f>-Consolidation!H39</f>
        <v>-52.234000000000002</v>
      </c>
      <c r="J308" s="200">
        <f>-Consolidation!I39</f>
        <v>-61.616999999999997</v>
      </c>
      <c r="K308" s="200">
        <f>-Consolidation!J39</f>
        <v>-68.031000000000006</v>
      </c>
      <c r="L308" s="200">
        <f>-Consolidation!K39</f>
        <v>-63.818832</v>
      </c>
      <c r="M308" s="200">
        <f>-Consolidation!L39</f>
        <v>-67.009773600000003</v>
      </c>
      <c r="N308" s="200">
        <f>-Consolidation!M39</f>
        <v>-70.360262280000001</v>
      </c>
      <c r="O308" s="200">
        <f>-Consolidation!N39</f>
        <v>-73.878275393999999</v>
      </c>
      <c r="P308" s="200">
        <f>-Consolidation!O39</f>
        <v>-77.572189163700003</v>
      </c>
      <c r="Q308" s="200">
        <f>-Consolidation!P39</f>
        <v>-81.450798621884999</v>
      </c>
      <c r="R308" s="200">
        <f>-Consolidation!Q39</f>
        <v>-85.523338552979268</v>
      </c>
      <c r="S308" s="200">
        <f>-Consolidation!R39</f>
        <v>-89.799505480628227</v>
      </c>
      <c r="T308" s="200">
        <f>-Consolidation!S39</f>
        <v>-94.289480754659635</v>
      </c>
      <c r="U308" s="200">
        <f>-Consolidation!T39</f>
        <v>-99.003954792392619</v>
      </c>
      <c r="V308" s="200">
        <f>-Consolidation!U39</f>
        <v>-103.95415253201226</v>
      </c>
      <c r="W308" s="200"/>
      <c r="X308" s="200"/>
      <c r="Y308" s="169"/>
      <c r="Z308" s="169"/>
      <c r="AA308" s="169"/>
      <c r="AB308" s="169"/>
      <c r="AC308" s="169"/>
      <c r="AD308" s="169"/>
      <c r="AE308" s="169"/>
      <c r="AF308" s="169"/>
      <c r="AG308" s="169"/>
      <c r="AH308" s="169"/>
      <c r="AI308" s="169"/>
      <c r="AJ308" s="169"/>
    </row>
    <row r="309" spans="1:36" ht="15.75">
      <c r="A309" s="169"/>
      <c r="B309" s="171" t="s">
        <v>316</v>
      </c>
      <c r="C309" s="183"/>
      <c r="D309" s="183"/>
      <c r="E309" s="183"/>
      <c r="F309" s="200">
        <f t="shared" ref="F309:V309" si="289">-F28</f>
        <v>-259</v>
      </c>
      <c r="G309" s="200">
        <f t="shared" si="289"/>
        <v>-229</v>
      </c>
      <c r="H309" s="200">
        <f t="shared" si="289"/>
        <v>-402</v>
      </c>
      <c r="I309" s="200">
        <f t="shared" si="289"/>
        <v>-634</v>
      </c>
      <c r="J309" s="200">
        <f t="shared" si="289"/>
        <v>-586</v>
      </c>
      <c r="K309" s="200">
        <f t="shared" si="289"/>
        <v>-257</v>
      </c>
      <c r="L309" s="200">
        <f t="shared" si="289"/>
        <v>-258.79166107797295</v>
      </c>
      <c r="M309" s="200">
        <f t="shared" si="289"/>
        <v>-269.40147831582021</v>
      </c>
      <c r="N309" s="200">
        <f t="shared" si="289"/>
        <v>-278.20707248888192</v>
      </c>
      <c r="O309" s="200">
        <f t="shared" si="289"/>
        <v>-295.05278547486472</v>
      </c>
      <c r="P309" s="200">
        <f t="shared" si="289"/>
        <v>-302.12273200606688</v>
      </c>
      <c r="Q309" s="200">
        <f t="shared" si="289"/>
        <v>-319.91401698300626</v>
      </c>
      <c r="R309" s="200">
        <f t="shared" si="289"/>
        <v>-325.468458174923</v>
      </c>
      <c r="S309" s="200">
        <f t="shared" si="289"/>
        <v>-342.81725952249258</v>
      </c>
      <c r="T309" s="200">
        <f t="shared" si="289"/>
        <v>-347.77282386819508</v>
      </c>
      <c r="U309" s="200">
        <f t="shared" si="289"/>
        <v>-366.41213083310117</v>
      </c>
      <c r="V309" s="200">
        <f t="shared" si="289"/>
        <v>-386.11284697475224</v>
      </c>
      <c r="W309" s="200"/>
      <c r="X309" s="200"/>
      <c r="Y309" s="169"/>
      <c r="Z309" s="169"/>
      <c r="AA309" s="169"/>
      <c r="AB309" s="169"/>
      <c r="AC309" s="169"/>
      <c r="AD309" s="169"/>
      <c r="AE309" s="169"/>
      <c r="AF309" s="169"/>
      <c r="AG309" s="169"/>
      <c r="AH309" s="169"/>
      <c r="AI309" s="169"/>
      <c r="AJ309" s="169"/>
    </row>
    <row r="310" spans="1:36" ht="15.75">
      <c r="A310" s="169"/>
      <c r="B310" s="171" t="s">
        <v>343</v>
      </c>
      <c r="C310" s="183"/>
      <c r="D310" s="183"/>
      <c r="E310" s="183"/>
      <c r="F310" s="200">
        <f t="shared" ref="F310:V310" si="290">F113</f>
        <v>-18</v>
      </c>
      <c r="G310" s="200">
        <f t="shared" si="290"/>
        <v>-157.76499999999999</v>
      </c>
      <c r="H310" s="200">
        <f t="shared" si="290"/>
        <v>-69.826999999999998</v>
      </c>
      <c r="I310" s="200">
        <f t="shared" si="290"/>
        <v>-46.24</v>
      </c>
      <c r="J310" s="200">
        <f t="shared" si="290"/>
        <v>-224.982</v>
      </c>
      <c r="K310" s="200">
        <f t="shared" si="290"/>
        <v>-158.667</v>
      </c>
      <c r="L310" s="200">
        <f t="shared" si="290"/>
        <v>-135.15493423109282</v>
      </c>
      <c r="M310" s="200">
        <f t="shared" si="290"/>
        <v>-125.57690886901644</v>
      </c>
      <c r="N310" s="200">
        <f t="shared" si="290"/>
        <v>-104.27030912083694</v>
      </c>
      <c r="O310" s="200">
        <f t="shared" si="290"/>
        <v>-105.27322557897782</v>
      </c>
      <c r="P310" s="200">
        <f t="shared" si="290"/>
        <v>-106.39389916131162</v>
      </c>
      <c r="Q310" s="200">
        <f t="shared" si="290"/>
        <v>-105.7717050242818</v>
      </c>
      <c r="R310" s="200">
        <f t="shared" si="290"/>
        <v>-102.25721279217592</v>
      </c>
      <c r="S310" s="200">
        <f t="shared" si="290"/>
        <v>-110.61798739812178</v>
      </c>
      <c r="T310" s="200">
        <f t="shared" si="290"/>
        <v>-107.33990281919588</v>
      </c>
      <c r="U310" s="200">
        <f t="shared" si="290"/>
        <v>-102.67790960480198</v>
      </c>
      <c r="V310" s="200">
        <f t="shared" si="290"/>
        <v>-111.37659455884666</v>
      </c>
      <c r="W310" s="200"/>
      <c r="X310" s="200"/>
      <c r="Y310" s="169"/>
      <c r="Z310" s="169"/>
      <c r="AA310" s="169"/>
      <c r="AB310" s="169"/>
      <c r="AC310" s="169"/>
      <c r="AD310" s="169"/>
      <c r="AE310" s="169"/>
      <c r="AF310" s="169"/>
      <c r="AG310" s="169"/>
      <c r="AH310" s="169"/>
      <c r="AI310" s="169"/>
      <c r="AJ310" s="169"/>
    </row>
    <row r="311" spans="1:36" ht="15.75">
      <c r="A311" s="169"/>
      <c r="B311" s="171" t="s">
        <v>348</v>
      </c>
      <c r="C311" s="183"/>
      <c r="D311" s="183"/>
      <c r="E311" s="183"/>
      <c r="F311" s="200">
        <f t="shared" ref="F311:V311" si="291">F115</f>
        <v>-58.33</v>
      </c>
      <c r="G311" s="200">
        <f t="shared" si="291"/>
        <v>-39.152999999999999</v>
      </c>
      <c r="H311" s="200">
        <f t="shared" si="291"/>
        <v>-63.323999999999998</v>
      </c>
      <c r="I311" s="200">
        <f t="shared" si="291"/>
        <v>-76.629000000000005</v>
      </c>
      <c r="J311" s="200">
        <f t="shared" si="291"/>
        <v>-72.853999999999999</v>
      </c>
      <c r="K311" s="200">
        <f t="shared" si="291"/>
        <v>-55.232999999999997</v>
      </c>
      <c r="L311" s="200">
        <f t="shared" si="291"/>
        <v>-60.756300000000003</v>
      </c>
      <c r="M311" s="200">
        <f t="shared" si="291"/>
        <v>-66.831930000000014</v>
      </c>
      <c r="N311" s="200">
        <f t="shared" si="291"/>
        <v>-73.515123000000017</v>
      </c>
      <c r="O311" s="200">
        <f t="shared" si="291"/>
        <v>-80.866635300000027</v>
      </c>
      <c r="P311" s="200">
        <f t="shared" si="291"/>
        <v>-88.953298830000037</v>
      </c>
      <c r="Q311" s="200">
        <f t="shared" si="291"/>
        <v>-97.848628713000053</v>
      </c>
      <c r="R311" s="200">
        <f t="shared" si="291"/>
        <v>-105.18727586647505</v>
      </c>
      <c r="S311" s="200">
        <f t="shared" si="291"/>
        <v>-110.44663965979881</v>
      </c>
      <c r="T311" s="200">
        <f t="shared" si="291"/>
        <v>-115.96897164278874</v>
      </c>
      <c r="U311" s="200">
        <f t="shared" si="291"/>
        <v>-121.76742022492819</v>
      </c>
      <c r="V311" s="200">
        <f t="shared" si="291"/>
        <v>-127.8557912361746</v>
      </c>
      <c r="W311" s="200"/>
      <c r="X311" s="200"/>
      <c r="Y311" s="169"/>
      <c r="Z311" s="169"/>
      <c r="AA311" s="169"/>
      <c r="AB311" s="169"/>
      <c r="AC311" s="169"/>
      <c r="AD311" s="169"/>
      <c r="AE311" s="169"/>
      <c r="AF311" s="169"/>
      <c r="AG311" s="169"/>
      <c r="AH311" s="169"/>
      <c r="AI311" s="169"/>
      <c r="AJ311" s="169"/>
    </row>
    <row r="312" spans="1:36" ht="15.75">
      <c r="A312" s="169"/>
      <c r="B312" s="171" t="s">
        <v>138</v>
      </c>
      <c r="C312" s="183"/>
      <c r="D312" s="183"/>
      <c r="E312" s="183"/>
      <c r="F312" s="200">
        <f t="shared" ref="F312:V312" si="292">F111-F308</f>
        <v>-152.761</v>
      </c>
      <c r="G312" s="200">
        <f t="shared" si="292"/>
        <v>-154.69200000000001</v>
      </c>
      <c r="H312" s="200">
        <f t="shared" si="292"/>
        <v>-160.584</v>
      </c>
      <c r="I312" s="200">
        <f t="shared" si="292"/>
        <v>-203.34100000000001</v>
      </c>
      <c r="J312" s="200">
        <f t="shared" si="292"/>
        <v>-270.84699999999998</v>
      </c>
      <c r="K312" s="200">
        <f t="shared" si="292"/>
        <v>-306.33399999999995</v>
      </c>
      <c r="L312" s="200">
        <f t="shared" si="292"/>
        <v>-322.69773525155665</v>
      </c>
      <c r="M312" s="200">
        <f t="shared" si="292"/>
        <v>-314.27069563133182</v>
      </c>
      <c r="N312" s="200">
        <f t="shared" si="292"/>
        <v>-311.38301385737452</v>
      </c>
      <c r="O312" s="200">
        <f t="shared" si="292"/>
        <v>-307.98873570761992</v>
      </c>
      <c r="P312" s="200">
        <f t="shared" si="292"/>
        <v>-304.49559156955888</v>
      </c>
      <c r="Q312" s="200">
        <f t="shared" si="292"/>
        <v>-300.78990702470406</v>
      </c>
      <c r="R312" s="200">
        <f t="shared" si="292"/>
        <v>-296.92181491281804</v>
      </c>
      <c r="S312" s="200">
        <f t="shared" si="292"/>
        <v>-293.21176624482428</v>
      </c>
      <c r="T312" s="200">
        <f t="shared" si="292"/>
        <v>-289.80200524350084</v>
      </c>
      <c r="U312" s="200">
        <f t="shared" si="292"/>
        <v>-286.59081626835444</v>
      </c>
      <c r="V312" s="200">
        <f t="shared" si="292"/>
        <v>-283.74362011413422</v>
      </c>
      <c r="W312" s="200"/>
      <c r="X312" s="200"/>
      <c r="Y312" s="169"/>
      <c r="Z312" s="169"/>
      <c r="AA312" s="169"/>
      <c r="AB312" s="169"/>
      <c r="AC312" s="169"/>
      <c r="AD312" s="169"/>
      <c r="AE312" s="169"/>
      <c r="AF312" s="169"/>
      <c r="AG312" s="169"/>
      <c r="AH312" s="169"/>
      <c r="AI312" s="169"/>
      <c r="AJ312" s="169"/>
    </row>
    <row r="313" spans="1:36" ht="15.75">
      <c r="A313" s="169"/>
      <c r="B313" s="171" t="s">
        <v>352</v>
      </c>
      <c r="C313" s="183"/>
      <c r="D313" s="183"/>
      <c r="E313" s="183"/>
      <c r="F313" s="200">
        <f>-Nigeria!F78</f>
        <v>-33.432000000000002</v>
      </c>
      <c r="G313" s="200">
        <f>-Nigeria!G78</f>
        <v>-89.572999999999993</v>
      </c>
      <c r="H313" s="200">
        <f>-Nigeria!H78</f>
        <v>-108.417</v>
      </c>
      <c r="I313" s="200">
        <f>-Nigeria!I78</f>
        <v>-116.14700000000001</v>
      </c>
      <c r="J313" s="200">
        <f>-Nigeria!J78</f>
        <v>-117.56100000000001</v>
      </c>
      <c r="K313" s="200">
        <f>-Nigeria!K78</f>
        <v>-85.075999999999993</v>
      </c>
      <c r="L313" s="200">
        <f>-Nigeria!L78</f>
        <v>-100.62449933533159</v>
      </c>
      <c r="M313" s="200">
        <f>-Nigeria!M78</f>
        <v>-109.14830476911506</v>
      </c>
      <c r="N313" s="200">
        <f>-Nigeria!N78</f>
        <v>-119.0971152914632</v>
      </c>
      <c r="O313" s="200">
        <f>-Nigeria!O78</f>
        <v>-127.37921316710056</v>
      </c>
      <c r="P313" s="200">
        <f>-Nigeria!P78</f>
        <v>-136.28288769569554</v>
      </c>
      <c r="Q313" s="200">
        <f>-Nigeria!Q78</f>
        <v>-145.42822890565631</v>
      </c>
      <c r="R313" s="200">
        <f>-Nigeria!R78</f>
        <v>-154.27100777511856</v>
      </c>
      <c r="S313" s="200">
        <f>-Nigeria!S78</f>
        <v>-163.17242308758921</v>
      </c>
      <c r="T313" s="200">
        <f>-Nigeria!T78</f>
        <v>-172.58513309501217</v>
      </c>
      <c r="U313" s="200">
        <f>-Nigeria!U78</f>
        <v>-182.53839014056518</v>
      </c>
      <c r="V313" s="200">
        <f>-Nigeria!V78</f>
        <v>-193.06311429638194</v>
      </c>
      <c r="W313" s="200"/>
      <c r="X313" s="200"/>
      <c r="Y313" s="169"/>
      <c r="Z313" s="169"/>
      <c r="AA313" s="169"/>
      <c r="AB313" s="169"/>
      <c r="AC313" s="169"/>
      <c r="AD313" s="169"/>
      <c r="AE313" s="169"/>
      <c r="AF313" s="169"/>
      <c r="AG313" s="169"/>
      <c r="AH313" s="169"/>
      <c r="AI313" s="169"/>
      <c r="AJ313" s="169"/>
    </row>
    <row r="314" spans="1:36" ht="15.75">
      <c r="A314" s="169"/>
      <c r="B314" s="171" t="s">
        <v>261</v>
      </c>
      <c r="C314" s="183"/>
      <c r="D314" s="183"/>
      <c r="E314" s="183"/>
      <c r="F314" s="200">
        <f t="shared" ref="F314:V314" si="293">F112</f>
        <v>-13.396000000000001</v>
      </c>
      <c r="G314" s="200">
        <f t="shared" si="293"/>
        <v>-14.54</v>
      </c>
      <c r="H314" s="200">
        <f t="shared" si="293"/>
        <v>-29.146999999999998</v>
      </c>
      <c r="I314" s="200">
        <f t="shared" si="293"/>
        <v>-51.244999999999997</v>
      </c>
      <c r="J314" s="200">
        <f t="shared" si="293"/>
        <v>-45.411000000000001</v>
      </c>
      <c r="K314" s="200">
        <f t="shared" si="293"/>
        <v>-38.628999999999998</v>
      </c>
      <c r="L314" s="200">
        <f t="shared" si="293"/>
        <v>-44.980206961226379</v>
      </c>
      <c r="M314" s="200">
        <f t="shared" si="293"/>
        <v>-65.646527322746209</v>
      </c>
      <c r="N314" s="200">
        <f t="shared" si="293"/>
        <v>-88.114476653310433</v>
      </c>
      <c r="O314" s="200">
        <f t="shared" si="293"/>
        <v>-106.84398123795764</v>
      </c>
      <c r="P314" s="200">
        <f t="shared" si="293"/>
        <v>-127.7293323991356</v>
      </c>
      <c r="Q314" s="200">
        <f t="shared" si="293"/>
        <v>-150.06020705724754</v>
      </c>
      <c r="R314" s="200">
        <f t="shared" si="293"/>
        <v>-172.53323710010218</v>
      </c>
      <c r="S314" s="200">
        <f t="shared" si="293"/>
        <v>-196.1136120180027</v>
      </c>
      <c r="T314" s="200">
        <f t="shared" si="293"/>
        <v>-221.46817080988657</v>
      </c>
      <c r="U314" s="200">
        <f t="shared" si="293"/>
        <v>-248.92913200351177</v>
      </c>
      <c r="V314" s="200">
        <f t="shared" si="293"/>
        <v>-278.33927193664994</v>
      </c>
      <c r="W314" s="200"/>
      <c r="X314" s="200"/>
      <c r="Y314" s="169"/>
      <c r="Z314" s="169"/>
      <c r="AA314" s="169"/>
      <c r="AB314" s="169"/>
      <c r="AC314" s="169"/>
      <c r="AD314" s="169"/>
      <c r="AE314" s="169"/>
      <c r="AF314" s="169"/>
      <c r="AG314" s="169"/>
      <c r="AH314" s="169"/>
      <c r="AI314" s="169"/>
      <c r="AJ314" s="169"/>
    </row>
    <row r="315" spans="1:36" ht="16.5" thickBot="1">
      <c r="A315" s="169"/>
      <c r="B315" s="202" t="s">
        <v>344</v>
      </c>
      <c r="C315" s="272"/>
      <c r="D315" s="272"/>
      <c r="E315" s="272"/>
      <c r="F315" s="273">
        <f t="shared" ref="F315:Q315" si="294">SUM(F307:F314)</f>
        <v>117.67099999999995</v>
      </c>
      <c r="G315" s="273">
        <f t="shared" si="294"/>
        <v>106.90699999999998</v>
      </c>
      <c r="H315" s="273">
        <f t="shared" si="294"/>
        <v>60.270999999999923</v>
      </c>
      <c r="I315" s="273">
        <f t="shared" si="294"/>
        <v>-148.4500000000001</v>
      </c>
      <c r="J315" s="273">
        <f t="shared" si="294"/>
        <v>-246.73699999999982</v>
      </c>
      <c r="K315" s="273">
        <f t="shared" si="294"/>
        <v>-40.616000000000106</v>
      </c>
      <c r="L315" s="273">
        <f t="shared" si="294"/>
        <v>11.834328135900726</v>
      </c>
      <c r="M315" s="273">
        <f t="shared" si="294"/>
        <v>33.410728409760068</v>
      </c>
      <c r="N315" s="273">
        <f t="shared" si="294"/>
        <v>91.939865491054931</v>
      </c>
      <c r="O315" s="273">
        <f t="shared" si="294"/>
        <v>118.42973988457213</v>
      </c>
      <c r="P315" s="273">
        <f t="shared" si="294"/>
        <v>156.36720053611043</v>
      </c>
      <c r="Q315" s="273">
        <f t="shared" si="294"/>
        <v>186.17521597972009</v>
      </c>
      <c r="R315" s="273">
        <f t="shared" ref="R315:V315" si="295">SUM(R307:R314)</f>
        <v>232.61670532834458</v>
      </c>
      <c r="S315" s="273">
        <f t="shared" si="295"/>
        <v>258.52872720870602</v>
      </c>
      <c r="T315" s="273">
        <f t="shared" si="295"/>
        <v>311.17259040423062</v>
      </c>
      <c r="U315" s="273">
        <f t="shared" si="295"/>
        <v>354.23850789431037</v>
      </c>
      <c r="V315" s="273">
        <f t="shared" si="295"/>
        <v>386.03097545160239</v>
      </c>
      <c r="W315" s="689"/>
      <c r="X315" s="689"/>
      <c r="Y315" s="169"/>
      <c r="Z315" s="169"/>
      <c r="AA315" s="169"/>
      <c r="AB315" s="169"/>
      <c r="AC315" s="169"/>
      <c r="AD315" s="169"/>
      <c r="AE315" s="169"/>
      <c r="AF315" s="169"/>
      <c r="AG315" s="169"/>
      <c r="AH315" s="169"/>
      <c r="AI315" s="169"/>
      <c r="AJ315" s="169"/>
    </row>
    <row r="316" spans="1:36" ht="16.5" thickTop="1">
      <c r="A316" s="169"/>
      <c r="B316" s="171" t="s">
        <v>345</v>
      </c>
      <c r="C316" s="183"/>
      <c r="D316" s="183"/>
      <c r="E316" s="183"/>
      <c r="F316" s="183"/>
      <c r="G316" s="274">
        <f>G315/F315-1</f>
        <v>-9.147538475920125E-2</v>
      </c>
      <c r="H316" s="274">
        <f t="shared" ref="H316:V316" si="296">H315/G315-1</f>
        <v>-0.43622962013712918</v>
      </c>
      <c r="I316" s="274">
        <f t="shared" si="296"/>
        <v>-3.4630419272950554</v>
      </c>
      <c r="J316" s="274">
        <f t="shared" si="296"/>
        <v>0.66208824520040177</v>
      </c>
      <c r="K316" s="274">
        <f t="shared" si="296"/>
        <v>-0.83538747735442942</v>
      </c>
      <c r="L316" s="274">
        <f t="shared" si="296"/>
        <v>-1.2913710886325758</v>
      </c>
      <c r="M316" s="274">
        <f t="shared" si="296"/>
        <v>1.8232044967897227</v>
      </c>
      <c r="N316" s="274">
        <f t="shared" si="296"/>
        <v>1.7518066760914173</v>
      </c>
      <c r="O316" s="274">
        <f t="shared" si="296"/>
        <v>0.28812174405556923</v>
      </c>
      <c r="P316" s="274">
        <f t="shared" si="296"/>
        <v>0.32033727920465038</v>
      </c>
      <c r="Q316" s="274">
        <f t="shared" si="296"/>
        <v>0.19062831170099503</v>
      </c>
      <c r="R316" s="274">
        <f t="shared" si="296"/>
        <v>0.24945043895468522</v>
      </c>
      <c r="S316" s="274">
        <f t="shared" si="296"/>
        <v>0.11139364150044995</v>
      </c>
      <c r="T316" s="274">
        <f t="shared" si="296"/>
        <v>0.20362867896311609</v>
      </c>
      <c r="U316" s="274">
        <f t="shared" si="296"/>
        <v>0.13839881409263821</v>
      </c>
      <c r="V316" s="274">
        <f t="shared" si="296"/>
        <v>8.9748762059424392E-2</v>
      </c>
      <c r="W316" s="690"/>
      <c r="X316" s="690"/>
      <c r="Y316" s="169"/>
      <c r="Z316" s="169"/>
      <c r="AA316" s="169"/>
      <c r="AB316" s="169"/>
      <c r="AC316" s="169"/>
      <c r="AD316" s="169"/>
      <c r="AE316" s="169"/>
      <c r="AF316" s="169"/>
      <c r="AG316" s="169"/>
      <c r="AH316" s="169"/>
      <c r="AI316" s="169"/>
      <c r="AJ316" s="169"/>
    </row>
    <row r="317" spans="1:36" ht="15.75">
      <c r="A317" s="169"/>
      <c r="B317" s="171"/>
      <c r="C317" s="183"/>
      <c r="D317" s="183"/>
      <c r="E317" s="183"/>
      <c r="F317" s="183"/>
      <c r="G317" s="274"/>
      <c r="H317" s="274"/>
      <c r="I317" s="274"/>
      <c r="J317" s="274"/>
      <c r="K317" s="274"/>
      <c r="L317" s="274">
        <f>L315/Valuation!I60</f>
        <v>5.3999503257751548E-3</v>
      </c>
      <c r="M317" s="274">
        <f>M315/Valuation!J60</f>
        <v>1.5631119399176548E-2</v>
      </c>
      <c r="N317" s="274">
        <f>N315/Valuation!K60</f>
        <v>4.4361516780834498E-2</v>
      </c>
      <c r="O317" s="274">
        <f>O315/Valuation!L60</f>
        <v>5.9311073814596757E-2</v>
      </c>
      <c r="P317" s="274">
        <f>P315/Valuation!M60</f>
        <v>8.1860130672140999E-2</v>
      </c>
      <c r="Q317" s="274">
        <f>Q315/Valuation!N60</f>
        <v>0.10270194335891095</v>
      </c>
      <c r="R317" s="274">
        <f>R315/Valuation!O60</f>
        <v>0.1364684011679958</v>
      </c>
      <c r="S317" s="274">
        <f>S315/Valuation!P60</f>
        <v>0.16305838603059136</v>
      </c>
      <c r="T317" s="274">
        <f>T315/Valuation!Q60</f>
        <v>0.21377221413690539</v>
      </c>
      <c r="U317" s="274">
        <f>U315/Valuation!R60</f>
        <v>0.26939654478757091</v>
      </c>
      <c r="V317" s="274">
        <f>V315/Valuation!S60</f>
        <v>0.33180785030995524</v>
      </c>
      <c r="W317" s="690"/>
      <c r="X317" s="690"/>
      <c r="Y317" s="169"/>
      <c r="Z317" s="169"/>
      <c r="AA317" s="169"/>
      <c r="AB317" s="169"/>
      <c r="AC317" s="169"/>
      <c r="AD317" s="169"/>
      <c r="AE317" s="169"/>
      <c r="AF317" s="169"/>
      <c r="AG317" s="169"/>
      <c r="AH317" s="169"/>
      <c r="AI317" s="169"/>
      <c r="AJ317" s="169"/>
    </row>
    <row r="318" spans="1:36" ht="15.75">
      <c r="A318" s="169"/>
      <c r="B318" s="171"/>
      <c r="C318" s="183"/>
      <c r="D318" s="183"/>
      <c r="E318" s="183"/>
      <c r="F318" s="183"/>
      <c r="G318" s="274"/>
      <c r="H318" s="274"/>
      <c r="I318" s="274"/>
      <c r="J318" s="274"/>
      <c r="K318" s="274"/>
      <c r="L318" s="274"/>
      <c r="M318" s="274"/>
      <c r="N318" s="274"/>
      <c r="O318" s="274"/>
      <c r="P318" s="274"/>
      <c r="Q318" s="274"/>
      <c r="R318" s="274"/>
      <c r="S318" s="274"/>
      <c r="T318" s="274"/>
      <c r="U318" s="274"/>
      <c r="V318" s="274"/>
      <c r="W318" s="690"/>
      <c r="X318" s="690"/>
      <c r="Y318" s="169"/>
      <c r="Z318" s="169"/>
      <c r="AA318" s="169"/>
      <c r="AB318" s="169"/>
      <c r="AC318" s="169"/>
      <c r="AD318" s="169"/>
      <c r="AE318" s="169"/>
      <c r="AF318" s="169"/>
      <c r="AG318" s="169"/>
      <c r="AH318" s="169"/>
      <c r="AI318" s="169"/>
      <c r="AJ318" s="169"/>
    </row>
    <row r="319" spans="1:36" ht="15.75">
      <c r="A319" s="169"/>
      <c r="B319" s="171" t="s">
        <v>349</v>
      </c>
      <c r="C319" s="183"/>
      <c r="D319" s="183"/>
      <c r="E319" s="183"/>
      <c r="F319" s="200">
        <f>-F310</f>
        <v>18</v>
      </c>
      <c r="G319" s="200">
        <f t="shared" ref="G319:Q319" si="297">-G310</f>
        <v>157.76499999999999</v>
      </c>
      <c r="H319" s="200">
        <f t="shared" si="297"/>
        <v>69.826999999999998</v>
      </c>
      <c r="I319" s="200">
        <f t="shared" si="297"/>
        <v>46.24</v>
      </c>
      <c r="J319" s="200">
        <f t="shared" si="297"/>
        <v>224.982</v>
      </c>
      <c r="K319" s="200">
        <f t="shared" si="297"/>
        <v>158.667</v>
      </c>
      <c r="L319" s="200">
        <f t="shared" si="297"/>
        <v>135.15493423109282</v>
      </c>
      <c r="M319" s="200">
        <f t="shared" si="297"/>
        <v>125.57690886901644</v>
      </c>
      <c r="N319" s="200">
        <f t="shared" si="297"/>
        <v>104.27030912083694</v>
      </c>
      <c r="O319" s="200">
        <f t="shared" si="297"/>
        <v>105.27322557897782</v>
      </c>
      <c r="P319" s="200">
        <f t="shared" si="297"/>
        <v>106.39389916131162</v>
      </c>
      <c r="Q319" s="200">
        <f t="shared" si="297"/>
        <v>105.7717050242818</v>
      </c>
      <c r="R319" s="200">
        <f t="shared" ref="R319:V319" si="298">-R310</f>
        <v>102.25721279217592</v>
      </c>
      <c r="S319" s="200">
        <f t="shared" si="298"/>
        <v>110.61798739812178</v>
      </c>
      <c r="T319" s="200">
        <f t="shared" si="298"/>
        <v>107.33990281919588</v>
      </c>
      <c r="U319" s="200">
        <f t="shared" si="298"/>
        <v>102.67790960480198</v>
      </c>
      <c r="V319" s="200">
        <f t="shared" si="298"/>
        <v>111.37659455884666</v>
      </c>
      <c r="W319" s="200"/>
      <c r="X319" s="200"/>
      <c r="Y319" s="169"/>
      <c r="Z319" s="169"/>
      <c r="AA319" s="169"/>
      <c r="AB319" s="169"/>
      <c r="AC319" s="169"/>
      <c r="AD319" s="169"/>
      <c r="AE319" s="169"/>
      <c r="AF319" s="169"/>
      <c r="AG319" s="169"/>
      <c r="AH319" s="169"/>
      <c r="AI319" s="169"/>
      <c r="AJ319" s="169"/>
    </row>
    <row r="320" spans="1:36" ht="15.75">
      <c r="A320" s="169"/>
      <c r="B320" s="171" t="s">
        <v>350</v>
      </c>
      <c r="C320" s="183"/>
      <c r="D320" s="183"/>
      <c r="E320" s="183"/>
      <c r="F320" s="200">
        <f>F321-F319-F315</f>
        <v>85.091000000000051</v>
      </c>
      <c r="G320" s="200">
        <f>G321-G319-G315</f>
        <v>110.17000000000002</v>
      </c>
      <c r="H320" s="200">
        <f t="shared" ref="H320:K320" si="299">H321-H319-H315</f>
        <v>276.06200000000013</v>
      </c>
      <c r="I320" s="200">
        <f t="shared" si="299"/>
        <v>465.4670000000001</v>
      </c>
      <c r="J320" s="200">
        <f t="shared" si="299"/>
        <v>454.55499999999984</v>
      </c>
      <c r="K320" s="200">
        <f t="shared" si="299"/>
        <v>186.14700000000008</v>
      </c>
      <c r="L320" s="228">
        <v>0</v>
      </c>
      <c r="M320" s="228">
        <v>0</v>
      </c>
      <c r="N320" s="228">
        <v>0</v>
      </c>
      <c r="O320" s="228">
        <v>0</v>
      </c>
      <c r="P320" s="228">
        <v>0</v>
      </c>
      <c r="Q320" s="228">
        <v>0</v>
      </c>
      <c r="R320" s="228">
        <v>0</v>
      </c>
      <c r="S320" s="228">
        <v>0</v>
      </c>
      <c r="T320" s="228">
        <v>0</v>
      </c>
      <c r="U320" s="228">
        <v>0</v>
      </c>
      <c r="V320" s="228">
        <v>0</v>
      </c>
      <c r="W320" s="200"/>
      <c r="X320" s="200"/>
      <c r="Y320" s="169"/>
      <c r="Z320" s="169"/>
      <c r="AA320" s="169"/>
      <c r="AB320" s="169"/>
      <c r="AC320" s="169"/>
      <c r="AD320" s="169"/>
      <c r="AE320" s="169"/>
      <c r="AF320" s="169"/>
      <c r="AG320" s="169"/>
      <c r="AH320" s="169"/>
      <c r="AI320" s="169"/>
      <c r="AJ320" s="169"/>
    </row>
    <row r="321" spans="1:36" ht="15.75">
      <c r="A321" s="169"/>
      <c r="B321" s="171" t="s">
        <v>351</v>
      </c>
      <c r="C321" s="183"/>
      <c r="D321" s="183"/>
      <c r="E321" s="227">
        <v>188.19800000000001</v>
      </c>
      <c r="F321" s="227">
        <v>220.762</v>
      </c>
      <c r="G321" s="227">
        <v>374.84199999999998</v>
      </c>
      <c r="H321" s="227">
        <v>406.16</v>
      </c>
      <c r="I321" s="227">
        <v>363.25700000000001</v>
      </c>
      <c r="J321" s="227">
        <v>432.8</v>
      </c>
      <c r="K321" s="227">
        <v>304.19799999999998</v>
      </c>
      <c r="L321" s="200">
        <f t="shared" ref="L321:Q321" si="300">L315+L319+L320</f>
        <v>146.98926236699356</v>
      </c>
      <c r="M321" s="200">
        <f t="shared" si="300"/>
        <v>158.9876372787765</v>
      </c>
      <c r="N321" s="200">
        <f t="shared" si="300"/>
        <v>196.21017461189189</v>
      </c>
      <c r="O321" s="200">
        <f t="shared" si="300"/>
        <v>223.70296546354996</v>
      </c>
      <c r="P321" s="200">
        <f t="shared" si="300"/>
        <v>262.76109969742208</v>
      </c>
      <c r="Q321" s="200">
        <f t="shared" si="300"/>
        <v>291.94692100400187</v>
      </c>
      <c r="R321" s="200">
        <f t="shared" ref="R321:V321" si="301">R315+R319+R320</f>
        <v>334.8739181205205</v>
      </c>
      <c r="S321" s="200">
        <f t="shared" si="301"/>
        <v>369.1467146068278</v>
      </c>
      <c r="T321" s="200">
        <f t="shared" si="301"/>
        <v>418.51249322342653</v>
      </c>
      <c r="U321" s="200">
        <f t="shared" si="301"/>
        <v>456.91641749911236</v>
      </c>
      <c r="V321" s="200">
        <f t="shared" si="301"/>
        <v>497.40757001044904</v>
      </c>
      <c r="W321" s="200"/>
      <c r="X321" s="200"/>
      <c r="Y321" s="169"/>
      <c r="Z321" s="169"/>
      <c r="AA321" s="169"/>
      <c r="AB321" s="169"/>
      <c r="AC321" s="169"/>
      <c r="AD321" s="169"/>
      <c r="AE321" s="169"/>
      <c r="AF321" s="169"/>
      <c r="AG321" s="169"/>
      <c r="AH321" s="169"/>
      <c r="AI321" s="169"/>
      <c r="AJ321" s="169"/>
    </row>
    <row r="322" spans="1:36" ht="15.75">
      <c r="A322" s="169"/>
      <c r="B322" s="171"/>
      <c r="C322" s="183"/>
      <c r="D322" s="183"/>
      <c r="E322" s="183"/>
      <c r="F322" s="183"/>
      <c r="G322" s="190"/>
      <c r="H322" s="183"/>
      <c r="I322" s="183"/>
      <c r="J322" s="183"/>
      <c r="K322" s="183"/>
      <c r="L322" s="183"/>
      <c r="M322" s="183"/>
      <c r="N322" s="183"/>
      <c r="O322" s="183"/>
      <c r="P322" s="183"/>
      <c r="Q322" s="183"/>
      <c r="R322" s="183"/>
      <c r="S322" s="183"/>
      <c r="T322" s="183"/>
      <c r="U322" s="183"/>
      <c r="V322" s="183"/>
      <c r="W322" s="183"/>
      <c r="X322" s="183"/>
      <c r="Y322" s="169"/>
      <c r="Z322" s="169"/>
      <c r="AA322" s="169"/>
      <c r="AB322" s="169"/>
      <c r="AC322" s="169"/>
      <c r="AD322" s="169"/>
      <c r="AE322" s="169"/>
      <c r="AF322" s="169"/>
      <c r="AG322" s="169"/>
      <c r="AH322" s="169"/>
      <c r="AI322" s="169"/>
      <c r="AJ322" s="169"/>
    </row>
    <row r="323" spans="1:36" ht="15.75">
      <c r="A323" s="169"/>
      <c r="B323" s="169"/>
      <c r="C323" s="183"/>
      <c r="D323" s="183"/>
      <c r="E323" s="183"/>
      <c r="F323" s="190"/>
      <c r="G323" s="183"/>
      <c r="H323" s="183"/>
      <c r="I323" s="183"/>
      <c r="J323" s="183"/>
      <c r="K323" s="183"/>
      <c r="L323" s="183"/>
      <c r="M323" s="183"/>
      <c r="N323" s="183"/>
      <c r="O323" s="183"/>
      <c r="P323" s="183"/>
      <c r="Q323" s="183"/>
      <c r="R323" s="183"/>
      <c r="S323" s="183"/>
      <c r="T323" s="183"/>
      <c r="U323" s="183"/>
      <c r="V323" s="183"/>
      <c r="W323" s="183"/>
      <c r="X323" s="183"/>
      <c r="Y323" s="169"/>
      <c r="Z323" s="169"/>
      <c r="AA323" s="169"/>
      <c r="AB323" s="169"/>
      <c r="AC323" s="169"/>
      <c r="AD323" s="169"/>
      <c r="AE323" s="169"/>
      <c r="AF323" s="169"/>
      <c r="AG323" s="169"/>
      <c r="AH323" s="169"/>
      <c r="AI323" s="169"/>
      <c r="AJ323" s="169"/>
    </row>
    <row r="324" spans="1:36" ht="15.75">
      <c r="A324" s="169"/>
      <c r="B324" s="224" t="s">
        <v>248</v>
      </c>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69"/>
      <c r="Z324" s="169"/>
      <c r="AA324" s="169"/>
      <c r="AB324" s="169"/>
      <c r="AC324" s="169"/>
      <c r="AD324" s="169"/>
      <c r="AE324" s="169"/>
      <c r="AF324" s="169"/>
      <c r="AG324" s="169"/>
      <c r="AH324" s="169"/>
      <c r="AI324" s="169"/>
      <c r="AJ324" s="169"/>
    </row>
    <row r="325" spans="1:36" ht="15.75">
      <c r="A325" s="169"/>
      <c r="B325" s="169" t="s">
        <v>22</v>
      </c>
      <c r="C325" s="200">
        <f t="shared" ref="C325:V325" si="302">C47</f>
        <v>-44.945</v>
      </c>
      <c r="D325" s="200">
        <f t="shared" si="302"/>
        <v>-23.972999999999999</v>
      </c>
      <c r="E325" s="200">
        <f t="shared" si="302"/>
        <v>3.3069999999999999</v>
      </c>
      <c r="F325" s="200">
        <f t="shared" si="302"/>
        <v>-157.10400000000004</v>
      </c>
      <c r="G325" s="200">
        <f t="shared" si="302"/>
        <v>331.94499999999999</v>
      </c>
      <c r="H325" s="200">
        <f t="shared" si="302"/>
        <v>387.96399999999994</v>
      </c>
      <c r="I325" s="200">
        <f t="shared" si="302"/>
        <v>311.78299999999996</v>
      </c>
      <c r="J325" s="200">
        <f t="shared" si="302"/>
        <v>530.55600000000015</v>
      </c>
      <c r="K325" s="200">
        <f t="shared" si="302"/>
        <v>477.95399999999984</v>
      </c>
      <c r="L325" s="200">
        <f t="shared" si="302"/>
        <v>547.16016354165083</v>
      </c>
      <c r="M325" s="200">
        <f t="shared" si="302"/>
        <v>600.10222697381926</v>
      </c>
      <c r="N325" s="200">
        <f t="shared" si="302"/>
        <v>675.45819831507606</v>
      </c>
      <c r="O325" s="200">
        <f t="shared" si="302"/>
        <v>738.01361522814545</v>
      </c>
      <c r="P325" s="200">
        <f t="shared" si="302"/>
        <v>807.8322220637109</v>
      </c>
      <c r="Q325" s="200">
        <f t="shared" si="302"/>
        <v>882.44139583741423</v>
      </c>
      <c r="R325" s="200">
        <f t="shared" si="302"/>
        <v>957.55594379947127</v>
      </c>
      <c r="S325" s="200">
        <f t="shared" si="302"/>
        <v>1036.7233117854614</v>
      </c>
      <c r="T325" s="200">
        <f t="shared" si="302"/>
        <v>1122.3187220311156</v>
      </c>
      <c r="U325" s="200">
        <f t="shared" si="302"/>
        <v>1215.3585444057862</v>
      </c>
      <c r="V325" s="200">
        <f t="shared" si="302"/>
        <v>1315.495345768313</v>
      </c>
      <c r="W325" s="200"/>
      <c r="X325" s="200"/>
      <c r="Y325" s="169"/>
      <c r="Z325" s="169"/>
      <c r="AA325" s="169"/>
      <c r="AB325" s="169"/>
      <c r="AC325" s="169"/>
      <c r="AD325" s="169"/>
      <c r="AE325" s="169"/>
      <c r="AF325" s="169"/>
      <c r="AG325" s="169"/>
      <c r="AH325" s="169"/>
      <c r="AI325" s="169"/>
      <c r="AJ325" s="169"/>
    </row>
    <row r="326" spans="1:36" ht="15.75">
      <c r="A326" s="169"/>
      <c r="B326" s="169" t="s">
        <v>249</v>
      </c>
      <c r="C326" s="228">
        <f>C325*0.7</f>
        <v>-31.461499999999997</v>
      </c>
      <c r="D326" s="228">
        <f t="shared" ref="D326:O326" si="303">D325*0.7</f>
        <v>-16.781099999999999</v>
      </c>
      <c r="E326" s="228">
        <f t="shared" si="303"/>
        <v>2.3148999999999997</v>
      </c>
      <c r="F326" s="228">
        <f t="shared" si="303"/>
        <v>-109.97280000000002</v>
      </c>
      <c r="G326" s="228">
        <f t="shared" si="303"/>
        <v>232.36149999999998</v>
      </c>
      <c r="H326" s="228">
        <f t="shared" si="303"/>
        <v>271.57479999999993</v>
      </c>
      <c r="I326" s="228">
        <f t="shared" si="303"/>
        <v>218.24809999999997</v>
      </c>
      <c r="J326" s="228">
        <f t="shared" si="303"/>
        <v>371.38920000000007</v>
      </c>
      <c r="K326" s="228">
        <f t="shared" si="303"/>
        <v>334.56779999999986</v>
      </c>
      <c r="L326" s="228">
        <f t="shared" si="303"/>
        <v>383.01211447915557</v>
      </c>
      <c r="M326" s="228">
        <f t="shared" si="303"/>
        <v>420.07155888167347</v>
      </c>
      <c r="N326" s="228">
        <f t="shared" si="303"/>
        <v>472.82073882055323</v>
      </c>
      <c r="O326" s="228">
        <f t="shared" si="303"/>
        <v>516.60953065970182</v>
      </c>
      <c r="P326" s="228">
        <f t="shared" ref="P326:V326" si="304">P325*0.7</f>
        <v>565.48255544459755</v>
      </c>
      <c r="Q326" s="228">
        <f t="shared" si="304"/>
        <v>617.70897708618998</v>
      </c>
      <c r="R326" s="228">
        <f t="shared" si="304"/>
        <v>670.28916065962983</v>
      </c>
      <c r="S326" s="228">
        <f t="shared" si="304"/>
        <v>725.70631824982297</v>
      </c>
      <c r="T326" s="228">
        <f t="shared" si="304"/>
        <v>785.62310542178091</v>
      </c>
      <c r="U326" s="228">
        <f t="shared" si="304"/>
        <v>850.7509810840503</v>
      </c>
      <c r="V326" s="228">
        <f t="shared" si="304"/>
        <v>920.84674203781901</v>
      </c>
      <c r="W326" s="200"/>
      <c r="X326" s="200"/>
      <c r="Y326" s="169"/>
      <c r="Z326" s="169"/>
      <c r="AA326" s="169"/>
      <c r="AB326" s="169"/>
      <c r="AC326" s="169"/>
      <c r="AD326" s="169"/>
      <c r="AE326" s="169"/>
      <c r="AF326" s="169"/>
      <c r="AG326" s="169"/>
      <c r="AH326" s="169"/>
      <c r="AI326" s="169"/>
      <c r="AJ326" s="169"/>
    </row>
    <row r="327" spans="1:36" ht="15.75">
      <c r="A327" s="169"/>
      <c r="B327" s="169" t="s">
        <v>250</v>
      </c>
      <c r="C327" s="200">
        <f t="shared" ref="C327:V327" si="305">C84-C89</f>
        <v>1586.4219999999998</v>
      </c>
      <c r="D327" s="200">
        <f t="shared" si="305"/>
        <v>223.09499999999997</v>
      </c>
      <c r="E327" s="200">
        <f t="shared" si="305"/>
        <v>1686.5480000000002</v>
      </c>
      <c r="F327" s="200">
        <f t="shared" si="305"/>
        <v>3598.2480000000005</v>
      </c>
      <c r="G327" s="200">
        <f t="shared" si="305"/>
        <v>3764</v>
      </c>
      <c r="H327" s="200">
        <f t="shared" si="305"/>
        <v>4643.0920000000006</v>
      </c>
      <c r="I327" s="200">
        <f t="shared" si="305"/>
        <v>5054.3709999999992</v>
      </c>
      <c r="J327" s="200">
        <f t="shared" si="305"/>
        <v>4142.7539999999999</v>
      </c>
      <c r="K327" s="200">
        <f t="shared" si="305"/>
        <v>3583.4260000000013</v>
      </c>
      <c r="L327" s="200">
        <f t="shared" si="305"/>
        <v>3864.8080893288679</v>
      </c>
      <c r="M327" s="200">
        <f t="shared" si="305"/>
        <v>4149.7946950841761</v>
      </c>
      <c r="N327" s="200">
        <f t="shared" si="305"/>
        <v>4406.2674023986965</v>
      </c>
      <c r="O327" s="200">
        <f t="shared" si="305"/>
        <v>4638.378167225068</v>
      </c>
      <c r="P327" s="200">
        <f t="shared" si="305"/>
        <v>4879.2836658821016</v>
      </c>
      <c r="Q327" s="200">
        <f t="shared" si="305"/>
        <v>5129.032965837021</v>
      </c>
      <c r="R327" s="200">
        <f t="shared" si="305"/>
        <v>5387.8280016373292</v>
      </c>
      <c r="S327" s="200">
        <f t="shared" si="305"/>
        <v>5660.1660134027507</v>
      </c>
      <c r="T327" s="200">
        <f t="shared" si="305"/>
        <v>5948.6318929620265</v>
      </c>
      <c r="U327" s="200">
        <f t="shared" si="305"/>
        <v>6255.794581467092</v>
      </c>
      <c r="V327" s="200">
        <f t="shared" si="305"/>
        <v>6583.4547707456704</v>
      </c>
      <c r="W327" s="200"/>
      <c r="X327" s="200"/>
      <c r="Y327" s="169"/>
      <c r="Z327" s="169"/>
      <c r="AA327" s="169"/>
      <c r="AB327" s="169"/>
      <c r="AC327" s="169"/>
      <c r="AD327" s="169"/>
      <c r="AE327" s="169"/>
      <c r="AF327" s="169"/>
      <c r="AG327" s="169"/>
      <c r="AH327" s="169"/>
      <c r="AI327" s="169"/>
      <c r="AJ327" s="169"/>
    </row>
    <row r="328" spans="1:36" ht="16.5" thickBot="1">
      <c r="A328" s="169"/>
      <c r="B328" s="275" t="s">
        <v>248</v>
      </c>
      <c r="C328" s="276">
        <f>C326/C327</f>
        <v>-1.9831734557387633E-2</v>
      </c>
      <c r="D328" s="276">
        <f t="shared" ref="D328:K328" si="306">D326/D327</f>
        <v>-7.5219525314327976E-2</v>
      </c>
      <c r="E328" s="276">
        <f t="shared" si="306"/>
        <v>1.3725669236807961E-3</v>
      </c>
      <c r="F328" s="276">
        <f t="shared" si="306"/>
        <v>-3.0562873931980233E-2</v>
      </c>
      <c r="G328" s="276">
        <f t="shared" si="306"/>
        <v>6.1732598299681182E-2</v>
      </c>
      <c r="H328" s="276">
        <f t="shared" si="306"/>
        <v>5.8490075148198636E-2</v>
      </c>
      <c r="I328" s="276">
        <f t="shared" si="306"/>
        <v>4.3180071269006567E-2</v>
      </c>
      <c r="J328" s="276">
        <f t="shared" si="306"/>
        <v>8.9647900889118712E-2</v>
      </c>
      <c r="K328" s="276">
        <f t="shared" si="306"/>
        <v>9.3365343668321804E-2</v>
      </c>
      <c r="L328" s="276">
        <f t="shared" ref="L328:Q328" si="307">L326/L327</f>
        <v>9.9102492446310947E-2</v>
      </c>
      <c r="M328" s="276">
        <f t="shared" si="307"/>
        <v>0.1012270701919996</v>
      </c>
      <c r="N328" s="276">
        <f t="shared" si="307"/>
        <v>0.10730641053767134</v>
      </c>
      <c r="O328" s="276">
        <f t="shared" si="307"/>
        <v>0.11137719091342782</v>
      </c>
      <c r="P328" s="276">
        <f t="shared" si="307"/>
        <v>0.11589458497743782</v>
      </c>
      <c r="Q328" s="276">
        <f t="shared" si="307"/>
        <v>0.12043380910213829</v>
      </c>
      <c r="R328" s="276">
        <f t="shared" ref="R328:V328" si="308">R326/R327</f>
        <v>0.12440804726059052</v>
      </c>
      <c r="S328" s="276">
        <f t="shared" si="308"/>
        <v>0.12821290339036301</v>
      </c>
      <c r="T328" s="276">
        <f t="shared" si="308"/>
        <v>0.13206786359587505</v>
      </c>
      <c r="U328" s="276">
        <f t="shared" si="308"/>
        <v>0.13599407237641975</v>
      </c>
      <c r="V328" s="276">
        <f t="shared" si="308"/>
        <v>0.13987287436525062</v>
      </c>
      <c r="W328" s="301"/>
      <c r="X328" s="301"/>
      <c r="Y328" s="169"/>
      <c r="Z328" s="169"/>
      <c r="AA328" s="169"/>
      <c r="AB328" s="169"/>
      <c r="AC328" s="169"/>
      <c r="AD328" s="169"/>
      <c r="AE328" s="169"/>
      <c r="AF328" s="169"/>
      <c r="AG328" s="169"/>
      <c r="AH328" s="169"/>
      <c r="AI328" s="169"/>
      <c r="AJ328" s="169"/>
    </row>
    <row r="329" spans="1:36" ht="16.5" thickTop="1">
      <c r="A329" s="169"/>
      <c r="B329" s="169"/>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69"/>
      <c r="Z329" s="169"/>
      <c r="AA329" s="169"/>
      <c r="AB329" s="169"/>
      <c r="AC329" s="169"/>
      <c r="AD329" s="169"/>
      <c r="AE329" s="169"/>
      <c r="AF329" s="169"/>
      <c r="AG329" s="169"/>
      <c r="AH329" s="169"/>
      <c r="AI329" s="169"/>
      <c r="AJ329" s="169"/>
    </row>
    <row r="330" spans="1:36" ht="15.75">
      <c r="A330" s="169"/>
      <c r="B330" s="169"/>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69"/>
      <c r="Z330" s="169"/>
      <c r="AA330" s="169"/>
      <c r="AB330" s="169"/>
      <c r="AC330" s="169"/>
      <c r="AD330" s="169"/>
      <c r="AE330" s="169"/>
      <c r="AF330" s="169"/>
      <c r="AG330" s="169"/>
      <c r="AH330" s="169"/>
      <c r="AI330" s="169"/>
      <c r="AJ330" s="169"/>
    </row>
    <row r="331" spans="1:36" ht="15.75">
      <c r="A331" s="169"/>
      <c r="B331" s="169"/>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69"/>
      <c r="Z331" s="169"/>
      <c r="AA331" s="169"/>
      <c r="AB331" s="169"/>
      <c r="AC331" s="169"/>
      <c r="AD331" s="169"/>
      <c r="AE331" s="169"/>
      <c r="AF331" s="169"/>
      <c r="AG331" s="169"/>
      <c r="AH331" s="169"/>
      <c r="AI331" s="169"/>
      <c r="AJ331" s="169"/>
    </row>
    <row r="332" spans="1:36" ht="15.75">
      <c r="A332" s="169"/>
      <c r="B332" s="169"/>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69"/>
      <c r="Z332" s="169"/>
      <c r="AA332" s="169"/>
      <c r="AB332" s="169"/>
      <c r="AC332" s="169"/>
      <c r="AD332" s="169"/>
      <c r="AE332" s="169"/>
      <c r="AF332" s="169"/>
      <c r="AG332" s="169"/>
      <c r="AH332" s="169"/>
      <c r="AI332" s="169"/>
      <c r="AJ332" s="169"/>
    </row>
    <row r="333" spans="1:36" ht="15.75" hidden="1">
      <c r="A333" s="169"/>
      <c r="B333" s="277" t="s">
        <v>677</v>
      </c>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69"/>
      <c r="Z333" s="169"/>
      <c r="AA333" s="169"/>
      <c r="AB333" s="169"/>
      <c r="AC333" s="169"/>
      <c r="AD333" s="169"/>
      <c r="AE333" s="169"/>
      <c r="AF333" s="169"/>
      <c r="AG333" s="169"/>
      <c r="AH333" s="169"/>
      <c r="AI333" s="169"/>
      <c r="AJ333" s="169"/>
    </row>
    <row r="334" spans="1:36" ht="15.75" hidden="1">
      <c r="A334" s="169"/>
      <c r="B334" s="169"/>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69"/>
      <c r="Z334" s="169"/>
      <c r="AA334" s="169"/>
      <c r="AB334" s="169"/>
      <c r="AC334" s="169"/>
      <c r="AD334" s="169"/>
      <c r="AE334" s="169"/>
      <c r="AF334" s="169"/>
      <c r="AG334" s="169"/>
      <c r="AH334" s="169"/>
      <c r="AI334" s="169"/>
      <c r="AJ334" s="169"/>
    </row>
    <row r="335" spans="1:36" ht="15.75" hidden="1">
      <c r="A335" s="169"/>
      <c r="B335" s="169" t="s">
        <v>622</v>
      </c>
      <c r="C335" s="183"/>
      <c r="D335" s="183"/>
      <c r="E335" s="278">
        <v>2.2000000000000002</v>
      </c>
      <c r="F335" s="198">
        <v>167.40100000000001</v>
      </c>
      <c r="G335" s="198">
        <v>113.98699999999999</v>
      </c>
      <c r="H335" s="180">
        <f t="shared" ref="H335:V335" si="309">H11*H336</f>
        <v>157.97299999999998</v>
      </c>
      <c r="I335" s="180">
        <f t="shared" si="309"/>
        <v>235.35588000000001</v>
      </c>
      <c r="J335" s="180">
        <f t="shared" si="309"/>
        <v>255.06467999999995</v>
      </c>
      <c r="K335" s="180">
        <f t="shared" si="309"/>
        <v>205.34699999999998</v>
      </c>
      <c r="L335" s="180">
        <f t="shared" si="309"/>
        <v>198.40694015977928</v>
      </c>
      <c r="M335" s="180">
        <f t="shared" si="309"/>
        <v>206.54113337546221</v>
      </c>
      <c r="N335" s="180">
        <f t="shared" si="309"/>
        <v>220.64698852566499</v>
      </c>
      <c r="O335" s="180">
        <f t="shared" si="309"/>
        <v>244.18161556540528</v>
      </c>
      <c r="P335" s="180">
        <f t="shared" si="309"/>
        <v>258.96234171948583</v>
      </c>
      <c r="Q335" s="180">
        <f t="shared" si="309"/>
        <v>274.21201455686247</v>
      </c>
      <c r="R335" s="180">
        <f t="shared" si="309"/>
        <v>289.3052961554871</v>
      </c>
      <c r="S335" s="180">
        <f t="shared" si="309"/>
        <v>304.72645290888227</v>
      </c>
      <c r="T335" s="180">
        <f t="shared" si="309"/>
        <v>321.02106818602618</v>
      </c>
      <c r="U335" s="180">
        <f t="shared" si="309"/>
        <v>338.226582307478</v>
      </c>
      <c r="V335" s="180">
        <f t="shared" si="309"/>
        <v>356.41185874592514</v>
      </c>
      <c r="W335" s="180"/>
      <c r="X335" s="180"/>
      <c r="Y335" s="169"/>
      <c r="Z335" s="169"/>
      <c r="AA335" s="169"/>
      <c r="AB335" s="169"/>
      <c r="AC335" s="169"/>
      <c r="AD335" s="169"/>
      <c r="AE335" s="169"/>
      <c r="AF335" s="169"/>
      <c r="AG335" s="169"/>
      <c r="AH335" s="169"/>
      <c r="AI335" s="169"/>
      <c r="AJ335" s="169"/>
    </row>
    <row r="336" spans="1:36" ht="15.75" hidden="1">
      <c r="A336" s="169"/>
      <c r="B336" s="169" t="s">
        <v>287</v>
      </c>
      <c r="C336" s="183"/>
      <c r="D336" s="183"/>
      <c r="E336" s="183">
        <v>78.099999999999994</v>
      </c>
      <c r="F336" s="274">
        <f>F335/F11</f>
        <v>0.13598162878049416</v>
      </c>
      <c r="G336" s="274">
        <f>G335/G11</f>
        <v>8.1236040417401317E-2</v>
      </c>
      <c r="H336" s="279">
        <v>0.1</v>
      </c>
      <c r="I336" s="279">
        <v>0.12</v>
      </c>
      <c r="J336" s="279">
        <f>I336</f>
        <v>0.12</v>
      </c>
      <c r="K336" s="279">
        <f>J336</f>
        <v>0.12</v>
      </c>
      <c r="L336" s="279">
        <v>0.115</v>
      </c>
      <c r="M336" s="279">
        <v>0.115</v>
      </c>
      <c r="N336" s="279">
        <v>0.115</v>
      </c>
      <c r="O336" s="279">
        <v>0.12</v>
      </c>
      <c r="P336" s="279">
        <v>0.12</v>
      </c>
      <c r="Q336" s="279">
        <v>0.12</v>
      </c>
      <c r="R336" s="279">
        <v>0.12</v>
      </c>
      <c r="S336" s="279">
        <v>0.12</v>
      </c>
      <c r="T336" s="279">
        <v>0.12</v>
      </c>
      <c r="U336" s="279">
        <v>0.12</v>
      </c>
      <c r="V336" s="279">
        <v>0.12</v>
      </c>
      <c r="W336" s="580"/>
      <c r="X336" s="580"/>
      <c r="Y336" s="169"/>
      <c r="Z336" s="169"/>
      <c r="AA336" s="169"/>
      <c r="AB336" s="169"/>
      <c r="AC336" s="169"/>
      <c r="AD336" s="169"/>
      <c r="AE336" s="169"/>
      <c r="AF336" s="169"/>
      <c r="AG336" s="169"/>
      <c r="AH336" s="169"/>
      <c r="AI336" s="169"/>
      <c r="AJ336" s="169"/>
    </row>
    <row r="337" spans="1:36" ht="15.75" hidden="1">
      <c r="A337" s="169"/>
      <c r="B337" s="169" t="s">
        <v>257</v>
      </c>
      <c r="C337" s="183"/>
      <c r="D337" s="183"/>
      <c r="E337" s="278">
        <v>3.4</v>
      </c>
      <c r="F337" s="280">
        <v>5.2859999999999996</v>
      </c>
      <c r="G337" s="280">
        <v>2.464</v>
      </c>
      <c r="H337" s="158">
        <f>G337*1.05</f>
        <v>2.5872000000000002</v>
      </c>
      <c r="I337" s="158">
        <f t="shared" ref="I337:V337" si="310">H337*1.05</f>
        <v>2.7165600000000003</v>
      </c>
      <c r="J337" s="158">
        <f t="shared" si="310"/>
        <v>2.8523880000000004</v>
      </c>
      <c r="K337" s="158">
        <f t="shared" si="310"/>
        <v>2.9950074000000004</v>
      </c>
      <c r="L337" s="158">
        <f t="shared" si="310"/>
        <v>3.1447577700000005</v>
      </c>
      <c r="M337" s="158">
        <f t="shared" si="310"/>
        <v>3.3019956585000005</v>
      </c>
      <c r="N337" s="158">
        <f t="shared" si="310"/>
        <v>3.4670954414250006</v>
      </c>
      <c r="O337" s="158">
        <f t="shared" si="310"/>
        <v>3.6404502134962509</v>
      </c>
      <c r="P337" s="158">
        <f t="shared" si="310"/>
        <v>3.8224727241710634</v>
      </c>
      <c r="Q337" s="158">
        <f t="shared" si="310"/>
        <v>4.0135963603796165</v>
      </c>
      <c r="R337" s="158">
        <f t="shared" si="310"/>
        <v>4.2142761783985971</v>
      </c>
      <c r="S337" s="158">
        <f t="shared" si="310"/>
        <v>4.4249899873185274</v>
      </c>
      <c r="T337" s="158">
        <f t="shared" si="310"/>
        <v>4.6462394866844541</v>
      </c>
      <c r="U337" s="158">
        <f t="shared" si="310"/>
        <v>4.8785514610186773</v>
      </c>
      <c r="V337" s="158">
        <f t="shared" si="310"/>
        <v>5.1224790340696114</v>
      </c>
      <c r="W337" s="243"/>
      <c r="X337" s="243"/>
      <c r="Y337" s="169"/>
      <c r="Z337" s="169"/>
      <c r="AA337" s="169"/>
      <c r="AB337" s="169"/>
      <c r="AC337" s="169"/>
      <c r="AD337" s="169"/>
      <c r="AE337" s="169"/>
      <c r="AF337" s="169"/>
      <c r="AG337" s="169"/>
      <c r="AH337" s="169"/>
      <c r="AI337" s="169"/>
      <c r="AJ337" s="169"/>
    </row>
    <row r="338" spans="1:36" ht="15.75" hidden="1">
      <c r="A338" s="169"/>
      <c r="B338" s="281" t="s">
        <v>210</v>
      </c>
      <c r="C338" s="182">
        <v>281</v>
      </c>
      <c r="D338" s="182">
        <v>171</v>
      </c>
      <c r="E338" s="182">
        <v>119</v>
      </c>
      <c r="F338" s="177">
        <f>SUM(F335:F337)</f>
        <v>172.8229816287805</v>
      </c>
      <c r="G338" s="177">
        <f>SUM(G335:G337)</f>
        <v>116.53223604041739</v>
      </c>
      <c r="H338" s="177">
        <f>H335+H337</f>
        <v>160.56019999999998</v>
      </c>
      <c r="I338" s="177">
        <f t="shared" ref="I338:O338" si="311">I335+I337</f>
        <v>238.07244</v>
      </c>
      <c r="J338" s="177">
        <f t="shared" si="311"/>
        <v>257.91706799999997</v>
      </c>
      <c r="K338" s="177">
        <f t="shared" si="311"/>
        <v>208.34200739999997</v>
      </c>
      <c r="L338" s="177">
        <f t="shared" si="311"/>
        <v>201.55169792977929</v>
      </c>
      <c r="M338" s="177">
        <f t="shared" si="311"/>
        <v>209.84312903396221</v>
      </c>
      <c r="N338" s="177">
        <f t="shared" si="311"/>
        <v>224.11408396708998</v>
      </c>
      <c r="O338" s="177">
        <f t="shared" si="311"/>
        <v>247.82206577890153</v>
      </c>
      <c r="P338" s="177">
        <f t="shared" ref="P338:V338" si="312">P335+P337</f>
        <v>262.7848144436569</v>
      </c>
      <c r="Q338" s="177">
        <f t="shared" si="312"/>
        <v>278.22561091724208</v>
      </c>
      <c r="R338" s="177">
        <f t="shared" si="312"/>
        <v>293.51957233388572</v>
      </c>
      <c r="S338" s="177">
        <f t="shared" si="312"/>
        <v>309.15144289620082</v>
      </c>
      <c r="T338" s="177">
        <f t="shared" si="312"/>
        <v>325.66730767271065</v>
      </c>
      <c r="U338" s="177">
        <f t="shared" si="312"/>
        <v>343.10513376849667</v>
      </c>
      <c r="V338" s="177">
        <f t="shared" si="312"/>
        <v>361.53433777999476</v>
      </c>
      <c r="W338" s="188"/>
      <c r="X338" s="188"/>
      <c r="Y338" s="169"/>
      <c r="Z338" s="169"/>
      <c r="AA338" s="169"/>
      <c r="AB338" s="169"/>
      <c r="AC338" s="169"/>
      <c r="AD338" s="169"/>
      <c r="AE338" s="169"/>
      <c r="AF338" s="169"/>
      <c r="AG338" s="169"/>
      <c r="AH338" s="169"/>
      <c r="AI338" s="169"/>
      <c r="AJ338" s="169"/>
    </row>
    <row r="339" spans="1:36" ht="15.75" hidden="1">
      <c r="A339" s="169"/>
      <c r="B339" s="169" t="s">
        <v>258</v>
      </c>
      <c r="C339" s="188"/>
      <c r="D339" s="282">
        <f>D338/C338-1</f>
        <v>-0.39145907473309605</v>
      </c>
      <c r="E339" s="282">
        <f t="shared" ref="E339:V339" si="313">E338/D338-1</f>
        <v>-0.30409356725146197</v>
      </c>
      <c r="F339" s="282">
        <f t="shared" si="313"/>
        <v>0.45229396326706306</v>
      </c>
      <c r="G339" s="282">
        <f t="shared" si="313"/>
        <v>-0.32571331114558733</v>
      </c>
      <c r="H339" s="282">
        <f t="shared" si="313"/>
        <v>0.37781789361968632</v>
      </c>
      <c r="I339" s="282">
        <f t="shared" si="313"/>
        <v>0.48276123223563516</v>
      </c>
      <c r="J339" s="282">
        <f t="shared" si="313"/>
        <v>8.3355419048084523E-2</v>
      </c>
      <c r="K339" s="282">
        <f t="shared" si="313"/>
        <v>-0.19221318303758017</v>
      </c>
      <c r="L339" s="282">
        <f t="shared" si="313"/>
        <v>-3.2592128466842674E-2</v>
      </c>
      <c r="M339" s="282">
        <f t="shared" si="313"/>
        <v>4.1137986875564136E-2</v>
      </c>
      <c r="N339" s="282">
        <f t="shared" si="313"/>
        <v>6.8007730340401418E-2</v>
      </c>
      <c r="O339" s="282">
        <f t="shared" si="313"/>
        <v>0.10578532768736193</v>
      </c>
      <c r="P339" s="282">
        <f t="shared" si="313"/>
        <v>6.037698304921979E-2</v>
      </c>
      <c r="Q339" s="282">
        <f t="shared" si="313"/>
        <v>5.8758328582551256E-2</v>
      </c>
      <c r="R339" s="282">
        <f t="shared" si="313"/>
        <v>5.4969639086147382E-2</v>
      </c>
      <c r="S339" s="282">
        <f t="shared" si="313"/>
        <v>5.3256654873200304E-2</v>
      </c>
      <c r="T339" s="282">
        <f t="shared" si="313"/>
        <v>5.3423217507204468E-2</v>
      </c>
      <c r="U339" s="282">
        <f t="shared" si="313"/>
        <v>5.3544908208320141E-2</v>
      </c>
      <c r="V339" s="282">
        <f t="shared" si="313"/>
        <v>5.371299405835428E-2</v>
      </c>
      <c r="W339" s="301"/>
      <c r="X339" s="301"/>
      <c r="Y339" s="169"/>
      <c r="Z339" s="169"/>
      <c r="AA339" s="169"/>
      <c r="AB339" s="169"/>
      <c r="AC339" s="169"/>
      <c r="AD339" s="169"/>
      <c r="AE339" s="169"/>
      <c r="AF339" s="169"/>
      <c r="AG339" s="169"/>
      <c r="AH339" s="169"/>
      <c r="AI339" s="169"/>
      <c r="AJ339" s="169"/>
    </row>
    <row r="340" spans="1:36" ht="15.75">
      <c r="A340" s="169"/>
      <c r="B340" s="169"/>
      <c r="C340" s="169"/>
      <c r="D340" s="169"/>
      <c r="E340" s="169"/>
      <c r="F340" s="169"/>
      <c r="G340" s="169"/>
      <c r="H340" s="169"/>
      <c r="I340" s="169"/>
      <c r="J340" s="169"/>
      <c r="K340" s="169"/>
      <c r="L340" s="169"/>
      <c r="M340" s="169"/>
      <c r="N340" s="169"/>
      <c r="O340" s="169"/>
      <c r="P340" s="169"/>
      <c r="Q340" s="169"/>
      <c r="R340" s="169"/>
      <c r="S340" s="169"/>
      <c r="T340" s="169"/>
      <c r="U340" s="169"/>
      <c r="V340" s="169"/>
      <c r="W340" s="169"/>
      <c r="X340" s="169"/>
      <c r="Y340" s="169"/>
      <c r="Z340" s="169"/>
      <c r="AA340" s="169"/>
      <c r="AB340" s="169"/>
      <c r="AC340" s="169"/>
      <c r="AD340" s="169"/>
      <c r="AE340" s="169"/>
      <c r="AF340" s="169"/>
      <c r="AG340" s="169"/>
      <c r="AH340" s="169"/>
      <c r="AI340" s="169"/>
      <c r="AJ340" s="169"/>
    </row>
    <row r="341" spans="1:36" ht="15.75">
      <c r="A341" s="169"/>
      <c r="B341" s="169"/>
      <c r="C341" s="169"/>
      <c r="D341" s="169"/>
      <c r="E341" s="169"/>
      <c r="F341" s="169"/>
      <c r="G341" s="169"/>
      <c r="H341" s="169"/>
      <c r="I341" s="169"/>
      <c r="J341" s="169"/>
      <c r="K341" s="169"/>
      <c r="L341" s="169"/>
      <c r="M341" s="169"/>
      <c r="N341" s="169"/>
      <c r="O341" s="169"/>
      <c r="P341" s="169"/>
      <c r="Q341" s="169"/>
      <c r="R341" s="169"/>
      <c r="S341" s="169"/>
      <c r="T341" s="169"/>
      <c r="U341" s="169"/>
      <c r="V341" s="169"/>
      <c r="W341" s="169"/>
      <c r="X341" s="169"/>
      <c r="Y341" s="169"/>
      <c r="Z341" s="169"/>
      <c r="AA341" s="169"/>
      <c r="AB341" s="169"/>
      <c r="AC341" s="169"/>
      <c r="AD341" s="169"/>
      <c r="AE341" s="169"/>
      <c r="AF341" s="169"/>
      <c r="AG341" s="169"/>
      <c r="AH341" s="169"/>
      <c r="AI341" s="169"/>
      <c r="AJ341" s="169"/>
    </row>
    <row r="342" spans="1:36" ht="15.75">
      <c r="A342" s="169"/>
      <c r="B342" s="169"/>
      <c r="C342" s="169"/>
      <c r="D342" s="169"/>
      <c r="E342" s="169"/>
      <c r="F342" s="169"/>
      <c r="G342" s="169"/>
      <c r="H342" s="169"/>
      <c r="I342" s="169"/>
      <c r="J342" s="169"/>
      <c r="K342" s="169"/>
      <c r="L342" s="169"/>
      <c r="M342" s="169"/>
      <c r="N342" s="169"/>
      <c r="O342" s="169"/>
      <c r="P342" s="169"/>
      <c r="Q342" s="169"/>
      <c r="R342" s="169"/>
      <c r="S342" s="169"/>
      <c r="T342" s="169"/>
      <c r="U342" s="169"/>
      <c r="V342" s="169"/>
      <c r="W342" s="169"/>
      <c r="X342" s="169"/>
      <c r="Y342" s="169"/>
      <c r="Z342" s="169"/>
      <c r="AA342" s="169"/>
      <c r="AB342" s="169"/>
      <c r="AC342" s="169"/>
      <c r="AD342" s="169"/>
      <c r="AE342" s="169"/>
      <c r="AF342" s="169"/>
      <c r="AG342" s="169"/>
      <c r="AH342" s="169"/>
      <c r="AI342" s="169"/>
      <c r="AJ342" s="169"/>
    </row>
    <row r="343" spans="1:36" ht="15.75">
      <c r="A343" s="169"/>
      <c r="B343" s="169"/>
      <c r="C343" s="169"/>
      <c r="D343" s="169"/>
      <c r="E343" s="169"/>
      <c r="F343" s="169"/>
      <c r="G343" s="169"/>
      <c r="H343" s="169"/>
      <c r="I343" s="169"/>
      <c r="J343" s="169"/>
      <c r="K343" s="169"/>
      <c r="L343" s="169"/>
      <c r="M343" s="169"/>
      <c r="N343" s="169"/>
      <c r="O343" s="169"/>
      <c r="P343" s="169"/>
      <c r="Q343" s="169"/>
      <c r="R343" s="169"/>
      <c r="S343" s="169"/>
      <c r="T343" s="169"/>
      <c r="U343" s="169"/>
      <c r="V343" s="169"/>
      <c r="W343" s="169"/>
      <c r="X343" s="169"/>
      <c r="Y343" s="169"/>
      <c r="Z343" s="169"/>
      <c r="AA343" s="169"/>
      <c r="AB343" s="169"/>
      <c r="AC343" s="169"/>
      <c r="AD343" s="169"/>
      <c r="AE343" s="169"/>
      <c r="AF343" s="169"/>
      <c r="AG343" s="169"/>
      <c r="AH343" s="169"/>
      <c r="AI343" s="169"/>
      <c r="AJ343" s="169"/>
    </row>
    <row r="344" spans="1:36" ht="15.75">
      <c r="A344" s="169"/>
      <c r="B344" s="169"/>
      <c r="C344" s="169"/>
      <c r="D344" s="169"/>
      <c r="E344" s="169"/>
      <c r="F344" s="169"/>
      <c r="G344" s="169"/>
      <c r="H344" s="169"/>
      <c r="I344" s="169"/>
      <c r="J344" s="169"/>
      <c r="K344" s="169"/>
      <c r="L344" s="169"/>
      <c r="M344" s="169"/>
      <c r="N344" s="169"/>
      <c r="O344" s="169"/>
      <c r="P344" s="169"/>
      <c r="Q344" s="169"/>
      <c r="R344" s="169"/>
      <c r="S344" s="169"/>
      <c r="T344" s="169"/>
      <c r="U344" s="169"/>
      <c r="V344" s="169"/>
      <c r="W344" s="169"/>
      <c r="X344" s="169"/>
      <c r="Y344" s="169"/>
      <c r="Z344" s="169"/>
      <c r="AA344" s="169"/>
      <c r="AB344" s="169"/>
      <c r="AC344" s="169"/>
      <c r="AD344" s="169"/>
      <c r="AE344" s="169"/>
      <c r="AF344" s="169"/>
      <c r="AG344" s="169"/>
      <c r="AH344" s="169"/>
      <c r="AI344" s="169"/>
      <c r="AJ344" s="169"/>
    </row>
    <row r="345" spans="1:36" ht="15.75">
      <c r="A345" s="169"/>
      <c r="B345" s="169"/>
      <c r="C345" s="169"/>
      <c r="D345" s="169"/>
      <c r="E345" s="169"/>
      <c r="F345" s="169"/>
      <c r="G345" s="169"/>
      <c r="H345" s="169"/>
      <c r="I345" s="169"/>
      <c r="J345" s="169"/>
      <c r="K345" s="169"/>
      <c r="L345" s="169"/>
      <c r="M345" s="169"/>
      <c r="N345" s="169"/>
      <c r="O345" s="169"/>
      <c r="P345" s="169"/>
      <c r="Q345" s="169"/>
      <c r="R345" s="169"/>
      <c r="S345" s="169"/>
      <c r="T345" s="169"/>
      <c r="U345" s="169"/>
      <c r="V345" s="169"/>
      <c r="W345" s="169"/>
      <c r="X345" s="169"/>
      <c r="Y345" s="169"/>
      <c r="Z345" s="169"/>
      <c r="AA345" s="169"/>
      <c r="AB345" s="169"/>
      <c r="AC345" s="169"/>
      <c r="AD345" s="169"/>
      <c r="AE345" s="169"/>
      <c r="AF345" s="169"/>
      <c r="AG345" s="169"/>
      <c r="AH345" s="169"/>
      <c r="AI345" s="169"/>
      <c r="AJ345" s="169"/>
    </row>
    <row r="346" spans="1:36" ht="15.75">
      <c r="A346" s="169"/>
      <c r="X346" s="183"/>
      <c r="Y346" s="169"/>
      <c r="Z346" s="169"/>
      <c r="AA346" s="169"/>
      <c r="AB346" s="169"/>
      <c r="AC346" s="169"/>
      <c r="AD346" s="169"/>
      <c r="AE346" s="169"/>
      <c r="AF346" s="169"/>
      <c r="AG346" s="169"/>
      <c r="AH346" s="169"/>
      <c r="AI346" s="169"/>
      <c r="AJ346" s="169"/>
    </row>
    <row r="347" spans="1:36" ht="15.75">
      <c r="A347" s="169"/>
      <c r="X347" s="407"/>
      <c r="Y347" s="169"/>
      <c r="Z347" s="169"/>
      <c r="AA347" s="169"/>
      <c r="AB347" s="169"/>
      <c r="AC347" s="169"/>
      <c r="AD347" s="169"/>
      <c r="AE347" s="169"/>
      <c r="AF347" s="169"/>
      <c r="AG347" s="169"/>
      <c r="AH347" s="169"/>
      <c r="AI347" s="169"/>
      <c r="AJ347" s="169"/>
    </row>
    <row r="348" spans="1:36" ht="15.75">
      <c r="A348" s="169"/>
      <c r="X348" s="169"/>
      <c r="Y348" s="169"/>
      <c r="Z348" s="169"/>
      <c r="AA348" s="169"/>
      <c r="AB348" s="169"/>
      <c r="AC348" s="169"/>
      <c r="AD348" s="169"/>
      <c r="AE348" s="169"/>
      <c r="AF348" s="169"/>
      <c r="AG348" s="169"/>
      <c r="AH348" s="169"/>
      <c r="AI348" s="169"/>
      <c r="AJ348" s="169"/>
    </row>
    <row r="349" spans="1:36" ht="15.75">
      <c r="A349" s="169"/>
      <c r="X349" s="169"/>
      <c r="Y349" s="169"/>
      <c r="Z349" s="169"/>
      <c r="AA349" s="169"/>
      <c r="AB349" s="169"/>
      <c r="AC349" s="169"/>
      <c r="AD349" s="169"/>
      <c r="AE349" s="169"/>
      <c r="AF349" s="169"/>
      <c r="AG349" s="169"/>
      <c r="AH349" s="169"/>
      <c r="AI349" s="169"/>
      <c r="AJ349" s="169"/>
    </row>
    <row r="350" spans="1:36" ht="15.75">
      <c r="A350" s="169"/>
      <c r="X350" s="169"/>
      <c r="Y350" s="169"/>
      <c r="Z350" s="169"/>
      <c r="AA350" s="169"/>
      <c r="AB350" s="169"/>
      <c r="AC350" s="169"/>
      <c r="AD350" s="169"/>
      <c r="AE350" s="169"/>
      <c r="AF350" s="169"/>
      <c r="AG350" s="169"/>
      <c r="AH350" s="169"/>
      <c r="AI350" s="169"/>
      <c r="AJ350" s="169"/>
    </row>
    <row r="351" spans="1:36" ht="15.75">
      <c r="A351" s="169"/>
      <c r="X351" s="169"/>
      <c r="Y351" s="169"/>
      <c r="Z351" s="169"/>
      <c r="AA351" s="169"/>
      <c r="AB351" s="169"/>
      <c r="AC351" s="169"/>
      <c r="AD351" s="169"/>
      <c r="AE351" s="169"/>
      <c r="AF351" s="169"/>
      <c r="AG351" s="169"/>
      <c r="AH351" s="169"/>
      <c r="AI351" s="169"/>
      <c r="AJ351" s="169"/>
    </row>
    <row r="352" spans="1:36" ht="15.75">
      <c r="A352" s="169"/>
      <c r="X352" s="169"/>
      <c r="Y352" s="169"/>
      <c r="Z352" s="169"/>
      <c r="AA352" s="169"/>
      <c r="AB352" s="169"/>
      <c r="AC352" s="169"/>
      <c r="AD352" s="169"/>
      <c r="AE352" s="169"/>
      <c r="AF352" s="169"/>
      <c r="AG352" s="169"/>
      <c r="AH352" s="169"/>
      <c r="AI352" s="169"/>
      <c r="AJ352" s="169"/>
    </row>
    <row r="353" spans="1:36" ht="15.75">
      <c r="A353" s="169"/>
      <c r="X353" s="169"/>
      <c r="Y353" s="169"/>
      <c r="Z353" s="169"/>
      <c r="AA353" s="169"/>
      <c r="AB353" s="169"/>
      <c r="AC353" s="169"/>
      <c r="AD353" s="169"/>
      <c r="AE353" s="169"/>
      <c r="AF353" s="169"/>
      <c r="AG353" s="169"/>
      <c r="AH353" s="169"/>
      <c r="AI353" s="169"/>
      <c r="AJ353" s="169"/>
    </row>
    <row r="354" spans="1:36" ht="15.75">
      <c r="A354" s="169"/>
      <c r="X354" s="169"/>
      <c r="Y354" s="169"/>
      <c r="Z354" s="169"/>
      <c r="AA354" s="169"/>
      <c r="AB354" s="169"/>
      <c r="AC354" s="169"/>
      <c r="AD354" s="169"/>
      <c r="AE354" s="169"/>
      <c r="AF354" s="169"/>
      <c r="AG354" s="169"/>
      <c r="AH354" s="169"/>
      <c r="AI354" s="169"/>
      <c r="AJ354" s="169"/>
    </row>
    <row r="355" spans="1:36" ht="15.75">
      <c r="A355" s="169"/>
      <c r="X355" s="169"/>
      <c r="Y355" s="169"/>
      <c r="Z355" s="169"/>
      <c r="AA355" s="169"/>
      <c r="AB355" s="169"/>
      <c r="AC355" s="169"/>
      <c r="AD355" s="169"/>
      <c r="AE355" s="169"/>
      <c r="AF355" s="169"/>
      <c r="AG355" s="169"/>
      <c r="AH355" s="169"/>
      <c r="AI355" s="169"/>
      <c r="AJ355" s="169"/>
    </row>
    <row r="356" spans="1:36" ht="15.75">
      <c r="A356" s="169"/>
      <c r="X356" s="169"/>
      <c r="Y356" s="169"/>
      <c r="Z356" s="169"/>
      <c r="AA356" s="169"/>
      <c r="AB356" s="169"/>
      <c r="AC356" s="169"/>
      <c r="AD356" s="169"/>
      <c r="AE356" s="169"/>
      <c r="AF356" s="169"/>
      <c r="AG356" s="169"/>
      <c r="AH356" s="169"/>
      <c r="AI356" s="169"/>
      <c r="AJ356" s="169"/>
    </row>
    <row r="357" spans="1:36" ht="15.75">
      <c r="A357" s="169"/>
      <c r="X357" s="169"/>
      <c r="Y357" s="169"/>
      <c r="Z357" s="169"/>
      <c r="AA357" s="169"/>
      <c r="AB357" s="169"/>
      <c r="AC357" s="169"/>
      <c r="AD357" s="169"/>
      <c r="AE357" s="169"/>
      <c r="AF357" s="169"/>
      <c r="AG357" s="169"/>
      <c r="AH357" s="169"/>
      <c r="AI357" s="169"/>
      <c r="AJ357" s="169"/>
    </row>
    <row r="358" spans="1:36" ht="15.75">
      <c r="A358" s="169"/>
      <c r="X358" s="169"/>
      <c r="Y358" s="169"/>
      <c r="Z358" s="169"/>
      <c r="AA358" s="169"/>
      <c r="AB358" s="169"/>
      <c r="AC358" s="169"/>
      <c r="AD358" s="169"/>
      <c r="AE358" s="169"/>
      <c r="AF358" s="169"/>
      <c r="AG358" s="169"/>
      <c r="AH358" s="169"/>
      <c r="AI358" s="169"/>
      <c r="AJ358" s="169"/>
    </row>
    <row r="359" spans="1:36" ht="15.75">
      <c r="A359" s="169"/>
      <c r="X359" s="169"/>
      <c r="Y359" s="169"/>
      <c r="Z359" s="169"/>
      <c r="AA359" s="169"/>
      <c r="AB359" s="169"/>
      <c r="AC359" s="169"/>
      <c r="AD359" s="169"/>
      <c r="AE359" s="169"/>
      <c r="AF359" s="169"/>
      <c r="AG359" s="169"/>
      <c r="AH359" s="169"/>
      <c r="AI359" s="169"/>
      <c r="AJ359" s="169"/>
    </row>
    <row r="360" spans="1:36" ht="15.75">
      <c r="A360" s="169"/>
      <c r="X360" s="169"/>
      <c r="Y360" s="169"/>
      <c r="Z360" s="169"/>
      <c r="AA360" s="169"/>
      <c r="AB360" s="169"/>
      <c r="AC360" s="169"/>
      <c r="AD360" s="169"/>
      <c r="AE360" s="169"/>
      <c r="AF360" s="169"/>
      <c r="AG360" s="169"/>
      <c r="AH360" s="169"/>
      <c r="AI360" s="169"/>
      <c r="AJ360" s="169"/>
    </row>
    <row r="361" spans="1:36" ht="15.75">
      <c r="A361" s="169"/>
      <c r="X361" s="169"/>
      <c r="Y361" s="169"/>
      <c r="Z361" s="169"/>
      <c r="AA361" s="169"/>
      <c r="AB361" s="169"/>
      <c r="AC361" s="169"/>
      <c r="AD361" s="169"/>
      <c r="AE361" s="169"/>
      <c r="AF361" s="169"/>
      <c r="AG361" s="169"/>
      <c r="AH361" s="169"/>
      <c r="AI361" s="169"/>
      <c r="AJ361" s="169"/>
    </row>
    <row r="362" spans="1:36" ht="15.75">
      <c r="A362" s="169"/>
      <c r="X362" s="169"/>
      <c r="Y362" s="169"/>
      <c r="Z362" s="169"/>
      <c r="AA362" s="169"/>
      <c r="AB362" s="169"/>
      <c r="AC362" s="169"/>
      <c r="AD362" s="169"/>
      <c r="AE362" s="169"/>
      <c r="AF362" s="169"/>
      <c r="AG362" s="169"/>
      <c r="AH362" s="169"/>
      <c r="AI362" s="169"/>
      <c r="AJ362" s="169"/>
    </row>
    <row r="363" spans="1:36" ht="15.75">
      <c r="A363" s="169"/>
      <c r="X363" s="169"/>
      <c r="Y363" s="169"/>
      <c r="Z363" s="169"/>
      <c r="AA363" s="169"/>
      <c r="AB363" s="169"/>
      <c r="AC363" s="169"/>
      <c r="AD363" s="169"/>
      <c r="AE363" s="169"/>
      <c r="AF363" s="169"/>
      <c r="AG363" s="169"/>
      <c r="AH363" s="169"/>
      <c r="AI363" s="169"/>
      <c r="AJ363" s="169"/>
    </row>
    <row r="364" spans="1:36" ht="15.75">
      <c r="A364" s="169"/>
      <c r="X364" s="169"/>
      <c r="Y364" s="169"/>
      <c r="Z364" s="169"/>
      <c r="AA364" s="169"/>
      <c r="AB364" s="169"/>
      <c r="AC364" s="169"/>
      <c r="AD364" s="169"/>
      <c r="AE364" s="169"/>
      <c r="AF364" s="169"/>
      <c r="AG364" s="169"/>
      <c r="AH364" s="169"/>
      <c r="AI364" s="169"/>
      <c r="AJ364" s="169"/>
    </row>
    <row r="365" spans="1:36" ht="15.75">
      <c r="A365" s="169"/>
      <c r="X365" s="169"/>
      <c r="Y365" s="169"/>
      <c r="Z365" s="169"/>
      <c r="AA365" s="169"/>
      <c r="AB365" s="169"/>
      <c r="AC365" s="169"/>
      <c r="AD365" s="169"/>
      <c r="AE365" s="169"/>
      <c r="AF365" s="169"/>
      <c r="AG365" s="169"/>
      <c r="AH365" s="169"/>
      <c r="AI365" s="169"/>
      <c r="AJ365" s="169"/>
    </row>
    <row r="366" spans="1:36" ht="15.75">
      <c r="A366" s="169"/>
      <c r="X366" s="169"/>
      <c r="Y366" s="169"/>
      <c r="Z366" s="169"/>
      <c r="AA366" s="169"/>
      <c r="AB366" s="169"/>
      <c r="AC366" s="169"/>
      <c r="AD366" s="169"/>
      <c r="AE366" s="169"/>
      <c r="AF366" s="169"/>
      <c r="AG366" s="169"/>
      <c r="AH366" s="169"/>
      <c r="AI366" s="169"/>
      <c r="AJ366" s="169"/>
    </row>
    <row r="367" spans="1:36" ht="15.75">
      <c r="A367" s="169"/>
      <c r="X367" s="169"/>
      <c r="Y367" s="169"/>
      <c r="Z367" s="169"/>
      <c r="AA367" s="169"/>
      <c r="AB367" s="169"/>
      <c r="AC367" s="169"/>
      <c r="AD367" s="169"/>
      <c r="AE367" s="169"/>
      <c r="AF367" s="169"/>
      <c r="AG367" s="169"/>
      <c r="AH367" s="169"/>
      <c r="AI367" s="169"/>
      <c r="AJ367" s="169"/>
    </row>
    <row r="368" spans="1:36" ht="15.75">
      <c r="A368" s="169"/>
      <c r="X368" s="169"/>
      <c r="Y368" s="169"/>
      <c r="Z368" s="169"/>
      <c r="AA368" s="169"/>
      <c r="AB368" s="169"/>
      <c r="AC368" s="169"/>
      <c r="AD368" s="169"/>
      <c r="AE368" s="169"/>
      <c r="AF368" s="169"/>
      <c r="AG368" s="169"/>
      <c r="AH368" s="169"/>
      <c r="AI368" s="169"/>
      <c r="AJ368" s="169"/>
    </row>
    <row r="369" spans="1:36" ht="15.75">
      <c r="A369" s="169"/>
      <c r="X369" s="169"/>
      <c r="Y369" s="169"/>
      <c r="Z369" s="169"/>
      <c r="AA369" s="169"/>
      <c r="AB369" s="169"/>
      <c r="AC369" s="169"/>
      <c r="AD369" s="169"/>
      <c r="AE369" s="169"/>
      <c r="AF369" s="169"/>
      <c r="AG369" s="169"/>
      <c r="AH369" s="169"/>
      <c r="AI369" s="169"/>
      <c r="AJ369" s="169"/>
    </row>
    <row r="370" spans="1:36" ht="15.75">
      <c r="A370" s="169"/>
      <c r="X370" s="169"/>
      <c r="Y370" s="169"/>
      <c r="Z370" s="169"/>
      <c r="AA370" s="169"/>
      <c r="AB370" s="169"/>
      <c r="AC370" s="169"/>
      <c r="AD370" s="169"/>
      <c r="AE370" s="169"/>
      <c r="AF370" s="169"/>
      <c r="AG370" s="169"/>
      <c r="AH370" s="169"/>
      <c r="AI370" s="169"/>
      <c r="AJ370" s="169"/>
    </row>
    <row r="371" spans="1:36" ht="15.75">
      <c r="A371" s="169"/>
      <c r="X371" s="169"/>
      <c r="Y371" s="169"/>
      <c r="Z371" s="169"/>
      <c r="AA371" s="169"/>
      <c r="AB371" s="169"/>
      <c r="AC371" s="169"/>
      <c r="AD371" s="169"/>
      <c r="AE371" s="169"/>
      <c r="AF371" s="169"/>
      <c r="AG371" s="169"/>
      <c r="AH371" s="169"/>
      <c r="AI371" s="169"/>
      <c r="AJ371" s="169"/>
    </row>
    <row r="372" spans="1:36" ht="15.75">
      <c r="A372" s="169"/>
      <c r="X372" s="169"/>
      <c r="Y372" s="169"/>
      <c r="Z372" s="169"/>
      <c r="AA372" s="169"/>
      <c r="AB372" s="169"/>
      <c r="AC372" s="169"/>
      <c r="AD372" s="169"/>
      <c r="AE372" s="169"/>
      <c r="AF372" s="169"/>
      <c r="AG372" s="169"/>
      <c r="AH372" s="169"/>
      <c r="AI372" s="169"/>
      <c r="AJ372" s="169"/>
    </row>
    <row r="373" spans="1:36" ht="15.75">
      <c r="A373" s="169"/>
      <c r="X373" s="169"/>
      <c r="Y373" s="169"/>
      <c r="Z373" s="169"/>
      <c r="AA373" s="169"/>
      <c r="AB373" s="169"/>
      <c r="AC373" s="169"/>
      <c r="AD373" s="169"/>
      <c r="AE373" s="169"/>
      <c r="AF373" s="169"/>
      <c r="AG373" s="169"/>
      <c r="AH373" s="169"/>
      <c r="AI373" s="169"/>
      <c r="AJ373" s="169"/>
    </row>
    <row r="374" spans="1:36" ht="15.75">
      <c r="A374" s="169"/>
      <c r="B374" s="169"/>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69"/>
      <c r="AD374" s="169"/>
      <c r="AE374" s="169"/>
      <c r="AF374" s="169"/>
      <c r="AG374" s="169"/>
      <c r="AH374" s="169"/>
      <c r="AI374" s="169"/>
      <c r="AJ374" s="169"/>
    </row>
    <row r="375" spans="1:36" ht="15.75">
      <c r="A375" s="169"/>
      <c r="B375" s="169"/>
      <c r="C375" s="169"/>
      <c r="D375" s="169"/>
      <c r="E375" s="169"/>
      <c r="F375" s="169"/>
      <c r="G375" s="169"/>
      <c r="H375" s="169"/>
      <c r="I375" s="169"/>
      <c r="J375" s="169"/>
      <c r="K375" s="169"/>
      <c r="L375" s="169"/>
      <c r="M375" s="169"/>
      <c r="N375" s="169"/>
      <c r="O375" s="169"/>
      <c r="P375" s="169"/>
      <c r="Q375" s="169"/>
      <c r="R375" s="169"/>
      <c r="S375" s="169"/>
      <c r="T375" s="169"/>
      <c r="U375" s="169"/>
      <c r="V375" s="169"/>
      <c r="W375" s="169"/>
      <c r="X375" s="169"/>
      <c r="Y375" s="169"/>
      <c r="Z375" s="169"/>
      <c r="AA375" s="169"/>
      <c r="AB375" s="169"/>
      <c r="AC375" s="169"/>
      <c r="AD375" s="169"/>
      <c r="AE375" s="169"/>
      <c r="AF375" s="169"/>
      <c r="AG375" s="169"/>
      <c r="AH375" s="169"/>
      <c r="AI375" s="169"/>
      <c r="AJ375" s="169"/>
    </row>
    <row r="376" spans="1:36" ht="15.75">
      <c r="A376" s="169"/>
      <c r="B376" s="169"/>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69"/>
      <c r="AD376" s="169"/>
      <c r="AE376" s="169"/>
      <c r="AF376" s="169"/>
      <c r="AG376" s="169"/>
      <c r="AH376" s="169"/>
      <c r="AI376" s="169"/>
      <c r="AJ376" s="169"/>
    </row>
    <row r="377" spans="1:36" ht="15.75">
      <c r="A377" s="169"/>
      <c r="B377" s="169"/>
      <c r="C377" s="169"/>
      <c r="D377" s="169"/>
      <c r="E377" s="169"/>
      <c r="F377" s="169"/>
      <c r="G377" s="169"/>
      <c r="H377" s="169"/>
      <c r="I377" s="169"/>
      <c r="J377" s="169"/>
      <c r="K377" s="169"/>
      <c r="L377" s="169"/>
      <c r="M377" s="169"/>
      <c r="N377" s="169"/>
      <c r="O377" s="169"/>
      <c r="P377" s="169"/>
      <c r="Q377" s="169"/>
      <c r="R377" s="169"/>
      <c r="S377" s="169"/>
      <c r="T377" s="169"/>
      <c r="U377" s="169"/>
      <c r="V377" s="169"/>
      <c r="W377" s="169"/>
      <c r="X377" s="169"/>
      <c r="Y377" s="169"/>
      <c r="Z377" s="169"/>
      <c r="AA377" s="169"/>
      <c r="AB377" s="169"/>
      <c r="AC377" s="169"/>
      <c r="AD377" s="169"/>
      <c r="AE377" s="169"/>
      <c r="AF377" s="169"/>
      <c r="AG377" s="169"/>
      <c r="AH377" s="169"/>
      <c r="AI377" s="169"/>
      <c r="AJ377" s="169"/>
    </row>
    <row r="378" spans="1:36" ht="15.75">
      <c r="A378" s="169"/>
      <c r="B378" s="169"/>
      <c r="C378" s="169"/>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c r="AB378" s="169"/>
      <c r="AC378" s="169"/>
      <c r="AD378" s="169"/>
      <c r="AE378" s="169"/>
      <c r="AF378" s="169"/>
      <c r="AG378" s="169"/>
      <c r="AH378" s="169"/>
      <c r="AI378" s="169"/>
      <c r="AJ378" s="169"/>
    </row>
    <row r="379" spans="1:36" ht="15.75">
      <c r="A379" s="169"/>
      <c r="B379" s="169"/>
      <c r="C379" s="169"/>
      <c r="D379" s="169"/>
      <c r="E379" s="169"/>
      <c r="F379" s="169"/>
      <c r="G379" s="169"/>
      <c r="H379" s="169"/>
      <c r="I379" s="169"/>
      <c r="J379" s="169"/>
      <c r="K379" s="169"/>
      <c r="L379" s="169"/>
      <c r="M379" s="169"/>
      <c r="N379" s="169"/>
      <c r="O379" s="169"/>
      <c r="P379" s="169"/>
      <c r="Q379" s="169"/>
      <c r="R379" s="169"/>
      <c r="S379" s="169"/>
      <c r="T379" s="169"/>
      <c r="U379" s="169"/>
      <c r="V379" s="169"/>
      <c r="W379" s="169"/>
      <c r="X379" s="169"/>
      <c r="Y379" s="169"/>
      <c r="Z379" s="169"/>
      <c r="AA379" s="169"/>
      <c r="AB379" s="169"/>
      <c r="AC379" s="169"/>
      <c r="AD379" s="169"/>
      <c r="AE379" s="169"/>
      <c r="AF379" s="169"/>
      <c r="AG379" s="169"/>
      <c r="AH379" s="169"/>
      <c r="AI379" s="169"/>
      <c r="AJ379" s="169"/>
    </row>
    <row r="380" spans="1:36" ht="15.75">
      <c r="A380" s="169"/>
      <c r="B380" s="169"/>
      <c r="C380" s="169"/>
      <c r="D380" s="169"/>
      <c r="E380" s="169"/>
      <c r="F380" s="169"/>
      <c r="G380" s="169"/>
      <c r="H380" s="169"/>
      <c r="I380" s="169"/>
      <c r="J380" s="169"/>
      <c r="K380" s="169"/>
      <c r="L380" s="169"/>
      <c r="M380" s="169"/>
      <c r="N380" s="169"/>
      <c r="O380" s="169"/>
      <c r="P380" s="169"/>
      <c r="Q380" s="169"/>
      <c r="R380" s="169"/>
      <c r="S380" s="169"/>
      <c r="T380" s="169"/>
      <c r="U380" s="169"/>
      <c r="V380" s="169"/>
      <c r="W380" s="169"/>
      <c r="X380" s="169"/>
      <c r="Y380" s="169"/>
      <c r="Z380" s="169"/>
      <c r="AA380" s="169"/>
      <c r="AB380" s="169"/>
      <c r="AC380" s="169"/>
      <c r="AD380" s="169"/>
      <c r="AE380" s="169"/>
      <c r="AF380" s="169"/>
      <c r="AG380" s="169"/>
      <c r="AH380" s="169"/>
      <c r="AI380" s="169"/>
      <c r="AJ380" s="169"/>
    </row>
    <row r="381" spans="1:36" ht="15.75">
      <c r="A381" s="169"/>
      <c r="B381" s="169"/>
      <c r="C381" s="169"/>
      <c r="D381" s="169"/>
      <c r="E381" s="169"/>
      <c r="F381" s="169"/>
      <c r="G381" s="169"/>
      <c r="H381" s="169"/>
      <c r="I381" s="169"/>
      <c r="J381" s="169"/>
      <c r="K381" s="169"/>
      <c r="L381" s="169"/>
      <c r="M381" s="169"/>
      <c r="N381" s="169"/>
      <c r="O381" s="169"/>
      <c r="P381" s="169"/>
      <c r="Q381" s="169"/>
      <c r="R381" s="169"/>
      <c r="S381" s="169"/>
      <c r="T381" s="169"/>
      <c r="U381" s="169"/>
      <c r="V381" s="169"/>
      <c r="W381" s="169"/>
      <c r="X381" s="169"/>
      <c r="Y381" s="169"/>
      <c r="Z381" s="169"/>
      <c r="AA381" s="169"/>
      <c r="AB381" s="169"/>
      <c r="AC381" s="169"/>
      <c r="AD381" s="169"/>
      <c r="AE381" s="169"/>
      <c r="AF381" s="169"/>
      <c r="AG381" s="169"/>
      <c r="AH381" s="169"/>
      <c r="AI381" s="169"/>
      <c r="AJ381" s="169"/>
    </row>
    <row r="382" spans="1:36" ht="15.75">
      <c r="A382" s="169"/>
      <c r="B382" s="169"/>
      <c r="C382" s="169"/>
      <c r="D382" s="169"/>
      <c r="E382" s="169"/>
      <c r="F382" s="169"/>
      <c r="G382" s="169"/>
      <c r="H382" s="169"/>
      <c r="I382" s="169"/>
      <c r="J382" s="169"/>
      <c r="K382" s="169"/>
      <c r="L382" s="169"/>
      <c r="M382" s="169"/>
      <c r="N382" s="169"/>
      <c r="O382" s="169"/>
      <c r="P382" s="169"/>
      <c r="Q382" s="169"/>
      <c r="R382" s="169"/>
      <c r="S382" s="169"/>
      <c r="T382" s="169"/>
      <c r="U382" s="169"/>
      <c r="V382" s="169"/>
      <c r="W382" s="169"/>
      <c r="X382" s="169"/>
      <c r="Y382" s="169"/>
      <c r="Z382" s="169"/>
      <c r="AA382" s="169"/>
      <c r="AB382" s="169"/>
      <c r="AC382" s="169"/>
      <c r="AD382" s="169"/>
      <c r="AE382" s="169"/>
      <c r="AF382" s="169"/>
      <c r="AG382" s="169"/>
      <c r="AH382" s="169"/>
      <c r="AI382" s="169"/>
      <c r="AJ382" s="169"/>
    </row>
    <row r="383" spans="1:36" ht="15.75">
      <c r="A383" s="169"/>
      <c r="B383" s="169"/>
      <c r="C383" s="169"/>
      <c r="D383" s="169"/>
      <c r="E383" s="169"/>
      <c r="F383" s="169"/>
      <c r="G383" s="169"/>
      <c r="H383" s="169"/>
      <c r="I383" s="169"/>
      <c r="J383" s="169"/>
      <c r="K383" s="169"/>
      <c r="L383" s="169"/>
      <c r="M383" s="169"/>
      <c r="N383" s="169"/>
      <c r="O383" s="169"/>
      <c r="P383" s="169"/>
      <c r="Q383" s="169"/>
      <c r="R383" s="169"/>
      <c r="S383" s="169"/>
      <c r="T383" s="169"/>
      <c r="U383" s="169"/>
      <c r="V383" s="169"/>
      <c r="W383" s="169"/>
      <c r="X383" s="169"/>
      <c r="Y383" s="169"/>
      <c r="Z383" s="169"/>
      <c r="AA383" s="169"/>
      <c r="AB383" s="169"/>
      <c r="AC383" s="169"/>
      <c r="AD383" s="169"/>
      <c r="AE383" s="169"/>
      <c r="AF383" s="169"/>
      <c r="AG383" s="169"/>
      <c r="AH383" s="169"/>
      <c r="AI383" s="169"/>
      <c r="AJ383" s="169"/>
    </row>
    <row r="384" spans="1:36" ht="15.75">
      <c r="A384" s="169"/>
      <c r="B384" s="169"/>
      <c r="C384" s="169"/>
      <c r="D384" s="169"/>
      <c r="E384" s="169"/>
      <c r="F384" s="169"/>
      <c r="G384" s="169"/>
      <c r="H384" s="169"/>
      <c r="I384" s="169"/>
      <c r="J384" s="169"/>
      <c r="K384" s="169"/>
      <c r="L384" s="169"/>
      <c r="M384" s="169"/>
      <c r="N384" s="169"/>
      <c r="O384" s="169"/>
      <c r="P384" s="169"/>
      <c r="Q384" s="169"/>
      <c r="R384" s="169"/>
      <c r="S384" s="169"/>
      <c r="T384" s="169"/>
      <c r="U384" s="169"/>
      <c r="V384" s="169"/>
      <c r="W384" s="169"/>
      <c r="X384" s="169"/>
      <c r="Y384" s="169"/>
      <c r="Z384" s="169"/>
      <c r="AA384" s="169"/>
      <c r="AB384" s="169"/>
      <c r="AC384" s="169"/>
      <c r="AD384" s="169"/>
      <c r="AE384" s="169"/>
      <c r="AF384" s="169"/>
      <c r="AG384" s="169"/>
      <c r="AH384" s="169"/>
      <c r="AI384" s="169"/>
      <c r="AJ384" s="169"/>
    </row>
    <row r="385" spans="1:36" ht="15.75">
      <c r="A385" s="169"/>
      <c r="B385" s="169"/>
      <c r="C385" s="169"/>
      <c r="D385" s="169"/>
      <c r="E385" s="169"/>
      <c r="F385" s="169"/>
      <c r="G385" s="169"/>
      <c r="H385" s="169"/>
      <c r="I385" s="169"/>
      <c r="J385" s="169"/>
      <c r="K385" s="169"/>
      <c r="L385" s="169"/>
      <c r="M385" s="169"/>
      <c r="N385" s="169"/>
      <c r="O385" s="169"/>
      <c r="P385" s="169"/>
      <c r="Q385" s="169"/>
      <c r="R385" s="169"/>
      <c r="S385" s="169"/>
      <c r="T385" s="169"/>
      <c r="U385" s="169"/>
      <c r="V385" s="169"/>
      <c r="W385" s="169"/>
      <c r="X385" s="169"/>
      <c r="Y385" s="169"/>
      <c r="Z385" s="169"/>
      <c r="AA385" s="169"/>
      <c r="AB385" s="169"/>
      <c r="AC385" s="169"/>
      <c r="AD385" s="169"/>
      <c r="AE385" s="169"/>
      <c r="AF385" s="169"/>
      <c r="AG385" s="169"/>
      <c r="AH385" s="169"/>
      <c r="AI385" s="169"/>
      <c r="AJ385" s="169"/>
    </row>
    <row r="386" spans="1:36" ht="15.75">
      <c r="A386" s="169"/>
      <c r="B386" s="169"/>
      <c r="C386" s="169"/>
      <c r="D386" s="169"/>
      <c r="E386" s="169"/>
      <c r="F386" s="169"/>
      <c r="G386" s="169"/>
      <c r="H386" s="169"/>
      <c r="I386" s="169"/>
      <c r="J386" s="169"/>
      <c r="K386" s="169"/>
      <c r="L386" s="169"/>
      <c r="M386" s="169"/>
      <c r="N386" s="169"/>
      <c r="O386" s="169"/>
      <c r="P386" s="169"/>
      <c r="Q386" s="169"/>
      <c r="R386" s="169"/>
      <c r="S386" s="169"/>
      <c r="T386" s="169"/>
      <c r="U386" s="169"/>
      <c r="V386" s="169"/>
      <c r="W386" s="169"/>
      <c r="X386" s="169"/>
      <c r="Y386" s="169"/>
      <c r="Z386" s="169"/>
      <c r="AA386" s="169"/>
      <c r="AB386" s="169"/>
      <c r="AC386" s="169"/>
      <c r="AD386" s="169"/>
      <c r="AE386" s="169"/>
      <c r="AF386" s="169"/>
      <c r="AG386" s="169"/>
      <c r="AH386" s="169"/>
      <c r="AI386" s="169"/>
      <c r="AJ386" s="169"/>
    </row>
    <row r="387" spans="1:36" ht="15.75">
      <c r="A387" s="169"/>
      <c r="B387" s="169"/>
      <c r="C387" s="169"/>
      <c r="D387" s="169"/>
      <c r="E387" s="169"/>
      <c r="F387" s="169"/>
      <c r="G387" s="169"/>
      <c r="H387" s="169"/>
      <c r="I387" s="169"/>
      <c r="J387" s="169"/>
      <c r="K387" s="169"/>
      <c r="L387" s="169"/>
      <c r="M387" s="169"/>
      <c r="N387" s="169"/>
      <c r="O387" s="169"/>
      <c r="P387" s="169"/>
      <c r="Q387" s="169"/>
      <c r="R387" s="169"/>
      <c r="S387" s="169"/>
      <c r="T387" s="169"/>
      <c r="U387" s="169"/>
      <c r="V387" s="169"/>
      <c r="W387" s="169"/>
      <c r="X387" s="169"/>
      <c r="Y387" s="169"/>
      <c r="Z387" s="169"/>
      <c r="AA387" s="169"/>
      <c r="AB387" s="169"/>
      <c r="AC387" s="169"/>
      <c r="AD387" s="169"/>
      <c r="AE387" s="169"/>
      <c r="AF387" s="169"/>
      <c r="AG387" s="169"/>
      <c r="AH387" s="169"/>
      <c r="AI387" s="169"/>
      <c r="AJ387" s="169"/>
    </row>
    <row r="388" spans="1:36" ht="15.75">
      <c r="A388" s="169"/>
      <c r="B388" s="169"/>
      <c r="C388" s="169"/>
      <c r="D388" s="169"/>
      <c r="E388" s="169"/>
      <c r="F388" s="169"/>
      <c r="G388" s="169"/>
      <c r="H388" s="169"/>
      <c r="I388" s="169"/>
      <c r="J388" s="169"/>
      <c r="K388" s="169"/>
      <c r="L388" s="169"/>
      <c r="M388" s="169"/>
      <c r="N388" s="169"/>
      <c r="O388" s="169"/>
      <c r="P388" s="169"/>
      <c r="Q388" s="169"/>
      <c r="R388" s="169"/>
      <c r="S388" s="169"/>
      <c r="T388" s="169"/>
      <c r="U388" s="169"/>
      <c r="V388" s="169"/>
      <c r="W388" s="169"/>
      <c r="X388" s="169"/>
      <c r="Y388" s="169"/>
      <c r="Z388" s="169"/>
      <c r="AA388" s="169"/>
      <c r="AB388" s="169"/>
      <c r="AC388" s="169"/>
      <c r="AD388" s="169"/>
      <c r="AE388" s="169"/>
      <c r="AF388" s="169"/>
      <c r="AG388" s="169"/>
      <c r="AH388" s="169"/>
      <c r="AI388" s="169"/>
      <c r="AJ388" s="169"/>
    </row>
    <row r="389" spans="1:36" ht="15.75">
      <c r="A389" s="169"/>
      <c r="B389" s="169"/>
      <c r="C389" s="169"/>
      <c r="D389" s="169"/>
      <c r="E389" s="169"/>
      <c r="F389" s="169"/>
      <c r="G389" s="169"/>
      <c r="H389" s="169"/>
      <c r="I389" s="169"/>
      <c r="J389" s="169"/>
      <c r="K389" s="169"/>
      <c r="L389" s="169"/>
      <c r="M389" s="169"/>
      <c r="N389" s="169"/>
      <c r="O389" s="169"/>
      <c r="P389" s="169"/>
      <c r="Q389" s="169"/>
      <c r="R389" s="169"/>
      <c r="S389" s="169"/>
      <c r="T389" s="169"/>
      <c r="U389" s="169"/>
      <c r="V389" s="169"/>
      <c r="W389" s="169"/>
      <c r="X389" s="169"/>
      <c r="Y389" s="169"/>
      <c r="Z389" s="169"/>
      <c r="AA389" s="169"/>
      <c r="AB389" s="169"/>
      <c r="AC389" s="169"/>
      <c r="AD389" s="169"/>
      <c r="AE389" s="169"/>
      <c r="AF389" s="169"/>
      <c r="AG389" s="169"/>
      <c r="AH389" s="169"/>
      <c r="AI389" s="169"/>
      <c r="AJ389" s="169"/>
    </row>
  </sheetData>
  <pageMargins left="0.61" right="0.57999999999999996" top="0.48" bottom="0.89" header="0.37" footer="0.5"/>
  <pageSetup scale="12" orientation="landscape" r:id="rId1"/>
  <headerFooter alignWithMargins="0"/>
  <rowBreaks count="3" manualBreakCount="3">
    <brk id="39" max="16" man="1"/>
    <brk id="67" max="16" man="1"/>
    <brk id="120" max="16"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2319-721D-43B9-8D59-2B093EA016E2}">
  <sheetPr codeName="Sheet5">
    <tabColor rgb="FF00BCB8"/>
  </sheetPr>
  <dimension ref="A1:AZ297"/>
  <sheetViews>
    <sheetView showGridLines="0" zoomScale="72" zoomScaleNormal="72" workbookViewId="0">
      <pane xSplit="1" ySplit="2" topLeftCell="B3" activePane="bottomRight" state="frozen"/>
      <selection pane="topRight" activeCell="B1" sqref="B1"/>
      <selection pane="bottomLeft" activeCell="A3" sqref="A3"/>
      <selection pane="bottomRight" activeCell="K10" sqref="K10"/>
    </sheetView>
  </sheetViews>
  <sheetFormatPr defaultRowHeight="15" outlineLevelRow="1"/>
  <cols>
    <col min="1" max="1" width="39.7109375" customWidth="1"/>
    <col min="2" max="2" width="9.5703125" customWidth="1"/>
    <col min="3" max="21" width="10.7109375" customWidth="1"/>
    <col min="24" max="31" width="9.140625" customWidth="1"/>
    <col min="32" max="32" width="18.7109375" customWidth="1"/>
    <col min="33" max="33" width="23.7109375" customWidth="1"/>
    <col min="34" max="34" width="18.140625" bestFit="1" customWidth="1"/>
    <col min="35" max="35" width="18" customWidth="1"/>
    <col min="36" max="36" width="19.42578125" customWidth="1"/>
    <col min="37" max="37" width="14.42578125" customWidth="1"/>
    <col min="38" max="38" width="16.28515625" bestFit="1" customWidth="1"/>
    <col min="39" max="39" width="9.85546875" bestFit="1" customWidth="1"/>
    <col min="40" max="43" width="9.140625" customWidth="1"/>
    <col min="44" max="44" width="8.85546875" customWidth="1"/>
    <col min="46" max="50" width="9.140625" customWidth="1"/>
    <col min="52" max="52" width="9.140625" customWidth="1"/>
  </cols>
  <sheetData>
    <row r="1" spans="1:52">
      <c r="A1" s="360"/>
      <c r="B1" s="164"/>
      <c r="C1" s="164"/>
      <c r="D1" s="164"/>
      <c r="E1" s="164"/>
      <c r="F1" s="164"/>
      <c r="G1" s="164"/>
      <c r="H1" s="164"/>
      <c r="I1" s="164"/>
      <c r="J1" s="164"/>
      <c r="K1" s="433"/>
      <c r="L1" s="433"/>
      <c r="M1" s="433"/>
      <c r="N1" s="433"/>
      <c r="O1" s="433"/>
      <c r="P1" s="433"/>
      <c r="Q1" s="433"/>
      <c r="R1" s="433"/>
      <c r="S1" s="433"/>
      <c r="T1" s="433"/>
      <c r="U1" s="433"/>
      <c r="V1" s="626">
        <f>Valuation!C51</f>
        <v>10.055391618999746</v>
      </c>
      <c r="W1" s="154"/>
      <c r="X1" s="154"/>
      <c r="Y1" s="153"/>
    </row>
    <row r="2" spans="1:52">
      <c r="A2" s="972" t="s">
        <v>897</v>
      </c>
      <c r="B2" s="973">
        <v>2016</v>
      </c>
      <c r="C2" s="973">
        <v>2017</v>
      </c>
      <c r="D2" s="973">
        <v>2018</v>
      </c>
      <c r="E2" s="973">
        <v>2019</v>
      </c>
      <c r="F2" s="973">
        <v>2020</v>
      </c>
      <c r="G2" s="973">
        <v>2021</v>
      </c>
      <c r="H2" s="973">
        <v>2022</v>
      </c>
      <c r="I2" s="973">
        <v>2023</v>
      </c>
      <c r="J2" s="973">
        <v>2024</v>
      </c>
      <c r="K2" s="552" t="s">
        <v>266</v>
      </c>
      <c r="L2" s="552" t="s">
        <v>267</v>
      </c>
      <c r="M2" s="552" t="s">
        <v>268</v>
      </c>
      <c r="N2" s="552" t="s">
        <v>269</v>
      </c>
      <c r="O2" s="552" t="s">
        <v>270</v>
      </c>
      <c r="P2" s="552" t="s">
        <v>271</v>
      </c>
      <c r="Q2" s="552" t="s">
        <v>1159</v>
      </c>
      <c r="R2" s="552" t="s">
        <v>1160</v>
      </c>
      <c r="S2" s="552" t="s">
        <v>1161</v>
      </c>
      <c r="T2" s="552" t="s">
        <v>1162</v>
      </c>
      <c r="U2" s="552" t="s">
        <v>1163</v>
      </c>
      <c r="V2" s="154"/>
      <c r="W2" s="154"/>
      <c r="X2" s="154"/>
      <c r="Y2" s="153"/>
    </row>
    <row r="3" spans="1:52">
      <c r="A3" s="154"/>
      <c r="B3" s="154"/>
      <c r="C3" s="154"/>
      <c r="D3" s="154"/>
      <c r="E3" s="154"/>
      <c r="F3" s="154"/>
      <c r="G3" s="154"/>
      <c r="H3" s="154"/>
      <c r="I3" s="154"/>
      <c r="J3" s="154"/>
      <c r="K3" s="154"/>
      <c r="L3" s="154"/>
      <c r="M3" s="154"/>
      <c r="N3" s="154"/>
      <c r="O3" s="154"/>
      <c r="P3" s="154"/>
      <c r="Q3" s="154"/>
      <c r="R3" s="154"/>
      <c r="S3" s="154"/>
      <c r="T3" s="154"/>
      <c r="U3" s="154"/>
      <c r="V3" s="154"/>
      <c r="W3" s="154"/>
      <c r="X3" s="154"/>
      <c r="Y3" s="153"/>
    </row>
    <row r="4" spans="1:52">
      <c r="A4" s="154"/>
      <c r="B4" s="154"/>
      <c r="C4" s="154"/>
      <c r="D4" s="154"/>
      <c r="E4" s="154"/>
      <c r="F4" s="154"/>
      <c r="G4" s="154"/>
      <c r="H4" s="154"/>
      <c r="I4" s="154"/>
      <c r="J4" s="154"/>
      <c r="K4" s="154"/>
      <c r="L4" s="154"/>
      <c r="M4" s="154"/>
      <c r="N4" s="154"/>
      <c r="O4" s="154"/>
      <c r="P4" s="154"/>
      <c r="Q4" s="154"/>
      <c r="R4" s="154"/>
      <c r="S4" s="154"/>
      <c r="T4" s="154"/>
      <c r="U4" s="154"/>
      <c r="V4" s="154"/>
      <c r="W4" s="154"/>
      <c r="X4" s="154"/>
      <c r="Y4" s="153"/>
    </row>
    <row r="5" spans="1:52">
      <c r="A5" s="984" t="s">
        <v>170</v>
      </c>
      <c r="B5" s="985">
        <f>B2</f>
        <v>2016</v>
      </c>
      <c r="C5" s="985">
        <f t="shared" ref="C5:P5" si="0">C2</f>
        <v>2017</v>
      </c>
      <c r="D5" s="985">
        <f t="shared" si="0"/>
        <v>2018</v>
      </c>
      <c r="E5" s="985">
        <f t="shared" si="0"/>
        <v>2019</v>
      </c>
      <c r="F5" s="985">
        <f t="shared" si="0"/>
        <v>2020</v>
      </c>
      <c r="G5" s="985">
        <f t="shared" si="0"/>
        <v>2021</v>
      </c>
      <c r="H5" s="985">
        <f t="shared" si="0"/>
        <v>2022</v>
      </c>
      <c r="I5" s="985">
        <f t="shared" si="0"/>
        <v>2023</v>
      </c>
      <c r="J5" s="985">
        <f t="shared" si="0"/>
        <v>2024</v>
      </c>
      <c r="K5" s="985" t="str">
        <f t="shared" si="0"/>
        <v>2025E</v>
      </c>
      <c r="L5" s="985" t="str">
        <f t="shared" si="0"/>
        <v>2026E</v>
      </c>
      <c r="M5" s="985" t="str">
        <f t="shared" si="0"/>
        <v>2027E</v>
      </c>
      <c r="N5" s="985" t="str">
        <f t="shared" si="0"/>
        <v>2028E</v>
      </c>
      <c r="O5" s="985" t="str">
        <f t="shared" si="0"/>
        <v>2029E</v>
      </c>
      <c r="P5" s="985" t="str">
        <f t="shared" si="0"/>
        <v>2030E</v>
      </c>
      <c r="Q5" s="985" t="str">
        <f t="shared" ref="Q5:U5" si="1">Q2</f>
        <v>2031E</v>
      </c>
      <c r="R5" s="985" t="str">
        <f t="shared" si="1"/>
        <v>2032E</v>
      </c>
      <c r="S5" s="985" t="str">
        <f t="shared" si="1"/>
        <v>2033E</v>
      </c>
      <c r="T5" s="985" t="str">
        <f t="shared" si="1"/>
        <v>2034E</v>
      </c>
      <c r="U5" s="985" t="str">
        <f t="shared" si="1"/>
        <v>2035E</v>
      </c>
      <c r="V5" s="154"/>
      <c r="W5" s="154"/>
      <c r="X5" s="154"/>
      <c r="Y5" s="153"/>
      <c r="AF5" s="160"/>
      <c r="AG5" s="1130" t="s">
        <v>1029</v>
      </c>
      <c r="AH5" s="1130"/>
      <c r="AI5" s="1130"/>
      <c r="AJ5" s="160" t="s">
        <v>637</v>
      </c>
      <c r="AK5" s="834" t="s">
        <v>798</v>
      </c>
    </row>
    <row r="6" spans="1:52">
      <c r="A6" s="154" t="s">
        <v>203</v>
      </c>
      <c r="B6" s="521">
        <v>652</v>
      </c>
      <c r="C6" s="521">
        <v>821</v>
      </c>
      <c r="D6" s="521">
        <v>852.7</v>
      </c>
      <c r="E6" s="522">
        <v>925.70399999999995</v>
      </c>
      <c r="F6" s="522">
        <v>1037.836</v>
      </c>
      <c r="G6" s="522">
        <v>1146.732</v>
      </c>
      <c r="H6" s="522">
        <v>1352.402</v>
      </c>
      <c r="I6" s="522">
        <v>1381.627</v>
      </c>
      <c r="J6" s="522">
        <v>998.46600000000001</v>
      </c>
      <c r="K6" s="523">
        <f>Nigeria!L54</f>
        <v>1053.7872905198199</v>
      </c>
      <c r="L6" s="523">
        <f>Nigeria!M54</f>
        <v>1134.4582270304002</v>
      </c>
      <c r="M6" s="523">
        <f>Nigeria!N54</f>
        <v>1228.6257099351096</v>
      </c>
      <c r="N6" s="523">
        <f>Nigeria!O54</f>
        <v>1309.1802125029919</v>
      </c>
      <c r="O6" s="523">
        <f>Nigeria!P54</f>
        <v>1395.5028050664512</v>
      </c>
      <c r="P6" s="523">
        <f>Nigeria!Q54</f>
        <v>1483.6538057245971</v>
      </c>
      <c r="Q6" s="523">
        <f>Nigeria!R54</f>
        <v>1568.0812549092916</v>
      </c>
      <c r="R6" s="523">
        <f>Nigeria!S54</f>
        <v>1652.4840124954114</v>
      </c>
      <c r="S6" s="523">
        <f>Nigeria!T54</f>
        <v>1741.4297907099833</v>
      </c>
      <c r="T6" s="523">
        <f>Nigeria!U54</f>
        <v>1835.1631199098429</v>
      </c>
      <c r="U6" s="523">
        <f>Nigeria!V54</f>
        <v>1933.9416924205505</v>
      </c>
      <c r="V6" s="154"/>
      <c r="W6" s="154"/>
      <c r="X6" s="154"/>
      <c r="Y6" s="153"/>
      <c r="AF6" s="660"/>
      <c r="AG6" s="840" t="s">
        <v>378</v>
      </c>
      <c r="AH6" s="840" t="s">
        <v>380</v>
      </c>
      <c r="AI6" s="840" t="s">
        <v>379</v>
      </c>
      <c r="AJ6" s="840"/>
      <c r="AK6" s="840"/>
    </row>
    <row r="7" spans="1:52">
      <c r="A7" s="154" t="s">
        <v>272</v>
      </c>
      <c r="B7" s="521">
        <v>254</v>
      </c>
      <c r="C7" s="521">
        <v>286</v>
      </c>
      <c r="D7" s="521">
        <v>315</v>
      </c>
      <c r="E7" s="522">
        <v>305.35199999999998</v>
      </c>
      <c r="F7" s="522">
        <v>313.416</v>
      </c>
      <c r="G7" s="522">
        <v>343.94499999999999</v>
      </c>
      <c r="H7" s="522">
        <v>412.82400000000001</v>
      </c>
      <c r="I7" s="522">
        <v>503.04899999999998</v>
      </c>
      <c r="J7" s="522">
        <v>483.84199999999998</v>
      </c>
      <c r="K7" s="523">
        <f>SSA!L98</f>
        <v>484.7</v>
      </c>
      <c r="L7" s="523">
        <f>SSA!M98</f>
        <v>471.02536940840139</v>
      </c>
      <c r="M7" s="523">
        <f>SSA!N98</f>
        <v>494.75434003045558</v>
      </c>
      <c r="N7" s="523">
        <f>SSA!O98</f>
        <v>524.51848593613545</v>
      </c>
      <c r="O7" s="523">
        <f>SSA!P98</f>
        <v>555.33416838517019</v>
      </c>
      <c r="P7" s="523">
        <f>SSA!Q98</f>
        <v>588.04829847884014</v>
      </c>
      <c r="Q7" s="523">
        <f>SSA!R98</f>
        <v>622.99625543623813</v>
      </c>
      <c r="R7" s="523">
        <f>SSA!S98</f>
        <v>660.50913873323873</v>
      </c>
      <c r="S7" s="523">
        <f>SSA!T98</f>
        <v>700.56000247117186</v>
      </c>
      <c r="T7" s="523">
        <f>SSA!U98</f>
        <v>743.21038436567233</v>
      </c>
      <c r="U7" s="523">
        <f>SSA!V98</f>
        <v>788.77034172675303</v>
      </c>
      <c r="V7" s="154"/>
      <c r="W7" s="154"/>
      <c r="X7" s="154"/>
      <c r="Y7" s="153"/>
      <c r="AF7" s="337" t="s">
        <v>170</v>
      </c>
      <c r="AG7" s="841">
        <v>1700</v>
      </c>
      <c r="AH7" s="841">
        <v>1730</v>
      </c>
      <c r="AI7" s="843">
        <f>(AG7+AH7)/2</f>
        <v>1715</v>
      </c>
      <c r="AJ7" s="841">
        <v>1711.5</v>
      </c>
      <c r="AK7" s="841">
        <f>J10</f>
        <v>1711.2249999999999</v>
      </c>
      <c r="AU7" s="138"/>
      <c r="AV7" s="138"/>
      <c r="AW7" s="138"/>
      <c r="AY7" s="138"/>
      <c r="AZ7" s="138"/>
    </row>
    <row r="8" spans="1:52">
      <c r="A8" s="154" t="s">
        <v>160</v>
      </c>
      <c r="B8" s="521"/>
      <c r="C8" s="521"/>
      <c r="D8" s="521"/>
      <c r="E8" s="522"/>
      <c r="F8" s="522">
        <v>30.184999999999999</v>
      </c>
      <c r="G8" s="522">
        <v>59.706000000000003</v>
      </c>
      <c r="H8" s="522">
        <v>160.00800000000001</v>
      </c>
      <c r="I8" s="522">
        <v>200.20699999999999</v>
      </c>
      <c r="J8" s="522">
        <v>184.03</v>
      </c>
      <c r="K8" s="523">
        <f>Latam!L73</f>
        <v>186.79044999999999</v>
      </c>
      <c r="L8" s="523">
        <f>Latam!M73</f>
        <v>190.52625899999998</v>
      </c>
      <c r="M8" s="523">
        <f>Latam!N73</f>
        <v>195.28941547499997</v>
      </c>
      <c r="N8" s="523">
        <f>Latam!O73</f>
        <v>201.14809793924996</v>
      </c>
      <c r="O8" s="523">
        <f>Latam!P73</f>
        <v>207.18254087742747</v>
      </c>
      <c r="P8" s="523">
        <f>Latam!Q73</f>
        <v>213.39801710375031</v>
      </c>
      <c r="Q8" s="523">
        <f>Latam!R73</f>
        <v>219.79995761686283</v>
      </c>
      <c r="R8" s="523">
        <f>Latam!S73</f>
        <v>226.39395634536871</v>
      </c>
      <c r="S8" s="523">
        <f>Latam!T73</f>
        <v>233.18577503572976</v>
      </c>
      <c r="T8" s="523">
        <f>Latam!U73</f>
        <v>240.18134828680166</v>
      </c>
      <c r="U8" s="523">
        <f>Latam!V73</f>
        <v>247.38678873540573</v>
      </c>
      <c r="V8" s="154"/>
      <c r="W8" s="154"/>
      <c r="X8" s="154"/>
      <c r="Y8" s="153"/>
      <c r="AF8" s="154" t="s">
        <v>636</v>
      </c>
      <c r="AG8" s="839">
        <v>935</v>
      </c>
      <c r="AH8" s="839">
        <v>955</v>
      </c>
      <c r="AI8" s="844">
        <f t="shared" ref="AI8:AI11" si="2">(AG8+AH8)/2</f>
        <v>945</v>
      </c>
      <c r="AJ8" s="839">
        <v>941.7</v>
      </c>
      <c r="AK8" s="839">
        <f>J32</f>
        <v>928.35399999999993</v>
      </c>
      <c r="AU8" s="138"/>
      <c r="AV8" s="138"/>
      <c r="AW8" s="138"/>
      <c r="AX8" s="138"/>
      <c r="AY8" s="138"/>
    </row>
    <row r="9" spans="1:52">
      <c r="A9" s="154" t="s">
        <v>273</v>
      </c>
      <c r="B9" s="521"/>
      <c r="C9" s="521"/>
      <c r="D9" s="521"/>
      <c r="E9" s="522"/>
      <c r="F9" s="522">
        <v>21.721</v>
      </c>
      <c r="G9" s="522">
        <v>29.347000000000001</v>
      </c>
      <c r="H9" s="522">
        <v>36.064999999999998</v>
      </c>
      <c r="I9" s="522">
        <v>40.655999999999999</v>
      </c>
      <c r="J9" s="522">
        <v>44.887</v>
      </c>
      <c r="K9" s="523"/>
      <c r="L9" s="523"/>
      <c r="M9" s="523"/>
      <c r="N9" s="523"/>
      <c r="O9" s="523"/>
      <c r="P9" s="523"/>
      <c r="Q9" s="523"/>
      <c r="R9" s="523"/>
      <c r="S9" s="523"/>
      <c r="T9" s="523"/>
      <c r="U9" s="523"/>
      <c r="V9" s="154"/>
      <c r="W9" s="154"/>
      <c r="X9" s="154"/>
      <c r="Y9" s="153"/>
      <c r="AF9" s="337" t="s">
        <v>907</v>
      </c>
      <c r="AG9" s="841">
        <v>285</v>
      </c>
      <c r="AH9" s="841">
        <v>305</v>
      </c>
      <c r="AI9" s="845">
        <f t="shared" si="2"/>
        <v>295</v>
      </c>
      <c r="AJ9" s="841"/>
      <c r="AK9" s="841"/>
    </row>
    <row r="10" spans="1:52">
      <c r="A10" s="525" t="s">
        <v>716</v>
      </c>
      <c r="B10" s="526">
        <f t="shared" ref="B10:G10" si="3">SUM(B6:B9)</f>
        <v>906</v>
      </c>
      <c r="C10" s="526">
        <f t="shared" si="3"/>
        <v>1107</v>
      </c>
      <c r="D10" s="526">
        <f t="shared" si="3"/>
        <v>1167.7</v>
      </c>
      <c r="E10" s="526">
        <f t="shared" si="3"/>
        <v>1231.056</v>
      </c>
      <c r="F10" s="526">
        <f t="shared" si="3"/>
        <v>1403.1579999999999</v>
      </c>
      <c r="G10" s="526">
        <f t="shared" si="3"/>
        <v>1579.7299999999998</v>
      </c>
      <c r="H10" s="526">
        <f t="shared" ref="H10:P10" si="4">SUM(H6:H9)</f>
        <v>1961.2990000000002</v>
      </c>
      <c r="I10" s="526">
        <f t="shared" si="4"/>
        <v>2125.5389999999998</v>
      </c>
      <c r="J10" s="526">
        <f t="shared" si="4"/>
        <v>1711.2249999999999</v>
      </c>
      <c r="K10" s="526">
        <f t="shared" si="4"/>
        <v>1725.2777405198199</v>
      </c>
      <c r="L10" s="526">
        <f t="shared" si="4"/>
        <v>1796.0098554388017</v>
      </c>
      <c r="M10" s="526">
        <f t="shared" si="4"/>
        <v>1918.6694654405651</v>
      </c>
      <c r="N10" s="526">
        <f t="shared" si="4"/>
        <v>2034.8467963783773</v>
      </c>
      <c r="O10" s="526">
        <f t="shared" si="4"/>
        <v>2158.0195143290489</v>
      </c>
      <c r="P10" s="526">
        <f t="shared" si="4"/>
        <v>2285.1001213071872</v>
      </c>
      <c r="Q10" s="526">
        <f t="shared" ref="Q10:U10" si="5">SUM(Q6:Q9)</f>
        <v>2410.8774679623925</v>
      </c>
      <c r="R10" s="526">
        <f t="shared" si="5"/>
        <v>2539.387107574019</v>
      </c>
      <c r="S10" s="526">
        <f t="shared" si="5"/>
        <v>2675.175568216885</v>
      </c>
      <c r="T10" s="526">
        <f t="shared" si="5"/>
        <v>2818.5548525623167</v>
      </c>
      <c r="U10" s="526">
        <f t="shared" si="5"/>
        <v>2970.0988228827096</v>
      </c>
      <c r="V10" s="154"/>
      <c r="W10" s="154"/>
      <c r="X10" s="154"/>
      <c r="Y10" s="153"/>
      <c r="AF10" s="154" t="s">
        <v>316</v>
      </c>
      <c r="AG10" s="839">
        <v>330</v>
      </c>
      <c r="AH10" s="839">
        <v>370</v>
      </c>
      <c r="AI10" s="844">
        <f t="shared" si="2"/>
        <v>350</v>
      </c>
      <c r="AJ10" s="839">
        <v>353.5</v>
      </c>
      <c r="AK10" s="839">
        <f>J88</f>
        <v>257</v>
      </c>
    </row>
    <row r="11" spans="1:52">
      <c r="A11" s="154" t="s">
        <v>633</v>
      </c>
      <c r="B11" s="154"/>
      <c r="C11" s="157">
        <f>C10/B10-1</f>
        <v>0.2218543046357615</v>
      </c>
      <c r="D11" s="157">
        <f>D10/C10-1</f>
        <v>5.4832881662149946E-2</v>
      </c>
      <c r="E11" s="157">
        <f>E10/D10-1</f>
        <v>5.4257086580457248E-2</v>
      </c>
      <c r="F11" s="157">
        <f>F10/E10-1</f>
        <v>0.13980030152974354</v>
      </c>
      <c r="G11" s="157">
        <f>G10/F10-1</f>
        <v>0.125839000312153</v>
      </c>
      <c r="H11" s="157">
        <f t="shared" ref="H11:U11" si="6">H10/G10-1</f>
        <v>0.24154064302127609</v>
      </c>
      <c r="I11" s="157">
        <f t="shared" si="6"/>
        <v>8.3740418977422459E-2</v>
      </c>
      <c r="J11" s="157">
        <f t="shared" si="6"/>
        <v>-0.19492185276299323</v>
      </c>
      <c r="K11" s="157">
        <f t="shared" si="6"/>
        <v>8.2120939793539627E-3</v>
      </c>
      <c r="L11" s="157">
        <f t="shared" si="6"/>
        <v>4.0997523620556642E-2</v>
      </c>
      <c r="M11" s="157">
        <f t="shared" si="6"/>
        <v>6.8295621892227931E-2</v>
      </c>
      <c r="N11" s="157">
        <f t="shared" si="6"/>
        <v>6.0550987562172809E-2</v>
      </c>
      <c r="O11" s="157">
        <f t="shared" si="6"/>
        <v>6.0531691216210826E-2</v>
      </c>
      <c r="P11" s="157">
        <f t="shared" si="6"/>
        <v>5.8887607889704041E-2</v>
      </c>
      <c r="Q11" s="157">
        <f t="shared" si="6"/>
        <v>5.5042378879772924E-2</v>
      </c>
      <c r="R11" s="157">
        <f t="shared" si="6"/>
        <v>5.3304094181210848E-2</v>
      </c>
      <c r="S11" s="157">
        <f t="shared" si="6"/>
        <v>5.3472926690799172E-2</v>
      </c>
      <c r="T11" s="157">
        <f t="shared" si="6"/>
        <v>5.3596214786381324E-2</v>
      </c>
      <c r="U11" s="157">
        <f t="shared" si="6"/>
        <v>5.3766549968905508E-2</v>
      </c>
      <c r="V11" s="154"/>
      <c r="W11" s="154"/>
      <c r="X11" s="154"/>
      <c r="Y11" s="153"/>
      <c r="AF11" s="337" t="s">
        <v>1028</v>
      </c>
      <c r="AG11" s="842">
        <v>3</v>
      </c>
      <c r="AH11" s="842">
        <v>4</v>
      </c>
      <c r="AI11" s="846">
        <f t="shared" si="2"/>
        <v>3.5</v>
      </c>
      <c r="AJ11" s="842">
        <f>3074.8/AJ8</f>
        <v>3.2651587554422852</v>
      </c>
      <c r="AK11" s="842">
        <f>Master!K124</f>
        <v>3.578954795261291</v>
      </c>
    </row>
    <row r="12" spans="1:52">
      <c r="A12" s="154" t="s">
        <v>634</v>
      </c>
      <c r="B12" s="154"/>
      <c r="C12" s="154"/>
      <c r="D12" s="154"/>
      <c r="E12" s="154"/>
      <c r="F12" s="154"/>
      <c r="G12" s="527">
        <v>0.161</v>
      </c>
      <c r="H12" s="527">
        <v>0.19500000000000001</v>
      </c>
      <c r="I12" s="527">
        <v>0.36899999999999999</v>
      </c>
      <c r="J12" s="527">
        <v>0.48099999999999998</v>
      </c>
      <c r="K12" s="528"/>
      <c r="L12" s="528"/>
      <c r="M12" s="528"/>
      <c r="N12" s="528"/>
      <c r="O12" s="528"/>
      <c r="P12" s="528"/>
      <c r="Q12" s="528"/>
      <c r="R12" s="528"/>
      <c r="S12" s="528"/>
      <c r="T12" s="528"/>
      <c r="U12" s="528"/>
      <c r="V12" s="154"/>
      <c r="W12" s="154"/>
      <c r="X12" s="154"/>
      <c r="Y12" s="153"/>
      <c r="AG12" s="523"/>
      <c r="AH12" s="523"/>
      <c r="AI12" s="523"/>
      <c r="AJ12" s="523"/>
      <c r="AK12" s="523"/>
    </row>
    <row r="13" spans="1:52">
      <c r="A13" s="530" t="s">
        <v>648</v>
      </c>
      <c r="B13" s="530"/>
      <c r="C13" s="530"/>
      <c r="D13" s="530"/>
      <c r="E13" s="530"/>
      <c r="F13" s="530"/>
      <c r="G13" s="531"/>
      <c r="H13" s="531"/>
      <c r="I13" s="531"/>
      <c r="J13" s="531"/>
      <c r="K13" s="531" t="s">
        <v>1187</v>
      </c>
      <c r="L13" s="531"/>
      <c r="M13" s="531"/>
      <c r="N13" s="154"/>
      <c r="O13" s="154"/>
      <c r="P13" s="154">
        <v>1700</v>
      </c>
      <c r="Q13" s="154">
        <v>1730</v>
      </c>
      <c r="R13" s="154">
        <v>1715</v>
      </c>
      <c r="S13" s="154"/>
      <c r="T13" s="154"/>
      <c r="U13" s="154"/>
      <c r="V13" s="154"/>
      <c r="W13" s="154"/>
      <c r="X13" s="748"/>
      <c r="Y13" s="153"/>
      <c r="AG13" s="523"/>
      <c r="AH13" s="523"/>
      <c r="AI13" s="523"/>
      <c r="AJ13" s="523"/>
      <c r="AK13" s="523"/>
    </row>
    <row r="14" spans="1:52">
      <c r="A14" s="530" t="s">
        <v>637</v>
      </c>
      <c r="B14" s="530"/>
      <c r="C14" s="530"/>
      <c r="D14" s="530"/>
      <c r="E14" s="530"/>
      <c r="F14" s="530"/>
      <c r="G14" s="531"/>
      <c r="H14" s="531"/>
      <c r="I14" s="531"/>
      <c r="J14" s="531"/>
      <c r="K14" s="531" cm="1">
        <f t="array" ref="K14">_xll.VAData("IHS_US", "FY-2025", "Revenue", "Consensus", "CD", "","","")</f>
        <v>1722.2748865193</v>
      </c>
      <c r="L14" s="531" cm="1">
        <f t="array" ref="L14">_xll.VAData("IHS_US", "FY-2026", "Revenue", "Consensus", "CD", "","","")</f>
        <v>1835.9446861127899</v>
      </c>
      <c r="M14" s="531" cm="1">
        <f t="array" ref="M14">_xll.VAData("IHS_US", "FY-2027", "Revenue", "Consensus", "CD", "","","")</f>
        <v>1977.4838089203199</v>
      </c>
      <c r="N14" s="154"/>
      <c r="O14" s="154"/>
      <c r="P14" s="467">
        <f>P13/1680-1</f>
        <v>1.1904761904761862E-2</v>
      </c>
      <c r="Q14" s="467">
        <f>Q13/1710-1</f>
        <v>1.1695906432748648E-2</v>
      </c>
      <c r="R14" s="467">
        <f>R13/1695-1</f>
        <v>1.1799410029498469E-2</v>
      </c>
      <c r="S14" s="154"/>
      <c r="T14" s="154"/>
      <c r="U14" s="154"/>
      <c r="V14" s="154"/>
      <c r="W14" s="154"/>
      <c r="X14" s="154"/>
      <c r="Y14" s="153"/>
      <c r="AG14" s="523"/>
      <c r="AH14" s="523"/>
      <c r="AI14" s="523"/>
      <c r="AJ14" s="523"/>
      <c r="AK14" s="523"/>
    </row>
    <row r="15" spans="1:52">
      <c r="A15" s="530" t="s">
        <v>638</v>
      </c>
      <c r="B15" s="530"/>
      <c r="C15" s="530"/>
      <c r="D15" s="530"/>
      <c r="E15" s="530"/>
      <c r="F15" s="530"/>
      <c r="G15" s="530"/>
      <c r="H15" s="532"/>
      <c r="I15" s="532"/>
      <c r="J15" s="532"/>
      <c r="K15" s="532">
        <f>K10/K14-1</f>
        <v>1.7435393293045998E-3</v>
      </c>
      <c r="L15" s="532">
        <f>L10/L14-1</f>
        <v>-2.1751652419627843E-2</v>
      </c>
      <c r="M15" s="532">
        <f>M10/M14-1</f>
        <v>-2.9742010131484586E-2</v>
      </c>
      <c r="N15" s="154"/>
      <c r="O15" s="154"/>
      <c r="P15" s="154"/>
      <c r="R15" s="154"/>
      <c r="S15" s="154"/>
      <c r="T15" s="154"/>
      <c r="U15" s="154"/>
      <c r="V15" s="154"/>
      <c r="W15" s="154"/>
      <c r="X15" s="154"/>
      <c r="Y15" s="153"/>
    </row>
    <row r="16" spans="1:52">
      <c r="A16" s="154"/>
      <c r="B16" s="154"/>
      <c r="C16" s="154"/>
      <c r="D16" s="154"/>
      <c r="E16" s="154"/>
      <c r="F16" s="154"/>
      <c r="G16" s="154"/>
      <c r="H16" s="157"/>
      <c r="I16" s="157"/>
      <c r="J16" s="157"/>
      <c r="K16" s="157"/>
      <c r="L16" s="157"/>
      <c r="M16" s="157"/>
      <c r="N16" s="157"/>
      <c r="O16" s="157"/>
      <c r="P16" s="157"/>
      <c r="Q16" s="157"/>
      <c r="R16" s="157"/>
      <c r="S16" s="157"/>
      <c r="T16" s="157"/>
      <c r="U16" s="157"/>
      <c r="V16" s="154"/>
      <c r="W16" s="154"/>
      <c r="X16" s="154"/>
      <c r="Y16" s="153"/>
    </row>
    <row r="17" spans="1:43" ht="15.75">
      <c r="A17" s="154" t="s">
        <v>956</v>
      </c>
      <c r="B17" s="154"/>
      <c r="C17" s="154"/>
      <c r="D17" s="154"/>
      <c r="E17" s="154"/>
      <c r="F17" s="154"/>
      <c r="G17" s="154"/>
      <c r="H17" s="154">
        <f>Nigeria!I61+SSA!I103+Latam!I83+MENA!I50</f>
        <v>151.4</v>
      </c>
      <c r="I17" s="154">
        <f>Nigeria!J61+SSA!J103+Latam!J83+MENA!J50</f>
        <v>56.800000000000004</v>
      </c>
      <c r="J17" s="154">
        <f>Nigeria!K61+SSA!K103+Latam!K83+MENA!K50</f>
        <v>0</v>
      </c>
      <c r="K17" s="154"/>
      <c r="L17" s="154"/>
      <c r="M17" s="154"/>
      <c r="N17" s="154"/>
      <c r="O17" s="154"/>
      <c r="P17" s="154"/>
      <c r="Q17" s="154"/>
      <c r="R17" s="154"/>
      <c r="S17" s="154"/>
      <c r="T17" s="154"/>
      <c r="U17" s="154"/>
      <c r="V17" s="154"/>
      <c r="W17" s="154"/>
      <c r="X17" s="154"/>
      <c r="Y17" s="153"/>
      <c r="AF17" s="848"/>
      <c r="AG17" s="1131" t="s">
        <v>1030</v>
      </c>
      <c r="AH17" s="1131"/>
      <c r="AI17" s="1131"/>
      <c r="AJ17" s="1132" t="s">
        <v>1031</v>
      </c>
      <c r="AK17" s="1133"/>
      <c r="AL17" s="1134"/>
      <c r="AM17" s="400" t="s">
        <v>1034</v>
      </c>
      <c r="AN17" s="849" t="s">
        <v>637</v>
      </c>
      <c r="AO17" s="850" t="s">
        <v>1032</v>
      </c>
      <c r="AP17" s="400" t="s">
        <v>798</v>
      </c>
      <c r="AQ17" s="848" t="s">
        <v>1032</v>
      </c>
    </row>
    <row r="18" spans="1:43" ht="15.75">
      <c r="A18" s="154" t="s">
        <v>957</v>
      </c>
      <c r="B18" s="154"/>
      <c r="C18" s="154"/>
      <c r="D18" s="154"/>
      <c r="E18" s="154"/>
      <c r="F18" s="154"/>
      <c r="G18" s="154"/>
      <c r="H18" s="154">
        <f>Nigeria!I62+SSA!I104+Latam!I84+MENA!I51</f>
        <v>-77.3</v>
      </c>
      <c r="I18" s="154">
        <f>Nigeria!J62+SSA!J104+Latam!J84+MENA!J51</f>
        <v>-615.70000000000005</v>
      </c>
      <c r="J18" s="154">
        <f>Nigeria!K62+SSA!K104+Latam!K84+MENA!K51</f>
        <v>-1435.7000000000003</v>
      </c>
      <c r="K18" s="154"/>
      <c r="L18" s="154"/>
      <c r="M18" s="154"/>
      <c r="N18" s="154"/>
      <c r="O18" s="154"/>
      <c r="P18" s="154"/>
      <c r="Q18" s="154"/>
      <c r="R18" s="154">
        <f>R36/R13</f>
        <v>0.58017492711370267</v>
      </c>
      <c r="S18" s="154"/>
      <c r="T18" s="154"/>
      <c r="U18" s="154"/>
      <c r="V18" s="154"/>
      <c r="W18" s="154"/>
      <c r="X18" s="154"/>
      <c r="Y18" s="153"/>
      <c r="AF18" s="848"/>
      <c r="AG18" s="400" t="s">
        <v>378</v>
      </c>
      <c r="AH18" s="400" t="s">
        <v>380</v>
      </c>
      <c r="AI18" s="400" t="s">
        <v>379</v>
      </c>
      <c r="AJ18" s="851" t="s">
        <v>378</v>
      </c>
      <c r="AK18" s="400" t="s">
        <v>380</v>
      </c>
      <c r="AL18" s="852" t="s">
        <v>379</v>
      </c>
      <c r="AM18" s="400" t="s">
        <v>1035</v>
      </c>
      <c r="AN18" s="851"/>
      <c r="AO18" s="852" t="s">
        <v>1036</v>
      </c>
      <c r="AP18" s="400"/>
      <c r="AQ18" s="400" t="s">
        <v>1033</v>
      </c>
    </row>
    <row r="19" spans="1:43" ht="15.75">
      <c r="A19" s="154" t="s">
        <v>958</v>
      </c>
      <c r="B19" s="154"/>
      <c r="C19" s="154"/>
      <c r="D19" s="154"/>
      <c r="E19" s="154"/>
      <c r="F19" s="154"/>
      <c r="G19" s="524"/>
      <c r="H19" s="524">
        <f>H10-H17-H18</f>
        <v>1887.1990000000001</v>
      </c>
      <c r="I19" s="524">
        <f>I10-I17-I18</f>
        <v>2684.4389999999994</v>
      </c>
      <c r="J19" s="524">
        <f>J10-J17-J18</f>
        <v>3146.9250000000002</v>
      </c>
      <c r="K19" s="154"/>
      <c r="L19" s="154"/>
      <c r="M19" s="154"/>
      <c r="N19" s="154"/>
      <c r="O19" s="154"/>
      <c r="P19" s="154"/>
      <c r="Q19" s="154"/>
      <c r="R19" s="154"/>
      <c r="S19" s="154"/>
      <c r="T19" s="154"/>
      <c r="U19" s="154"/>
      <c r="V19" s="154"/>
      <c r="X19" s="154"/>
      <c r="Y19" s="153"/>
      <c r="AF19" s="853" t="s">
        <v>170</v>
      </c>
      <c r="AG19" s="854">
        <v>1700</v>
      </c>
      <c r="AH19" s="854">
        <v>1730</v>
      </c>
      <c r="AI19" s="854">
        <f>(AG19+AH19)/2</f>
        <v>1715</v>
      </c>
      <c r="AJ19" s="855">
        <v>1670</v>
      </c>
      <c r="AK19" s="854">
        <v>1700</v>
      </c>
      <c r="AL19" s="856">
        <f>(AJ19+AK19)/2</f>
        <v>1685</v>
      </c>
      <c r="AM19" s="857">
        <f>AL19/AI19-1</f>
        <v>-1.7492711370262426E-2</v>
      </c>
      <c r="AN19" s="855">
        <v>1751.5</v>
      </c>
      <c r="AO19" s="858">
        <f>AL19/AN19-1</f>
        <v>-3.7967456465886396E-2</v>
      </c>
      <c r="AP19" s="854">
        <f>J10</f>
        <v>1711.2249999999999</v>
      </c>
      <c r="AQ19" s="857">
        <f>AL19/AP19-1</f>
        <v>-1.5325278674633624E-2</v>
      </c>
    </row>
    <row r="20" spans="1:43" ht="15.75">
      <c r="A20" s="154" t="s">
        <v>633</v>
      </c>
      <c r="B20" s="154"/>
      <c r="C20" s="154"/>
      <c r="D20" s="154"/>
      <c r="E20" s="154"/>
      <c r="F20" s="154"/>
      <c r="G20" s="165"/>
      <c r="H20" s="157">
        <f>H19/G10-1</f>
        <v>0.19463389313363688</v>
      </c>
      <c r="I20" s="157">
        <f>I19/H10-1</f>
        <v>0.36870461872463056</v>
      </c>
      <c r="J20" s="157">
        <f>J19/I10-1</f>
        <v>0.48053035018411827</v>
      </c>
      <c r="K20" s="154"/>
      <c r="L20" s="154"/>
      <c r="M20" s="154"/>
      <c r="N20" s="154"/>
      <c r="O20" s="154"/>
      <c r="P20" s="154"/>
      <c r="Q20" s="154"/>
      <c r="R20" s="154"/>
      <c r="S20" s="154"/>
      <c r="T20" s="154"/>
      <c r="U20" s="154"/>
      <c r="V20" s="154"/>
      <c r="W20" s="154"/>
      <c r="X20" s="154"/>
      <c r="Y20" s="153"/>
      <c r="AF20" s="399" t="s">
        <v>636</v>
      </c>
      <c r="AG20" s="859">
        <v>935</v>
      </c>
      <c r="AH20" s="859">
        <v>955</v>
      </c>
      <c r="AI20" s="859">
        <f t="shared" ref="AI20:AI25" si="7">(AG20+AH20)/2</f>
        <v>945</v>
      </c>
      <c r="AJ20" s="860">
        <v>900</v>
      </c>
      <c r="AK20" s="859">
        <v>920</v>
      </c>
      <c r="AL20" s="861">
        <f t="shared" ref="AL20:AL24" si="8">(AJ20+AK20)/2</f>
        <v>910</v>
      </c>
      <c r="AM20" s="862">
        <f t="shared" ref="AM20:AM24" si="9">AL20/AI20-1</f>
        <v>-3.703703703703709E-2</v>
      </c>
      <c r="AN20" s="860">
        <v>958.6</v>
      </c>
      <c r="AO20" s="863">
        <f>AL20/AN20-1</f>
        <v>-5.0698935948257917E-2</v>
      </c>
      <c r="AP20" s="859">
        <f>J32</f>
        <v>928.35399999999993</v>
      </c>
      <c r="AQ20" s="862">
        <f>AL20/AP20-1</f>
        <v>-1.9770475486721617E-2</v>
      </c>
    </row>
    <row r="21" spans="1:43" ht="15.75">
      <c r="A21" s="154"/>
      <c r="B21" s="154"/>
      <c r="C21" s="154"/>
      <c r="D21" s="154"/>
      <c r="E21" s="154"/>
      <c r="F21" s="154"/>
      <c r="G21" s="154"/>
      <c r="H21" s="154"/>
      <c r="I21" s="154"/>
      <c r="J21" s="154"/>
      <c r="K21" s="154"/>
      <c r="L21" s="154"/>
      <c r="M21" s="154"/>
      <c r="N21" s="154"/>
      <c r="O21" s="154"/>
      <c r="P21" s="154"/>
      <c r="Q21" s="154"/>
      <c r="R21" s="154"/>
      <c r="S21" s="154"/>
      <c r="T21" s="154"/>
      <c r="U21" s="154"/>
      <c r="V21" s="154"/>
      <c r="W21" s="154"/>
      <c r="X21" s="154"/>
      <c r="Y21" s="153"/>
      <c r="AF21" s="853" t="s">
        <v>907</v>
      </c>
      <c r="AG21" s="854">
        <v>285</v>
      </c>
      <c r="AH21" s="854">
        <v>305</v>
      </c>
      <c r="AI21" s="854">
        <f t="shared" si="7"/>
        <v>295</v>
      </c>
      <c r="AJ21" s="855">
        <v>250</v>
      </c>
      <c r="AK21" s="854">
        <v>270</v>
      </c>
      <c r="AL21" s="856">
        <f t="shared" si="8"/>
        <v>260</v>
      </c>
      <c r="AM21" s="857">
        <f t="shared" si="9"/>
        <v>-0.11864406779661019</v>
      </c>
      <c r="AN21" s="855"/>
      <c r="AO21" s="858"/>
      <c r="AP21" s="854"/>
      <c r="AQ21" s="857"/>
    </row>
    <row r="22" spans="1:43" ht="15.75">
      <c r="A22" s="154"/>
      <c r="B22" s="154"/>
      <c r="C22" s="154"/>
      <c r="D22" s="154"/>
      <c r="E22" s="154"/>
      <c r="F22" s="154"/>
      <c r="G22" s="154"/>
      <c r="H22" s="154"/>
      <c r="I22" s="154"/>
      <c r="J22" s="154"/>
      <c r="K22" s="154"/>
      <c r="L22" s="154"/>
      <c r="M22" s="154"/>
      <c r="N22" s="154"/>
      <c r="O22" s="154"/>
      <c r="P22" s="154"/>
      <c r="Q22" s="154"/>
      <c r="R22" s="154"/>
      <c r="S22" s="154"/>
      <c r="T22" s="154"/>
      <c r="U22" s="154"/>
      <c r="V22" s="154"/>
      <c r="W22" s="154"/>
      <c r="X22" s="154"/>
      <c r="Y22" s="153"/>
      <c r="AF22" s="853"/>
      <c r="AG22" s="854"/>
      <c r="AH22" s="854"/>
      <c r="AI22" s="854"/>
      <c r="AJ22" s="855"/>
      <c r="AK22" s="854"/>
      <c r="AL22" s="856"/>
      <c r="AM22" s="857"/>
      <c r="AN22" s="855"/>
      <c r="AO22" s="858"/>
      <c r="AP22" s="854"/>
      <c r="AQ22" s="857"/>
    </row>
    <row r="23" spans="1:43" ht="15.75">
      <c r="A23" s="154"/>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Y23" s="153"/>
      <c r="AF23" s="853"/>
      <c r="AG23" s="854"/>
      <c r="AH23" s="854"/>
      <c r="AI23" s="854"/>
      <c r="AJ23" s="855"/>
      <c r="AK23" s="854"/>
      <c r="AL23" s="856"/>
      <c r="AM23" s="857"/>
      <c r="AN23" s="855"/>
      <c r="AO23" s="858"/>
      <c r="AP23" s="854"/>
      <c r="AQ23" s="857"/>
    </row>
    <row r="24" spans="1:43" ht="15.75">
      <c r="A24" s="154"/>
      <c r="B24" s="154"/>
      <c r="C24" s="154"/>
      <c r="D24" s="154"/>
      <c r="E24" s="154"/>
      <c r="F24" s="154"/>
      <c r="G24" s="154"/>
      <c r="H24" s="154"/>
      <c r="I24" s="154"/>
      <c r="J24" s="154"/>
      <c r="L24" s="154"/>
      <c r="M24" s="154"/>
      <c r="N24" s="154"/>
      <c r="O24" s="154"/>
      <c r="P24" s="154"/>
      <c r="Q24" s="154"/>
      <c r="R24" s="154"/>
      <c r="S24" s="154"/>
      <c r="T24" s="154"/>
      <c r="U24" s="154"/>
      <c r="V24" s="154"/>
      <c r="W24" s="154"/>
      <c r="X24" s="154"/>
      <c r="Y24" s="153"/>
      <c r="AF24" s="399" t="s">
        <v>316</v>
      </c>
      <c r="AG24" s="859">
        <v>330</v>
      </c>
      <c r="AH24" s="859">
        <v>370</v>
      </c>
      <c r="AI24" s="859">
        <f t="shared" si="7"/>
        <v>350</v>
      </c>
      <c r="AJ24" s="860">
        <v>330</v>
      </c>
      <c r="AK24" s="859">
        <v>370</v>
      </c>
      <c r="AL24" s="861">
        <f t="shared" si="8"/>
        <v>350</v>
      </c>
      <c r="AM24" s="862">
        <f t="shared" si="9"/>
        <v>0</v>
      </c>
      <c r="AN24" s="860">
        <v>349.4</v>
      </c>
      <c r="AO24" s="863">
        <f>AL24/AN24-1</f>
        <v>1.7172295363481194E-3</v>
      </c>
      <c r="AP24" s="859">
        <f>J88</f>
        <v>257</v>
      </c>
      <c r="AQ24" s="862">
        <f>AL24/AP24-1</f>
        <v>0.36186770428015569</v>
      </c>
    </row>
    <row r="25" spans="1:43" ht="15.75">
      <c r="A25" s="154"/>
      <c r="B25" s="154"/>
      <c r="C25" s="154"/>
      <c r="D25" s="154"/>
      <c r="E25" s="154"/>
      <c r="F25" s="154"/>
      <c r="G25" s="154"/>
      <c r="H25" s="165"/>
      <c r="I25" s="165"/>
      <c r="J25" s="165"/>
      <c r="K25" s="165"/>
      <c r="L25" s="165"/>
      <c r="M25" s="165"/>
      <c r="N25" s="165"/>
      <c r="O25" s="165"/>
      <c r="P25" s="165"/>
      <c r="Q25" s="165"/>
      <c r="R25" s="165"/>
      <c r="S25" s="165"/>
      <c r="T25" s="165"/>
      <c r="U25" s="165"/>
      <c r="V25" s="154"/>
      <c r="W25" s="154"/>
      <c r="X25" s="154"/>
      <c r="Y25" s="153"/>
      <c r="AF25" s="853" t="s">
        <v>1028</v>
      </c>
      <c r="AG25" s="864">
        <v>3</v>
      </c>
      <c r="AH25" s="864">
        <v>4</v>
      </c>
      <c r="AI25" s="864">
        <f t="shared" si="7"/>
        <v>3.5</v>
      </c>
      <c r="AJ25" s="865">
        <v>3</v>
      </c>
      <c r="AK25" s="866">
        <v>4</v>
      </c>
      <c r="AL25" s="867">
        <f>(AJ25+AK25)/2</f>
        <v>3.5</v>
      </c>
      <c r="AM25" s="857">
        <f>AL25/AI25-1</f>
        <v>0</v>
      </c>
      <c r="AN25" s="865">
        <f>3550/AN20</f>
        <v>3.7033173377842687</v>
      </c>
      <c r="AO25" s="868">
        <f>AL25/AN25-1</f>
        <v>-5.4901408450704237E-2</v>
      </c>
      <c r="AP25" s="864">
        <f>Master!K124</f>
        <v>3.578954795261291</v>
      </c>
      <c r="AQ25" s="857"/>
    </row>
    <row r="26" spans="1:43">
      <c r="A26" s="984" t="s">
        <v>636</v>
      </c>
      <c r="B26" s="985">
        <f t="shared" ref="B26:P26" si="10">B2</f>
        <v>2016</v>
      </c>
      <c r="C26" s="985">
        <f t="shared" si="10"/>
        <v>2017</v>
      </c>
      <c r="D26" s="985">
        <f t="shared" si="10"/>
        <v>2018</v>
      </c>
      <c r="E26" s="985">
        <f t="shared" si="10"/>
        <v>2019</v>
      </c>
      <c r="F26" s="985">
        <f t="shared" si="10"/>
        <v>2020</v>
      </c>
      <c r="G26" s="985">
        <f t="shared" si="10"/>
        <v>2021</v>
      </c>
      <c r="H26" s="985">
        <f t="shared" si="10"/>
        <v>2022</v>
      </c>
      <c r="I26" s="985">
        <f t="shared" si="10"/>
        <v>2023</v>
      </c>
      <c r="J26" s="985">
        <f t="shared" si="10"/>
        <v>2024</v>
      </c>
      <c r="K26" s="985" t="str">
        <f t="shared" si="10"/>
        <v>2025E</v>
      </c>
      <c r="L26" s="985" t="str">
        <f t="shared" si="10"/>
        <v>2026E</v>
      </c>
      <c r="M26" s="985" t="str">
        <f t="shared" si="10"/>
        <v>2027E</v>
      </c>
      <c r="N26" s="985" t="str">
        <f t="shared" si="10"/>
        <v>2028E</v>
      </c>
      <c r="O26" s="985" t="str">
        <f t="shared" si="10"/>
        <v>2029E</v>
      </c>
      <c r="P26" s="985" t="str">
        <f t="shared" si="10"/>
        <v>2030E</v>
      </c>
      <c r="Q26" s="985" t="str">
        <f t="shared" ref="Q26:U26" si="11">Q2</f>
        <v>2031E</v>
      </c>
      <c r="R26" s="985" t="str">
        <f t="shared" si="11"/>
        <v>2032E</v>
      </c>
      <c r="S26" s="985" t="str">
        <f t="shared" si="11"/>
        <v>2033E</v>
      </c>
      <c r="T26" s="985" t="str">
        <f t="shared" si="11"/>
        <v>2034E</v>
      </c>
      <c r="U26" s="985" t="str">
        <f t="shared" si="11"/>
        <v>2035E</v>
      </c>
      <c r="V26" s="154"/>
      <c r="W26" s="154"/>
      <c r="X26" s="154"/>
      <c r="Y26" s="153"/>
    </row>
    <row r="27" spans="1:43">
      <c r="A27" s="154" t="s">
        <v>203</v>
      </c>
      <c r="B27" s="522">
        <v>285</v>
      </c>
      <c r="C27" s="522">
        <v>423</v>
      </c>
      <c r="D27" s="522">
        <v>489</v>
      </c>
      <c r="E27" s="522">
        <v>559.04899999999998</v>
      </c>
      <c r="F27" s="522">
        <v>701.27300000000002</v>
      </c>
      <c r="G27" s="522">
        <v>783.54399999999998</v>
      </c>
      <c r="H27" s="522">
        <v>802.822</v>
      </c>
      <c r="I27" s="522">
        <v>855.31700000000001</v>
      </c>
      <c r="J27" s="522">
        <v>588.03099999999995</v>
      </c>
      <c r="K27" s="523">
        <f>Nigeria!L70</f>
        <v>695.49961174308112</v>
      </c>
      <c r="L27" s="523">
        <f>Nigeria!M70</f>
        <v>754.41472097521614</v>
      </c>
      <c r="M27" s="523">
        <f>Nigeria!N70</f>
        <v>823.1792256565235</v>
      </c>
      <c r="N27" s="523">
        <f>Nigeria!O70</f>
        <v>880.42369290826207</v>
      </c>
      <c r="O27" s="523">
        <f>Nigeria!P70</f>
        <v>941.96439341985445</v>
      </c>
      <c r="P27" s="523">
        <f>Nigeria!Q70</f>
        <v>1005.1754533784143</v>
      </c>
      <c r="Q27" s="523">
        <f>Nigeria!R70</f>
        <v>1066.2952533383179</v>
      </c>
      <c r="R27" s="523">
        <f>Nigeria!S70</f>
        <v>1127.8203385281179</v>
      </c>
      <c r="S27" s="523">
        <f>Nigeria!T70</f>
        <v>1192.879406636338</v>
      </c>
      <c r="T27" s="523">
        <f>Nigeria!U70</f>
        <v>1261.6746449380164</v>
      </c>
      <c r="U27" s="523">
        <f>Nigeria!V70</f>
        <v>1334.4197677701791</v>
      </c>
      <c r="V27" s="154"/>
      <c r="W27" s="154"/>
      <c r="X27" s="154"/>
      <c r="Y27" s="153"/>
    </row>
    <row r="28" spans="1:43">
      <c r="A28" s="154" t="s">
        <v>272</v>
      </c>
      <c r="B28" s="522">
        <v>126</v>
      </c>
      <c r="C28" s="522">
        <v>145</v>
      </c>
      <c r="D28" s="522">
        <v>151</v>
      </c>
      <c r="E28" s="522">
        <v>165.626</v>
      </c>
      <c r="F28" s="522">
        <v>170.78399999999999</v>
      </c>
      <c r="G28" s="522">
        <v>190.654</v>
      </c>
      <c r="H28" s="522">
        <v>230.52099999999999</v>
      </c>
      <c r="I28" s="522">
        <v>257.072</v>
      </c>
      <c r="J28" s="522">
        <v>307.95400000000001</v>
      </c>
      <c r="K28" s="523">
        <f>SSA!L112</f>
        <v>287</v>
      </c>
      <c r="L28" s="523">
        <f>SSA!M112</f>
        <v>283.61324734007371</v>
      </c>
      <c r="M28" s="523">
        <f>SSA!N112</f>
        <v>302.84845092014854</v>
      </c>
      <c r="N28" s="523">
        <f>SSA!O112</f>
        <v>326.31283013754535</v>
      </c>
      <c r="O28" s="523">
        <f>SSA!P112</f>
        <v>351.03718832926666</v>
      </c>
      <c r="P28" s="523">
        <f>SSA!Q112</f>
        <v>377.59688916249604</v>
      </c>
      <c r="Q28" s="523">
        <f>SSA!R112</f>
        <v>406.26759317267806</v>
      </c>
      <c r="R28" s="523">
        <f>SSA!S112</f>
        <v>437.33554236542108</v>
      </c>
      <c r="S28" s="523">
        <f>SSA!T112</f>
        <v>470.85957368485356</v>
      </c>
      <c r="T28" s="523">
        <f>SSA!U112</f>
        <v>506.95780257918653</v>
      </c>
      <c r="U28" s="523">
        <f>SSA!V112</f>
        <v>545.92281109773853</v>
      </c>
      <c r="V28" s="154"/>
      <c r="W28" s="154"/>
      <c r="X28" s="154"/>
      <c r="Y28" s="153"/>
    </row>
    <row r="29" spans="1:43">
      <c r="A29" s="154" t="s">
        <v>160</v>
      </c>
      <c r="B29" s="523"/>
      <c r="C29" s="523"/>
      <c r="D29" s="523"/>
      <c r="E29" s="523"/>
      <c r="F29" s="522">
        <v>22.696000000000002</v>
      </c>
      <c r="G29" s="522">
        <v>42.688000000000002</v>
      </c>
      <c r="H29" s="522">
        <v>114.434</v>
      </c>
      <c r="I29" s="522">
        <v>145.75399999999999</v>
      </c>
      <c r="J29" s="522">
        <v>138.035</v>
      </c>
      <c r="K29" s="523">
        <f>Latam!L92</f>
        <v>139.15888525</v>
      </c>
      <c r="L29" s="523">
        <f>Latam!M92</f>
        <v>142.41837860249998</v>
      </c>
      <c r="M29" s="523">
        <f>Latam!N92</f>
        <v>146.46706160624996</v>
      </c>
      <c r="N29" s="523">
        <f>Latam!O92</f>
        <v>151.36394369928556</v>
      </c>
      <c r="O29" s="523">
        <f>Latam!P92</f>
        <v>156.42281836245769</v>
      </c>
      <c r="P29" s="523">
        <f>Latam!Q92</f>
        <v>161.6489979560908</v>
      </c>
      <c r="Q29" s="523">
        <f>Latam!R92</f>
        <v>167.04796778881567</v>
      </c>
      <c r="R29" s="523">
        <f>Latam!S92</f>
        <v>172.62539171334356</v>
      </c>
      <c r="S29" s="523">
        <f>Latam!T92</f>
        <v>178.38711790233316</v>
      </c>
      <c r="T29" s="523">
        <f>Latam!U92</f>
        <v>184.33918481012017</v>
      </c>
      <c r="U29" s="523">
        <f>Latam!V92</f>
        <v>190.48782732626228</v>
      </c>
      <c r="V29" s="154"/>
      <c r="W29" s="524"/>
      <c r="X29" s="154"/>
      <c r="Y29" s="153"/>
    </row>
    <row r="30" spans="1:43">
      <c r="A30" s="154" t="s">
        <v>273</v>
      </c>
      <c r="B30" s="523"/>
      <c r="C30" s="523"/>
      <c r="D30" s="523"/>
      <c r="E30" s="523"/>
      <c r="F30" s="522">
        <v>9.9369999999999994</v>
      </c>
      <c r="G30" s="522">
        <v>13.085000000000001</v>
      </c>
      <c r="H30" s="522">
        <v>16.021000000000001</v>
      </c>
      <c r="I30" s="522">
        <v>22.120999999999999</v>
      </c>
      <c r="J30" s="522">
        <v>27.561</v>
      </c>
      <c r="K30" s="523"/>
      <c r="L30" s="523"/>
      <c r="M30" s="523"/>
      <c r="N30" s="523"/>
      <c r="O30" s="523"/>
      <c r="P30" s="523"/>
      <c r="Q30" s="523"/>
      <c r="R30" s="523"/>
      <c r="S30" s="523"/>
      <c r="T30" s="523"/>
      <c r="U30" s="523"/>
      <c r="V30" s="154"/>
      <c r="W30" s="524"/>
      <c r="X30" s="154"/>
      <c r="Y30" s="153"/>
      <c r="AG30" s="46">
        <f t="shared" ref="AG30:AH30" si="12">AG20/AG19</f>
        <v>0.55000000000000004</v>
      </c>
      <c r="AH30" s="46">
        <f t="shared" si="12"/>
        <v>0.55202312138728327</v>
      </c>
      <c r="AI30" s="46">
        <f>AI20/AI19</f>
        <v>0.55102040816326525</v>
      </c>
      <c r="AJ30" s="46">
        <f t="shared" ref="AJ30:AP30" si="13">AJ20/AJ19</f>
        <v>0.53892215568862278</v>
      </c>
      <c r="AK30" s="46">
        <f t="shared" si="13"/>
        <v>0.54117647058823526</v>
      </c>
      <c r="AL30" s="869">
        <f t="shared" si="13"/>
        <v>0.5400593471810089</v>
      </c>
      <c r="AN30" s="46">
        <f t="shared" si="13"/>
        <v>0.54730231230373971</v>
      </c>
      <c r="AP30" s="46">
        <f t="shared" si="13"/>
        <v>0.54250843693845052</v>
      </c>
    </row>
    <row r="31" spans="1:43">
      <c r="A31" s="154" t="s">
        <v>715</v>
      </c>
      <c r="B31" s="522">
        <v>-28</v>
      </c>
      <c r="C31" s="522">
        <v>-41</v>
      </c>
      <c r="D31" s="522">
        <v>-89</v>
      </c>
      <c r="E31" s="522">
        <v>-56.061</v>
      </c>
      <c r="F31" s="533">
        <v>-85.676000000000002</v>
      </c>
      <c r="G31" s="533">
        <v>-103.575</v>
      </c>
      <c r="H31" s="533">
        <v>-132.41200000000001</v>
      </c>
      <c r="I31" s="533">
        <v>-147.72900000000001</v>
      </c>
      <c r="J31" s="533">
        <v>-133.227</v>
      </c>
      <c r="K31" s="534">
        <v>-123</v>
      </c>
      <c r="L31" s="534">
        <f>1.05*K31</f>
        <v>-129.15</v>
      </c>
      <c r="M31" s="534">
        <f t="shared" ref="M31:U31" si="14">1.05*L31</f>
        <v>-135.60750000000002</v>
      </c>
      <c r="N31" s="534">
        <f t="shared" si="14"/>
        <v>-142.38787500000004</v>
      </c>
      <c r="O31" s="534">
        <f t="shared" si="14"/>
        <v>-149.50726875000004</v>
      </c>
      <c r="P31" s="534">
        <f t="shared" si="14"/>
        <v>-156.98263218750006</v>
      </c>
      <c r="Q31" s="534">
        <f t="shared" si="14"/>
        <v>-164.83176379687507</v>
      </c>
      <c r="R31" s="534">
        <f t="shared" si="14"/>
        <v>-173.07335198671882</v>
      </c>
      <c r="S31" s="534">
        <f t="shared" si="14"/>
        <v>-181.72701958605478</v>
      </c>
      <c r="T31" s="534">
        <f t="shared" si="14"/>
        <v>-190.81337056535753</v>
      </c>
      <c r="U31" s="534">
        <f t="shared" si="14"/>
        <v>-200.3540390936254</v>
      </c>
      <c r="V31" s="154"/>
      <c r="W31" s="154"/>
      <c r="X31" s="154"/>
      <c r="Y31" s="153"/>
      <c r="AG31" s="46">
        <f>AG20/AH19</f>
        <v>0.54046242774566478</v>
      </c>
      <c r="AH31" s="46">
        <f>AH20/AG19</f>
        <v>0.56176470588235294</v>
      </c>
      <c r="AI31" s="46"/>
      <c r="AJ31" s="46">
        <f>AJ20/AK19</f>
        <v>0.52941176470588236</v>
      </c>
      <c r="AK31" s="46">
        <f>AK20/AJ19</f>
        <v>0.55089820359281438</v>
      </c>
      <c r="AL31" s="46"/>
    </row>
    <row r="32" spans="1:43">
      <c r="A32" s="525" t="s">
        <v>642</v>
      </c>
      <c r="B32" s="526">
        <f>SUM(B27:B31)</f>
        <v>383</v>
      </c>
      <c r="C32" s="526">
        <f>SUM(C27:C31)</f>
        <v>527</v>
      </c>
      <c r="D32" s="526">
        <f>SUM(D27:D31)</f>
        <v>551</v>
      </c>
      <c r="E32" s="526">
        <f>SUM(E27:E31)</f>
        <v>668.61399999999992</v>
      </c>
      <c r="F32" s="535">
        <f>SUM(F27:F31)</f>
        <v>819.01400000000001</v>
      </c>
      <c r="G32" s="535">
        <f t="shared" ref="G32:P32" si="15">SUM(G27:G31)</f>
        <v>926.39599999999996</v>
      </c>
      <c r="H32" s="535">
        <f t="shared" si="15"/>
        <v>1031.386</v>
      </c>
      <c r="I32" s="535">
        <f t="shared" si="15"/>
        <v>1132.5350000000001</v>
      </c>
      <c r="J32" s="535">
        <f t="shared" si="15"/>
        <v>928.35399999999993</v>
      </c>
      <c r="K32" s="535">
        <f t="shared" si="15"/>
        <v>998.65849699308114</v>
      </c>
      <c r="L32" s="535">
        <f t="shared" si="15"/>
        <v>1051.2963469177898</v>
      </c>
      <c r="M32" s="535">
        <f t="shared" si="15"/>
        <v>1136.8872381829219</v>
      </c>
      <c r="N32" s="535">
        <f t="shared" si="15"/>
        <v>1215.7125917450928</v>
      </c>
      <c r="O32" s="535">
        <f t="shared" si="15"/>
        <v>1299.9171313615789</v>
      </c>
      <c r="P32" s="535">
        <f t="shared" si="15"/>
        <v>1387.4387083095012</v>
      </c>
      <c r="Q32" s="535">
        <f t="shared" ref="Q32:U32" si="16">SUM(Q27:Q31)</f>
        <v>1474.7790505029366</v>
      </c>
      <c r="R32" s="535">
        <f t="shared" si="16"/>
        <v>1564.7079206201638</v>
      </c>
      <c r="S32" s="535">
        <f t="shared" si="16"/>
        <v>1660.3990786374698</v>
      </c>
      <c r="T32" s="535">
        <f t="shared" si="16"/>
        <v>1762.1582617619658</v>
      </c>
      <c r="U32" s="535">
        <f t="shared" si="16"/>
        <v>1870.4763671005544</v>
      </c>
      <c r="V32" s="154"/>
      <c r="W32" s="154"/>
      <c r="X32" s="154"/>
      <c r="Y32" s="154"/>
      <c r="Z32" s="154"/>
    </row>
    <row r="33" spans="1:41">
      <c r="A33" s="154" t="s">
        <v>15</v>
      </c>
      <c r="B33" s="467">
        <f t="shared" ref="B33:P33" si="17">B32/B10</f>
        <v>0.4227373068432671</v>
      </c>
      <c r="C33" s="467">
        <f t="shared" si="17"/>
        <v>0.47606142728093948</v>
      </c>
      <c r="D33" s="467">
        <f t="shared" si="17"/>
        <v>0.47186777425708654</v>
      </c>
      <c r="E33" s="467">
        <f t="shared" si="17"/>
        <v>0.54312232749769296</v>
      </c>
      <c r="F33" s="467">
        <f t="shared" si="17"/>
        <v>0.58369335456163884</v>
      </c>
      <c r="G33" s="467">
        <f t="shared" si="17"/>
        <v>0.58642679445221657</v>
      </c>
      <c r="H33" s="467">
        <f t="shared" si="17"/>
        <v>0.52586882469220642</v>
      </c>
      <c r="I33" s="467">
        <f t="shared" si="17"/>
        <v>0.5328224981992804</v>
      </c>
      <c r="J33" s="467">
        <f t="shared" si="17"/>
        <v>0.54250843693845052</v>
      </c>
      <c r="K33" s="592">
        <f t="shared" si="17"/>
        <v>0.57883926369570449</v>
      </c>
      <c r="L33" s="467">
        <f t="shared" si="17"/>
        <v>0.58535110135068658</v>
      </c>
      <c r="M33" s="467">
        <f t="shared" si="17"/>
        <v>0.59253939183415827</v>
      </c>
      <c r="N33" s="467">
        <f t="shared" si="17"/>
        <v>0.59744674336604575</v>
      </c>
      <c r="O33" s="467">
        <f t="shared" si="17"/>
        <v>0.60236579082360009</v>
      </c>
      <c r="P33" s="467">
        <f t="shared" si="17"/>
        <v>0.60716757894871554</v>
      </c>
      <c r="Q33" s="467">
        <f t="shared" ref="Q33:U33" si="18">Q32/Q10</f>
        <v>0.61171879122889616</v>
      </c>
      <c r="R33" s="467">
        <f t="shared" si="18"/>
        <v>0.61617542120822755</v>
      </c>
      <c r="S33" s="467">
        <f t="shared" si="18"/>
        <v>0.62066919957114974</v>
      </c>
      <c r="T33" s="467">
        <f t="shared" si="18"/>
        <v>0.62519920808353524</v>
      </c>
      <c r="U33" s="467">
        <f t="shared" si="18"/>
        <v>0.62976906784708031</v>
      </c>
      <c r="V33" s="154"/>
      <c r="W33" s="524"/>
      <c r="X33" s="154"/>
      <c r="Y33" s="153"/>
    </row>
    <row r="34" spans="1:41">
      <c r="A34" s="154" t="s">
        <v>633</v>
      </c>
      <c r="B34" s="154"/>
      <c r="C34" s="157">
        <f t="shared" ref="C34:O34" si="19">C32/B32-1</f>
        <v>0.37597911227154057</v>
      </c>
      <c r="D34" s="157">
        <f t="shared" si="19"/>
        <v>4.5540796963946972E-2</v>
      </c>
      <c r="E34" s="157">
        <f t="shared" si="19"/>
        <v>0.21345553539019946</v>
      </c>
      <c r="F34" s="157">
        <f t="shared" si="19"/>
        <v>0.22494294166738982</v>
      </c>
      <c r="G34" s="157">
        <f t="shared" si="19"/>
        <v>0.13111131189454639</v>
      </c>
      <c r="H34" s="157">
        <f t="shared" si="19"/>
        <v>0.11333166378093162</v>
      </c>
      <c r="I34" s="157">
        <f t="shared" si="19"/>
        <v>9.8070945310485325E-2</v>
      </c>
      <c r="J34" s="157">
        <f t="shared" si="19"/>
        <v>-0.18028670195623109</v>
      </c>
      <c r="K34" s="157">
        <f t="shared" si="19"/>
        <v>7.5730267756783709E-2</v>
      </c>
      <c r="L34" s="157">
        <f t="shared" si="19"/>
        <v>5.270855861458057E-2</v>
      </c>
      <c r="M34" s="157">
        <f t="shared" si="19"/>
        <v>8.1414618738159916E-2</v>
      </c>
      <c r="N34" s="157">
        <f t="shared" si="19"/>
        <v>6.9334363967491486E-2</v>
      </c>
      <c r="O34" s="157">
        <f t="shared" si="19"/>
        <v>6.9263525103095969E-2</v>
      </c>
      <c r="P34" s="157">
        <f t="shared" ref="P34:U34" si="20">P32/O32-1</f>
        <v>6.7328581827557743E-2</v>
      </c>
      <c r="Q34" s="157">
        <f t="shared" si="20"/>
        <v>6.2950775173235218E-2</v>
      </c>
      <c r="R34" s="157">
        <f t="shared" si="20"/>
        <v>6.0977859759100417E-2</v>
      </c>
      <c r="S34" s="157">
        <f t="shared" si="20"/>
        <v>6.1155923579257587E-2</v>
      </c>
      <c r="T34" s="157">
        <f t="shared" si="20"/>
        <v>6.1285979035835103E-2</v>
      </c>
      <c r="U34" s="157">
        <f t="shared" si="20"/>
        <v>6.1468999515561284E-2</v>
      </c>
      <c r="V34" s="154"/>
      <c r="W34" s="154"/>
      <c r="X34" s="154"/>
      <c r="Y34" s="153"/>
      <c r="AL34" s="108">
        <f>AL19/I10-1</f>
        <v>-0.20725989972425807</v>
      </c>
    </row>
    <row r="35" spans="1:41">
      <c r="A35" s="530" t="s">
        <v>648</v>
      </c>
      <c r="B35" s="530"/>
      <c r="C35" s="530"/>
      <c r="D35" s="530"/>
      <c r="E35" s="530"/>
      <c r="F35" s="530"/>
      <c r="G35" s="531"/>
      <c r="H35" s="531"/>
      <c r="I35" s="531"/>
      <c r="J35" s="531"/>
      <c r="K35" s="531" t="s">
        <v>1188</v>
      </c>
      <c r="L35" s="531"/>
      <c r="M35" s="531"/>
      <c r="N35" s="154"/>
      <c r="O35" s="154"/>
      <c r="Q35" s="154"/>
      <c r="R35" s="154"/>
      <c r="S35" s="154"/>
      <c r="T35" s="154"/>
      <c r="U35" s="154"/>
      <c r="V35" s="154"/>
      <c r="W35" s="154"/>
      <c r="X35" s="748"/>
      <c r="Y35" s="153"/>
    </row>
    <row r="36" spans="1:41" ht="15.75">
      <c r="A36" s="530" t="s">
        <v>637</v>
      </c>
      <c r="B36" s="530"/>
      <c r="C36" s="530"/>
      <c r="D36" s="530"/>
      <c r="E36" s="530"/>
      <c r="F36" s="530"/>
      <c r="G36" s="531"/>
      <c r="H36" s="531"/>
      <c r="I36" s="531"/>
      <c r="J36" s="531"/>
      <c r="K36" s="531" cm="1">
        <f t="array" ref="K36">_xll.VAData("IHS_US", "FY-2025", "Adjusted EBITDA", "Consensus", "CD", "","","")</f>
        <v>995.59516268575396</v>
      </c>
      <c r="L36" s="531" cm="1">
        <f t="array" ref="L36">_xll.VAData("IHS_US", "FY-2026", "Adjusted EBITDA", "Consensus", "CD", "","","")</f>
        <v>1043.2099968616801</v>
      </c>
      <c r="M36" s="531" cm="1">
        <f t="array" ref="M36">_xll.VAData("IHS_US", "FY-2027", "Adjusted EBITDA", "Consensus", "CD", "","","")</f>
        <v>1128.01600044461</v>
      </c>
      <c r="N36" s="154"/>
      <c r="O36" s="154"/>
      <c r="P36" s="154">
        <v>985</v>
      </c>
      <c r="Q36" s="154">
        <v>1005</v>
      </c>
      <c r="R36" s="154">
        <v>995</v>
      </c>
      <c r="S36" s="154"/>
      <c r="T36" s="154"/>
      <c r="U36" s="154"/>
      <c r="V36" s="154"/>
      <c r="W36" s="154"/>
      <c r="X36" s="154"/>
      <c r="Y36" s="153"/>
      <c r="AF36" s="995" t="s">
        <v>1103</v>
      </c>
      <c r="AG36" s="996" t="s">
        <v>648</v>
      </c>
      <c r="AH36" s="996" t="s">
        <v>1108</v>
      </c>
      <c r="AI36" s="996" t="s">
        <v>637</v>
      </c>
      <c r="AJ36" s="996" t="s">
        <v>1110</v>
      </c>
      <c r="AK36" s="996" t="s">
        <v>795</v>
      </c>
      <c r="AL36" s="996" t="s">
        <v>1111</v>
      </c>
    </row>
    <row r="37" spans="1:41" ht="15.75">
      <c r="A37" s="530" t="s">
        <v>638</v>
      </c>
      <c r="B37" s="530"/>
      <c r="C37" s="530"/>
      <c r="D37" s="530"/>
      <c r="E37" s="530"/>
      <c r="F37" s="530"/>
      <c r="G37" s="531"/>
      <c r="H37" s="536"/>
      <c r="I37" s="536"/>
      <c r="J37" s="536"/>
      <c r="K37" s="536">
        <f>K32/K36-1</f>
        <v>3.076887496182179E-3</v>
      </c>
      <c r="L37" s="536">
        <f t="shared" ref="L37:M37" si="21">L32/L36-1</f>
        <v>7.7514115858130506E-3</v>
      </c>
      <c r="M37" s="536">
        <f t="shared" si="21"/>
        <v>7.8644609073057481E-3</v>
      </c>
      <c r="N37" s="154"/>
      <c r="O37" s="154"/>
      <c r="P37" s="467">
        <f>P36/960-1</f>
        <v>2.6041666666666741E-2</v>
      </c>
      <c r="Q37" s="467">
        <f>Q36/980-1</f>
        <v>2.5510204081632626E-2</v>
      </c>
      <c r="R37" s="467">
        <f>R36/970-1</f>
        <v>2.5773195876288568E-2</v>
      </c>
      <c r="S37" s="154"/>
      <c r="T37" s="154"/>
      <c r="U37" s="154"/>
      <c r="V37" s="154"/>
      <c r="W37" s="154"/>
      <c r="X37" s="154"/>
      <c r="Y37" s="153"/>
      <c r="AF37" s="853" t="s">
        <v>170</v>
      </c>
      <c r="AG37" s="957" t="s">
        <v>1104</v>
      </c>
      <c r="AH37" s="958">
        <f>(1680+1710)/2</f>
        <v>1695</v>
      </c>
      <c r="AI37" s="958">
        <v>1698.3</v>
      </c>
      <c r="AJ37" s="958">
        <f>AI37-52.6</f>
        <v>1645.7</v>
      </c>
      <c r="AK37" s="958">
        <f>K10</f>
        <v>1725.2777405198199</v>
      </c>
      <c r="AL37" s="958">
        <f>AK37-K9</f>
        <v>1725.2777405198199</v>
      </c>
      <c r="AM37" s="953">
        <f>AH37/AJ37-1</f>
        <v>2.9956857264386016E-2</v>
      </c>
      <c r="AO37" s="953">
        <f>AH37/AI37-1</f>
        <v>-1.9431195901783438E-3</v>
      </c>
    </row>
    <row r="38" spans="1:41" ht="15.75">
      <c r="A38" s="154"/>
      <c r="B38" s="154"/>
      <c r="C38" s="154"/>
      <c r="D38" s="154"/>
      <c r="E38" s="154"/>
      <c r="F38" s="154"/>
      <c r="G38" s="154"/>
      <c r="H38" s="154"/>
      <c r="I38" s="537"/>
      <c r="J38" s="537"/>
      <c r="K38" s="537"/>
      <c r="L38" s="537"/>
      <c r="M38" s="537"/>
      <c r="N38" s="537"/>
      <c r="O38" s="537"/>
      <c r="P38" s="537"/>
      <c r="Q38" s="537"/>
      <c r="R38" s="537"/>
      <c r="S38" s="537"/>
      <c r="T38" s="537"/>
      <c r="U38" s="537"/>
      <c r="V38" s="154"/>
      <c r="W38" s="154"/>
      <c r="X38" s="154"/>
      <c r="Y38" s="153"/>
      <c r="AF38" s="399" t="s">
        <v>636</v>
      </c>
      <c r="AG38" s="401" t="s">
        <v>1105</v>
      </c>
      <c r="AH38" s="955">
        <f>(960+980)/2</f>
        <v>970</v>
      </c>
      <c r="AI38" s="955">
        <v>950.8</v>
      </c>
      <c r="AJ38" s="955">
        <f>AI38-32</f>
        <v>918.8</v>
      </c>
      <c r="AK38" s="955">
        <f>K32</f>
        <v>998.65849699308114</v>
      </c>
      <c r="AL38" s="955">
        <f>AK38-K30</f>
        <v>998.65849699308114</v>
      </c>
      <c r="AM38" s="953">
        <f>AH38/AJ38-1</f>
        <v>5.5724858511101427E-2</v>
      </c>
      <c r="AO38" s="953">
        <f>AH38/AI38-1</f>
        <v>2.0193521245267299E-2</v>
      </c>
    </row>
    <row r="39" spans="1:41" ht="15.75">
      <c r="A39" s="154" t="s">
        <v>296</v>
      </c>
      <c r="B39" s="154"/>
      <c r="C39" s="154"/>
      <c r="D39" s="154"/>
      <c r="E39" s="522">
        <v>16.024000000000001</v>
      </c>
      <c r="F39" s="522">
        <v>27.384</v>
      </c>
      <c r="G39" s="522">
        <v>32.826000000000001</v>
      </c>
      <c r="H39" s="522">
        <v>52.234000000000002</v>
      </c>
      <c r="I39" s="522">
        <v>61.616999999999997</v>
      </c>
      <c r="J39" s="522">
        <v>68.031000000000006</v>
      </c>
      <c r="K39" s="540">
        <f t="shared" ref="K39:P39" si="22">K45*K47</f>
        <v>63.818832</v>
      </c>
      <c r="L39" s="540">
        <f t="shared" si="22"/>
        <v>67.009773600000003</v>
      </c>
      <c r="M39" s="540">
        <f t="shared" si="22"/>
        <v>70.360262280000001</v>
      </c>
      <c r="N39" s="540">
        <f t="shared" si="22"/>
        <v>73.878275393999999</v>
      </c>
      <c r="O39" s="540">
        <f t="shared" si="22"/>
        <v>77.572189163700003</v>
      </c>
      <c r="P39" s="540">
        <f t="shared" si="22"/>
        <v>81.450798621884999</v>
      </c>
      <c r="Q39" s="540">
        <f t="shared" ref="Q39:U39" si="23">Q45*Q47</f>
        <v>85.523338552979268</v>
      </c>
      <c r="R39" s="540">
        <f t="shared" si="23"/>
        <v>89.799505480628227</v>
      </c>
      <c r="S39" s="540">
        <f t="shared" si="23"/>
        <v>94.289480754659635</v>
      </c>
      <c r="T39" s="540">
        <f t="shared" si="23"/>
        <v>99.003954792392619</v>
      </c>
      <c r="U39" s="540">
        <f t="shared" si="23"/>
        <v>103.95415253201226</v>
      </c>
      <c r="V39" s="154"/>
      <c r="W39" s="154"/>
      <c r="X39" s="154"/>
      <c r="Y39" s="153"/>
      <c r="AF39" s="853" t="s">
        <v>907</v>
      </c>
      <c r="AG39" s="957" t="s">
        <v>1106</v>
      </c>
      <c r="AH39" s="958">
        <f>(350+370)/2</f>
        <v>360</v>
      </c>
      <c r="AI39" s="958">
        <v>301.39999999999998</v>
      </c>
      <c r="AJ39" s="958"/>
      <c r="AK39" s="958"/>
      <c r="AL39" s="958"/>
      <c r="AM39" s="330">
        <f t="shared" ref="AM39:AM40" si="24">AH39/AI39-1</f>
        <v>0.19442601194426024</v>
      </c>
      <c r="AO39" s="953">
        <f>AH39/AI39-1</f>
        <v>0.19442601194426024</v>
      </c>
    </row>
    <row r="40" spans="1:41" ht="15.75">
      <c r="A40" s="154" t="s">
        <v>297</v>
      </c>
      <c r="B40" s="154"/>
      <c r="C40" s="154"/>
      <c r="D40" s="154"/>
      <c r="E40" s="522">
        <v>38.130000000000003</v>
      </c>
      <c r="F40" s="533">
        <v>54.088999999999999</v>
      </c>
      <c r="G40" s="533">
        <v>60.685000000000002</v>
      </c>
      <c r="H40" s="533">
        <v>88.614999999999995</v>
      </c>
      <c r="I40" s="533">
        <v>95.894999999999996</v>
      </c>
      <c r="J40" s="533">
        <v>95.382999999999996</v>
      </c>
      <c r="K40" s="541">
        <f t="shared" ref="K40:U40" si="25">J40*(1+K48)</f>
        <v>98.244489999999999</v>
      </c>
      <c r="L40" s="541">
        <f t="shared" si="25"/>
        <v>104.13915940000001</v>
      </c>
      <c r="M40" s="541">
        <f t="shared" si="25"/>
        <v>109.34611737000002</v>
      </c>
      <c r="N40" s="541">
        <f t="shared" si="25"/>
        <v>114.81342323850002</v>
      </c>
      <c r="O40" s="541">
        <f t="shared" si="25"/>
        <v>120.55409440042503</v>
      </c>
      <c r="P40" s="541">
        <f t="shared" si="25"/>
        <v>126.58179912044629</v>
      </c>
      <c r="Q40" s="541">
        <f t="shared" si="25"/>
        <v>132.91088907646861</v>
      </c>
      <c r="R40" s="541">
        <f t="shared" si="25"/>
        <v>139.55643353029205</v>
      </c>
      <c r="S40" s="541">
        <f t="shared" si="25"/>
        <v>146.53425520680668</v>
      </c>
      <c r="T40" s="541">
        <f t="shared" si="25"/>
        <v>153.86096796714702</v>
      </c>
      <c r="U40" s="541">
        <f t="shared" si="25"/>
        <v>161.55401636550437</v>
      </c>
      <c r="V40" s="154"/>
      <c r="W40" s="154"/>
      <c r="X40" s="154"/>
      <c r="Y40" s="153"/>
      <c r="AF40" s="399" t="s">
        <v>316</v>
      </c>
      <c r="AG40" s="401" t="s">
        <v>1107</v>
      </c>
      <c r="AH40" s="955">
        <f>(260+290)/2</f>
        <v>275</v>
      </c>
      <c r="AI40" s="955">
        <v>278.5</v>
      </c>
      <c r="AJ40" s="955"/>
      <c r="AK40" s="955">
        <f>K88</f>
        <v>258.79166107797295</v>
      </c>
      <c r="AL40" s="955"/>
      <c r="AM40" s="330">
        <f t="shared" si="24"/>
        <v>-1.2567324955116699E-2</v>
      </c>
      <c r="AO40" s="953">
        <f>AH40/AI40-1</f>
        <v>-1.2567324955116699E-2</v>
      </c>
    </row>
    <row r="41" spans="1:41" ht="15.75">
      <c r="A41" s="986" t="s">
        <v>1144</v>
      </c>
      <c r="B41" s="986"/>
      <c r="C41" s="986"/>
      <c r="D41" s="986"/>
      <c r="E41" s="987">
        <f t="shared" ref="E41:P41" si="26">E32-E39-E40</f>
        <v>614.45999999999992</v>
      </c>
      <c r="F41" s="987">
        <f t="shared" si="26"/>
        <v>737.54099999999994</v>
      </c>
      <c r="G41" s="987">
        <f t="shared" si="26"/>
        <v>832.88499999999999</v>
      </c>
      <c r="H41" s="987">
        <f t="shared" si="26"/>
        <v>890.53699999999992</v>
      </c>
      <c r="I41" s="987">
        <f t="shared" si="26"/>
        <v>975.02300000000014</v>
      </c>
      <c r="J41" s="987">
        <f t="shared" si="26"/>
        <v>764.93999999999983</v>
      </c>
      <c r="K41" s="987">
        <f t="shared" si="26"/>
        <v>836.59517499308106</v>
      </c>
      <c r="L41" s="987">
        <f t="shared" si="26"/>
        <v>880.14741391778978</v>
      </c>
      <c r="M41" s="987">
        <f t="shared" si="26"/>
        <v>957.180858532922</v>
      </c>
      <c r="N41" s="987">
        <f t="shared" si="26"/>
        <v>1027.0208931125928</v>
      </c>
      <c r="O41" s="987">
        <f t="shared" si="26"/>
        <v>1101.7908477974538</v>
      </c>
      <c r="P41" s="987">
        <f t="shared" si="26"/>
        <v>1179.4061105671699</v>
      </c>
      <c r="Q41" s="987">
        <f t="shared" ref="Q41:U41" si="27">Q32-Q39-Q40</f>
        <v>1256.3448228734887</v>
      </c>
      <c r="R41" s="987">
        <f t="shared" si="27"/>
        <v>1335.3519816092435</v>
      </c>
      <c r="S41" s="987">
        <f t="shared" si="27"/>
        <v>1419.5753426760034</v>
      </c>
      <c r="T41" s="987">
        <f t="shared" si="27"/>
        <v>1509.2933390024261</v>
      </c>
      <c r="U41" s="987">
        <f t="shared" si="27"/>
        <v>1604.9681982030377</v>
      </c>
      <c r="V41" s="154"/>
      <c r="W41" s="154"/>
      <c r="X41" s="154"/>
      <c r="Y41" s="153"/>
      <c r="AF41" s="853" t="s">
        <v>1028</v>
      </c>
      <c r="AG41" s="957" t="s">
        <v>980</v>
      </c>
      <c r="AH41" s="957" t="s">
        <v>1109</v>
      </c>
      <c r="AI41" s="959">
        <f>(3261.7+559.6+93.7+177-429.6)/AI38</f>
        <v>3.8519141775347072</v>
      </c>
      <c r="AJ41" s="959"/>
      <c r="AK41" s="959">
        <f>Master!L124</f>
        <v>3.0742022240562159</v>
      </c>
      <c r="AL41" s="959"/>
      <c r="AO41" s="953" t="e">
        <f>AH41/AI41-1</f>
        <v>#VALUE!</v>
      </c>
    </row>
    <row r="42" spans="1:41">
      <c r="A42" s="154" t="s">
        <v>357</v>
      </c>
      <c r="B42" s="154"/>
      <c r="C42" s="154"/>
      <c r="D42" s="154"/>
      <c r="E42" s="596">
        <f t="shared" ref="E42:P42" si="28">E41/E10</f>
        <v>0.49913245213865159</v>
      </c>
      <c r="F42" s="596">
        <f t="shared" si="28"/>
        <v>0.52562933041040283</v>
      </c>
      <c r="G42" s="596">
        <f t="shared" si="28"/>
        <v>0.52723250175662939</v>
      </c>
      <c r="H42" s="596">
        <f t="shared" si="28"/>
        <v>0.45405468518568554</v>
      </c>
      <c r="I42" s="596">
        <f t="shared" si="28"/>
        <v>0.4587180004695281</v>
      </c>
      <c r="J42" s="596">
        <f t="shared" si="28"/>
        <v>0.44701310464725552</v>
      </c>
      <c r="K42" s="596">
        <f t="shared" si="28"/>
        <v>0.48490463613181378</v>
      </c>
      <c r="L42" s="596">
        <f t="shared" si="28"/>
        <v>0.49005711814579767</v>
      </c>
      <c r="M42" s="596">
        <f t="shared" si="28"/>
        <v>0.49887741258921531</v>
      </c>
      <c r="N42" s="596">
        <f t="shared" si="28"/>
        <v>0.50471656880532023</v>
      </c>
      <c r="O42" s="596">
        <f t="shared" si="28"/>
        <v>0.5105564803662177</v>
      </c>
      <c r="P42" s="596">
        <f t="shared" si="28"/>
        <v>0.51612885561114619</v>
      </c>
      <c r="Q42" s="596">
        <f t="shared" ref="Q42:U42" si="29">Q41/Q10</f>
        <v>0.52111517054216649</v>
      </c>
      <c r="R42" s="596">
        <f t="shared" si="29"/>
        <v>0.52585601369180779</v>
      </c>
      <c r="S42" s="596">
        <f t="shared" si="29"/>
        <v>0.53064754311516416</v>
      </c>
      <c r="T42" s="596">
        <f t="shared" si="29"/>
        <v>0.53548482039664558</v>
      </c>
      <c r="U42" s="596">
        <f t="shared" si="29"/>
        <v>0.54037535244207546</v>
      </c>
      <c r="V42" s="154"/>
      <c r="W42" s="154"/>
      <c r="X42" s="154"/>
      <c r="Y42" s="153"/>
    </row>
    <row r="43" spans="1:41">
      <c r="A43" s="154" t="s">
        <v>633</v>
      </c>
      <c r="B43" s="154"/>
      <c r="C43" s="154"/>
      <c r="D43" s="154"/>
      <c r="E43" s="467"/>
      <c r="F43" s="467">
        <f>F41/E41-1</f>
        <v>0.20030758714969243</v>
      </c>
      <c r="G43" s="467">
        <f t="shared" ref="G43:U43" si="30">G41/F41-1</f>
        <v>0.12927281330800611</v>
      </c>
      <c r="H43" s="467">
        <f t="shared" si="30"/>
        <v>6.9219640166409357E-2</v>
      </c>
      <c r="I43" s="467">
        <f t="shared" si="30"/>
        <v>9.487084758971287E-2</v>
      </c>
      <c r="J43" s="467">
        <f t="shared" si="30"/>
        <v>-0.21546466083364213</v>
      </c>
      <c r="K43" s="467">
        <f t="shared" si="30"/>
        <v>9.3674242415197506E-2</v>
      </c>
      <c r="L43" s="467">
        <f t="shared" si="30"/>
        <v>5.2058917175883623E-2</v>
      </c>
      <c r="M43" s="467">
        <f t="shared" si="30"/>
        <v>8.7523343700158351E-2</v>
      </c>
      <c r="N43" s="467">
        <f t="shared" si="30"/>
        <v>7.2964303409404963E-2</v>
      </c>
      <c r="O43" s="467">
        <f t="shared" si="30"/>
        <v>7.2802759112578164E-2</v>
      </c>
      <c r="P43" s="467">
        <f t="shared" si="30"/>
        <v>7.0444642851112516E-2</v>
      </c>
      <c r="Q43" s="467">
        <f t="shared" si="30"/>
        <v>6.5235131153695169E-2</v>
      </c>
      <c r="R43" s="467">
        <f t="shared" si="30"/>
        <v>6.2886523904361669E-2</v>
      </c>
      <c r="S43" s="467">
        <f t="shared" si="30"/>
        <v>6.3072030615674679E-2</v>
      </c>
      <c r="T43" s="467">
        <f t="shared" si="30"/>
        <v>6.3200587971116606E-2</v>
      </c>
      <c r="U43" s="467">
        <f t="shared" si="30"/>
        <v>6.3390499863895444E-2</v>
      </c>
      <c r="V43" s="154"/>
      <c r="W43" s="154"/>
      <c r="X43" s="154"/>
      <c r="Y43" s="153"/>
    </row>
    <row r="44" spans="1:41" ht="15.75">
      <c r="A44" s="154"/>
      <c r="B44" s="154"/>
      <c r="C44" s="154"/>
      <c r="D44" s="154"/>
      <c r="E44" s="524"/>
      <c r="F44" s="524"/>
      <c r="G44" s="524"/>
      <c r="H44" s="524"/>
      <c r="I44" s="524"/>
      <c r="J44" s="524"/>
      <c r="K44" s="537"/>
      <c r="L44" s="537"/>
      <c r="M44" s="537"/>
      <c r="N44" s="537"/>
      <c r="O44" s="537"/>
      <c r="P44" s="537"/>
      <c r="Q44" s="537"/>
      <c r="R44" s="537"/>
      <c r="S44" s="537"/>
      <c r="T44" s="537"/>
      <c r="U44" s="537"/>
      <c r="V44" s="154"/>
      <c r="W44" s="154"/>
      <c r="X44" s="154"/>
      <c r="Y44" s="153"/>
      <c r="AG44" s="956" t="s">
        <v>1103</v>
      </c>
      <c r="AH44" s="956" t="s">
        <v>648</v>
      </c>
      <c r="AI44" s="956" t="s">
        <v>1108</v>
      </c>
      <c r="AJ44" s="956" t="s">
        <v>1110</v>
      </c>
      <c r="AK44" s="956" t="s">
        <v>1111</v>
      </c>
      <c r="AL44" s="138"/>
    </row>
    <row r="45" spans="1:41" ht="15.75">
      <c r="A45" s="154" t="s">
        <v>260</v>
      </c>
      <c r="B45" s="154"/>
      <c r="C45" s="154"/>
      <c r="D45" s="154"/>
      <c r="E45" s="522">
        <f>16.834+167.66</f>
        <v>184.494</v>
      </c>
      <c r="F45" s="522">
        <f>28.246+286.501</f>
        <v>314.74699999999996</v>
      </c>
      <c r="G45" s="522">
        <f>50.56+325.541</f>
        <v>376.101</v>
      </c>
      <c r="H45" s="522">
        <f>87.24+518.318</f>
        <v>605.55799999999999</v>
      </c>
      <c r="I45" s="522">
        <f>91.156+510.838</f>
        <v>601.99400000000003</v>
      </c>
      <c r="J45" s="522">
        <f>82.068+470.476</f>
        <v>552.54399999999998</v>
      </c>
      <c r="K45" s="523">
        <f t="shared" ref="K45:U45" si="31">J45*(1+K46)</f>
        <v>580.1712</v>
      </c>
      <c r="L45" s="523">
        <f t="shared" si="31"/>
        <v>609.17975999999999</v>
      </c>
      <c r="M45" s="523">
        <f t="shared" si="31"/>
        <v>639.63874799999996</v>
      </c>
      <c r="N45" s="523">
        <f t="shared" si="31"/>
        <v>671.62068539999996</v>
      </c>
      <c r="O45" s="523">
        <f t="shared" si="31"/>
        <v>705.20171966999999</v>
      </c>
      <c r="P45" s="523">
        <f t="shared" si="31"/>
        <v>740.46180565350005</v>
      </c>
      <c r="Q45" s="523">
        <f t="shared" si="31"/>
        <v>777.48489593617512</v>
      </c>
      <c r="R45" s="523">
        <f t="shared" si="31"/>
        <v>816.35914073298386</v>
      </c>
      <c r="S45" s="523">
        <f t="shared" si="31"/>
        <v>857.17709776963306</v>
      </c>
      <c r="T45" s="523">
        <f t="shared" si="31"/>
        <v>900.03595265811475</v>
      </c>
      <c r="U45" s="523">
        <f t="shared" si="31"/>
        <v>945.03775029102053</v>
      </c>
      <c r="V45" s="154"/>
      <c r="W45" s="154"/>
      <c r="X45" s="154"/>
      <c r="Y45" s="153"/>
      <c r="AG45" s="853" t="s">
        <v>170</v>
      </c>
      <c r="AH45" s="957" t="s">
        <v>1104</v>
      </c>
      <c r="AI45" s="958">
        <f>(1680+1710)/2</f>
        <v>1695</v>
      </c>
      <c r="AJ45" s="958">
        <v>1673</v>
      </c>
      <c r="AK45" s="958">
        <f>K18-K17</f>
        <v>0</v>
      </c>
      <c r="AL45" s="138"/>
    </row>
    <row r="46" spans="1:41" ht="15.75">
      <c r="A46" s="154" t="s">
        <v>300</v>
      </c>
      <c r="B46" s="154"/>
      <c r="C46" s="154"/>
      <c r="D46" s="154"/>
      <c r="E46" s="523"/>
      <c r="F46" s="544">
        <f>F45/E45-1</f>
        <v>0.70600127917439037</v>
      </c>
      <c r="G46" s="544">
        <f>G45/F45-1</f>
        <v>0.19493116693725443</v>
      </c>
      <c r="H46" s="544">
        <f>H45/G45-1</f>
        <v>0.61009409706435247</v>
      </c>
      <c r="I46" s="544">
        <f>I45/H45-1</f>
        <v>-5.8854808292516658E-3</v>
      </c>
      <c r="J46" s="544">
        <f>J45/I45-1</f>
        <v>-8.2143675850589903E-2</v>
      </c>
      <c r="K46" s="545">
        <v>0.05</v>
      </c>
      <c r="L46" s="545">
        <v>0.05</v>
      </c>
      <c r="M46" s="545">
        <f t="shared" ref="L46:U48" si="32">L46</f>
        <v>0.05</v>
      </c>
      <c r="N46" s="545">
        <f t="shared" si="32"/>
        <v>0.05</v>
      </c>
      <c r="O46" s="545">
        <f t="shared" si="32"/>
        <v>0.05</v>
      </c>
      <c r="P46" s="545">
        <f t="shared" si="32"/>
        <v>0.05</v>
      </c>
      <c r="Q46" s="545">
        <f t="shared" si="32"/>
        <v>0.05</v>
      </c>
      <c r="R46" s="545">
        <f t="shared" si="32"/>
        <v>0.05</v>
      </c>
      <c r="S46" s="545">
        <f t="shared" si="32"/>
        <v>0.05</v>
      </c>
      <c r="T46" s="545">
        <f t="shared" si="32"/>
        <v>0.05</v>
      </c>
      <c r="U46" s="545">
        <f t="shared" si="32"/>
        <v>0.05</v>
      </c>
      <c r="V46" s="154"/>
      <c r="W46" s="154"/>
      <c r="X46" s="154"/>
      <c r="Y46" s="153"/>
      <c r="AG46" s="399" t="s">
        <v>636</v>
      </c>
      <c r="AH46" s="401" t="s">
        <v>1105</v>
      </c>
      <c r="AI46" s="955">
        <f>(960+980)/2</f>
        <v>970</v>
      </c>
      <c r="AJ46" s="955">
        <v>937</v>
      </c>
      <c r="AK46" s="955">
        <f>K52-K38</f>
        <v>998.65849699308114</v>
      </c>
    </row>
    <row r="47" spans="1:41" ht="15.75">
      <c r="A47" s="154" t="s">
        <v>299</v>
      </c>
      <c r="B47" s="154"/>
      <c r="C47" s="154"/>
      <c r="D47" s="154"/>
      <c r="E47" s="159">
        <f t="shared" ref="E47:J47" si="33">E39/E45</f>
        <v>8.6853773022428915E-2</v>
      </c>
      <c r="F47" s="159">
        <f t="shared" si="33"/>
        <v>8.7003212103689637E-2</v>
      </c>
      <c r="G47" s="159">
        <f t="shared" si="33"/>
        <v>8.7279746663795094E-2</v>
      </c>
      <c r="H47" s="159">
        <f t="shared" si="33"/>
        <v>8.6257633455424587E-2</v>
      </c>
      <c r="I47" s="159">
        <f t="shared" si="33"/>
        <v>0.10235484074592105</v>
      </c>
      <c r="J47" s="159">
        <f t="shared" si="33"/>
        <v>0.12312322638559102</v>
      </c>
      <c r="K47" s="545">
        <v>0.11</v>
      </c>
      <c r="L47" s="545">
        <f t="shared" si="32"/>
        <v>0.11</v>
      </c>
      <c r="M47" s="545">
        <f t="shared" si="32"/>
        <v>0.11</v>
      </c>
      <c r="N47" s="545">
        <f t="shared" si="32"/>
        <v>0.11</v>
      </c>
      <c r="O47" s="545">
        <f t="shared" si="32"/>
        <v>0.11</v>
      </c>
      <c r="P47" s="545">
        <f t="shared" si="32"/>
        <v>0.11</v>
      </c>
      <c r="Q47" s="545">
        <f t="shared" si="32"/>
        <v>0.11</v>
      </c>
      <c r="R47" s="545">
        <f t="shared" si="32"/>
        <v>0.11</v>
      </c>
      <c r="S47" s="545">
        <f t="shared" si="32"/>
        <v>0.11</v>
      </c>
      <c r="T47" s="545">
        <f t="shared" si="32"/>
        <v>0.11</v>
      </c>
      <c r="U47" s="545">
        <f t="shared" si="32"/>
        <v>0.11</v>
      </c>
      <c r="V47" s="154"/>
      <c r="W47" s="154"/>
      <c r="X47" s="154"/>
      <c r="Y47" s="153"/>
      <c r="AG47" s="853" t="s">
        <v>907</v>
      </c>
      <c r="AH47" s="957" t="s">
        <v>1106</v>
      </c>
      <c r="AI47" s="958">
        <f>(350+370)/2</f>
        <v>360</v>
      </c>
      <c r="AJ47" s="958"/>
      <c r="AK47" s="958"/>
    </row>
    <row r="48" spans="1:41" ht="15.75">
      <c r="A48" s="154" t="s">
        <v>301</v>
      </c>
      <c r="B48" s="154"/>
      <c r="C48" s="154"/>
      <c r="D48" s="154"/>
      <c r="E48" s="154"/>
      <c r="F48" s="544">
        <f>F40/E40-1</f>
        <v>0.41854183057959604</v>
      </c>
      <c r="G48" s="544">
        <f>G40/F40-1</f>
        <v>0.12194716116031001</v>
      </c>
      <c r="H48" s="544">
        <f>H40/G40-1</f>
        <v>0.46024553019691838</v>
      </c>
      <c r="I48" s="544">
        <f>I40/H40-1</f>
        <v>8.2153134345201106E-2</v>
      </c>
      <c r="J48" s="544">
        <f>J40/I40-1</f>
        <v>-5.3391730538610016E-3</v>
      </c>
      <c r="K48" s="545">
        <v>0.03</v>
      </c>
      <c r="L48" s="545">
        <v>0.06</v>
      </c>
      <c r="M48" s="545">
        <v>0.05</v>
      </c>
      <c r="N48" s="545">
        <f t="shared" si="32"/>
        <v>0.05</v>
      </c>
      <c r="O48" s="545">
        <f t="shared" si="32"/>
        <v>0.05</v>
      </c>
      <c r="P48" s="545">
        <f t="shared" si="32"/>
        <v>0.05</v>
      </c>
      <c r="Q48" s="545">
        <f t="shared" si="32"/>
        <v>0.05</v>
      </c>
      <c r="R48" s="545">
        <f t="shared" si="32"/>
        <v>0.05</v>
      </c>
      <c r="S48" s="545">
        <f t="shared" si="32"/>
        <v>0.05</v>
      </c>
      <c r="T48" s="545">
        <f t="shared" si="32"/>
        <v>0.05</v>
      </c>
      <c r="U48" s="545">
        <f t="shared" si="32"/>
        <v>0.05</v>
      </c>
      <c r="V48" s="154"/>
      <c r="W48" s="154"/>
      <c r="X48" s="154"/>
      <c r="Y48" s="153"/>
      <c r="AG48" s="399" t="s">
        <v>316</v>
      </c>
      <c r="AH48" s="401" t="s">
        <v>1107</v>
      </c>
      <c r="AI48" s="955">
        <f>(260+290)/2</f>
        <v>275</v>
      </c>
      <c r="AJ48" s="955">
        <v>278.5</v>
      </c>
      <c r="AK48" s="955">
        <f>K96</f>
        <v>0</v>
      </c>
    </row>
    <row r="49" spans="1:38" ht="15.75">
      <c r="A49" s="154"/>
      <c r="B49" s="154"/>
      <c r="C49" s="154"/>
      <c r="D49" s="154"/>
      <c r="E49" s="524"/>
      <c r="F49" s="524"/>
      <c r="G49" s="524"/>
      <c r="H49" s="524"/>
      <c r="I49" s="524"/>
      <c r="J49" s="524"/>
      <c r="K49" s="537"/>
      <c r="L49" s="537"/>
      <c r="M49" s="537"/>
      <c r="N49" s="537"/>
      <c r="O49" s="537"/>
      <c r="P49" s="537"/>
      <c r="Q49" s="537"/>
      <c r="R49" s="537"/>
      <c r="S49" s="537"/>
      <c r="T49" s="537"/>
      <c r="U49" s="537"/>
      <c r="V49" s="154"/>
      <c r="W49" s="154"/>
      <c r="X49" s="154"/>
      <c r="Y49" s="153"/>
      <c r="AG49" s="853" t="s">
        <v>1028</v>
      </c>
      <c r="AH49" s="957" t="s">
        <v>980</v>
      </c>
      <c r="AI49" s="957" t="s">
        <v>1109</v>
      </c>
      <c r="AJ49" s="959">
        <f>(3261.7+559.6+93.7+177-429.6)/AJ46</f>
        <v>3.9086446104589112</v>
      </c>
      <c r="AK49" s="959">
        <f>Master!L131</f>
        <v>0</v>
      </c>
    </row>
    <row r="50" spans="1:38">
      <c r="A50" s="154"/>
      <c r="B50" s="154"/>
      <c r="C50" s="154"/>
      <c r="D50" s="154"/>
      <c r="E50" s="524"/>
      <c r="F50" s="524"/>
      <c r="G50" s="524"/>
      <c r="H50" s="524"/>
      <c r="I50" s="524"/>
      <c r="J50" s="524"/>
      <c r="K50" s="537"/>
      <c r="L50" s="537"/>
      <c r="M50" s="537"/>
      <c r="N50" s="537"/>
      <c r="O50" s="537"/>
      <c r="P50" s="537"/>
      <c r="Q50" s="537"/>
      <c r="R50" s="537"/>
      <c r="S50" s="537"/>
      <c r="T50" s="537"/>
      <c r="U50" s="537"/>
      <c r="V50" s="154"/>
      <c r="W50" s="154"/>
      <c r="X50" s="154"/>
      <c r="Y50" s="153"/>
    </row>
    <row r="51" spans="1:38">
      <c r="A51" s="154"/>
      <c r="B51" s="154"/>
      <c r="C51" s="154"/>
      <c r="D51" s="154"/>
      <c r="E51" s="524"/>
      <c r="F51" s="524"/>
      <c r="G51" s="524"/>
      <c r="H51" s="524"/>
      <c r="I51" s="524"/>
      <c r="J51" s="524"/>
      <c r="K51" s="537"/>
      <c r="L51" s="537"/>
      <c r="M51" s="537"/>
      <c r="N51" s="537"/>
      <c r="O51" s="537"/>
      <c r="P51" s="537"/>
      <c r="Q51" s="537"/>
      <c r="R51" s="537"/>
      <c r="S51" s="537"/>
      <c r="T51" s="537"/>
      <c r="U51" s="537"/>
      <c r="V51" s="154"/>
      <c r="W51" s="154"/>
      <c r="X51" s="154"/>
      <c r="Y51" s="153"/>
    </row>
    <row r="52" spans="1:38">
      <c r="A52" s="154" t="s">
        <v>288</v>
      </c>
      <c r="B52" s="154"/>
      <c r="C52" s="154"/>
      <c r="D52" s="154"/>
      <c r="E52" s="523">
        <f t="shared" ref="E52:P52" si="34">E32</f>
        <v>668.61399999999992</v>
      </c>
      <c r="F52" s="523">
        <f t="shared" si="34"/>
        <v>819.01400000000001</v>
      </c>
      <c r="G52" s="523">
        <f t="shared" si="34"/>
        <v>926.39599999999996</v>
      </c>
      <c r="H52" s="523">
        <f t="shared" si="34"/>
        <v>1031.386</v>
      </c>
      <c r="I52" s="523">
        <f t="shared" si="34"/>
        <v>1132.5350000000001</v>
      </c>
      <c r="J52" s="523">
        <f t="shared" si="34"/>
        <v>928.35399999999993</v>
      </c>
      <c r="K52" s="523">
        <f t="shared" si="34"/>
        <v>998.65849699308114</v>
      </c>
      <c r="L52" s="523">
        <f t="shared" si="34"/>
        <v>1051.2963469177898</v>
      </c>
      <c r="M52" s="523">
        <f t="shared" si="34"/>
        <v>1136.8872381829219</v>
      </c>
      <c r="N52" s="523">
        <f t="shared" si="34"/>
        <v>1215.7125917450928</v>
      </c>
      <c r="O52" s="523">
        <f t="shared" si="34"/>
        <v>1299.9171313615789</v>
      </c>
      <c r="P52" s="523">
        <f t="shared" si="34"/>
        <v>1387.4387083095012</v>
      </c>
      <c r="Q52" s="523">
        <f t="shared" ref="Q52:U52" si="35">Q32</f>
        <v>1474.7790505029366</v>
      </c>
      <c r="R52" s="523">
        <f t="shared" si="35"/>
        <v>1564.7079206201638</v>
      </c>
      <c r="S52" s="523">
        <f t="shared" si="35"/>
        <v>1660.3990786374698</v>
      </c>
      <c r="T52" s="523">
        <f t="shared" si="35"/>
        <v>1762.1582617619658</v>
      </c>
      <c r="U52" s="523">
        <f t="shared" si="35"/>
        <v>1870.4763671005544</v>
      </c>
      <c r="V52" s="154"/>
      <c r="W52" s="154"/>
      <c r="X52" s="154"/>
      <c r="Y52" s="153"/>
    </row>
    <row r="53" spans="1:38">
      <c r="A53" s="154" t="s">
        <v>289</v>
      </c>
      <c r="B53" s="154"/>
      <c r="C53" s="154"/>
      <c r="D53" s="154"/>
      <c r="E53" s="548">
        <v>-5.819</v>
      </c>
      <c r="F53" s="548">
        <v>0.76400000000000001</v>
      </c>
      <c r="G53" s="548">
        <v>2.4990000000000001</v>
      </c>
      <c r="H53" s="548">
        <v>-3.3820000000000001</v>
      </c>
      <c r="I53" s="548">
        <v>3.806</v>
      </c>
      <c r="J53" s="548">
        <v>-20.163</v>
      </c>
      <c r="K53" s="523"/>
      <c r="L53" s="523"/>
      <c r="M53" s="523"/>
      <c r="N53" s="523"/>
      <c r="O53" s="523"/>
      <c r="P53" s="523"/>
      <c r="Q53" s="523"/>
      <c r="R53" s="523"/>
      <c r="S53" s="523"/>
      <c r="T53" s="523"/>
      <c r="U53" s="523"/>
      <c r="V53" s="154"/>
      <c r="W53" s="154"/>
      <c r="X53" s="154"/>
      <c r="Y53" s="153"/>
    </row>
    <row r="54" spans="1:38">
      <c r="A54" s="154" t="s">
        <v>290</v>
      </c>
      <c r="B54" s="154"/>
      <c r="C54" s="154"/>
      <c r="D54" s="154"/>
      <c r="E54" s="548">
        <v>3.6070000000000002</v>
      </c>
      <c r="F54" s="548">
        <v>14.987</v>
      </c>
      <c r="G54" s="548">
        <v>6.8609999999999998</v>
      </c>
      <c r="H54" s="548">
        <v>2.0920000000000001</v>
      </c>
      <c r="I54" s="548">
        <v>8.3000000000000004E-2</v>
      </c>
      <c r="J54" s="548">
        <v>7.2999999999999995E-2</v>
      </c>
      <c r="K54" s="523"/>
      <c r="L54" s="523"/>
      <c r="M54" s="523"/>
      <c r="N54" s="523"/>
      <c r="O54" s="523"/>
      <c r="P54" s="523"/>
      <c r="Q54" s="523"/>
      <c r="R54" s="523"/>
      <c r="S54" s="523"/>
      <c r="T54" s="523"/>
      <c r="U54" s="523"/>
      <c r="V54" s="154"/>
      <c r="W54" s="154"/>
      <c r="X54" s="154"/>
      <c r="Y54" s="153"/>
    </row>
    <row r="55" spans="1:38">
      <c r="A55" s="154" t="s">
        <v>291</v>
      </c>
      <c r="B55" s="154"/>
      <c r="C55" s="154"/>
      <c r="D55" s="154"/>
      <c r="E55" s="548">
        <v>-44.585999999999999</v>
      </c>
      <c r="F55" s="548">
        <v>-31.533000000000001</v>
      </c>
      <c r="G55" s="548">
        <v>-61.81</v>
      </c>
      <c r="H55" s="548">
        <v>-52.334000000000003</v>
      </c>
      <c r="I55" s="548">
        <v>-47.991999999999997</v>
      </c>
      <c r="J55" s="548">
        <v>-1.081</v>
      </c>
      <c r="K55" s="523"/>
      <c r="L55" s="523"/>
      <c r="M55" s="523"/>
      <c r="N55" s="523"/>
      <c r="O55" s="523"/>
      <c r="P55" s="523"/>
      <c r="Q55" s="523"/>
      <c r="R55" s="523"/>
      <c r="S55" s="523"/>
      <c r="T55" s="523"/>
      <c r="U55" s="523"/>
      <c r="V55" s="154"/>
      <c r="W55" s="154"/>
      <c r="X55" s="154"/>
      <c r="Y55" s="153"/>
    </row>
    <row r="56" spans="1:38">
      <c r="A56" s="154" t="s">
        <v>875</v>
      </c>
      <c r="B56" s="154"/>
      <c r="C56" s="154"/>
      <c r="D56" s="154"/>
      <c r="E56" s="548"/>
      <c r="F56" s="548"/>
      <c r="G56" s="548"/>
      <c r="H56" s="548">
        <v>-121.596</v>
      </c>
      <c r="I56" s="548">
        <v>0</v>
      </c>
      <c r="J56" s="548">
        <v>-87.894000000000005</v>
      </c>
      <c r="K56" s="523"/>
      <c r="L56" s="523"/>
      <c r="M56" s="523"/>
      <c r="N56" s="523"/>
      <c r="O56" s="523"/>
      <c r="P56" s="523"/>
      <c r="Q56" s="523"/>
      <c r="R56" s="523"/>
      <c r="S56" s="523"/>
      <c r="T56" s="523"/>
      <c r="U56" s="523"/>
      <c r="V56" s="154"/>
      <c r="W56" s="154"/>
      <c r="X56" s="154"/>
      <c r="Y56" s="153"/>
    </row>
    <row r="57" spans="1:38">
      <c r="A57" s="154" t="s">
        <v>292</v>
      </c>
      <c r="B57" s="154"/>
      <c r="C57" s="154"/>
      <c r="D57" s="154"/>
      <c r="E57" s="548">
        <v>-3.7450000000000001</v>
      </c>
      <c r="F57" s="548">
        <v>-13.727</v>
      </c>
      <c r="G57" s="548">
        <v>-15.779</v>
      </c>
      <c r="H57" s="548">
        <v>-20.850999999999999</v>
      </c>
      <c r="I57" s="548">
        <v>-2.4319999999999999</v>
      </c>
      <c r="J57" s="548">
        <v>-1.28</v>
      </c>
      <c r="K57" s="523"/>
      <c r="L57" s="523"/>
      <c r="M57" s="523"/>
      <c r="N57" s="523"/>
      <c r="O57" s="523"/>
      <c r="P57" s="523"/>
      <c r="Q57" s="523"/>
      <c r="R57" s="523"/>
      <c r="S57" s="523"/>
      <c r="T57" s="523"/>
      <c r="U57" s="523"/>
      <c r="V57" s="154"/>
      <c r="W57" s="154"/>
      <c r="X57" s="154"/>
      <c r="Y57" s="153"/>
    </row>
    <row r="58" spans="1:38">
      <c r="A58" s="154" t="s">
        <v>293</v>
      </c>
      <c r="B58" s="154"/>
      <c r="C58" s="154"/>
      <c r="D58" s="154"/>
      <c r="E58" s="548">
        <v>-21.603999999999999</v>
      </c>
      <c r="F58" s="548">
        <v>-27.594000000000001</v>
      </c>
      <c r="G58" s="548">
        <v>-51.113</v>
      </c>
      <c r="H58" s="548">
        <v>-38.156999999999996</v>
      </c>
      <c r="I58" s="548">
        <v>-87.695999999999998</v>
      </c>
      <c r="J58" s="548">
        <v>-17.654</v>
      </c>
      <c r="K58" s="523"/>
      <c r="L58" s="523"/>
      <c r="M58" s="523"/>
      <c r="N58" s="523"/>
      <c r="O58" s="523"/>
      <c r="P58" s="523"/>
      <c r="Q58" s="523"/>
      <c r="R58" s="523"/>
      <c r="S58" s="523"/>
      <c r="T58" s="523"/>
      <c r="U58" s="523"/>
      <c r="V58" s="154"/>
      <c r="W58" s="154"/>
      <c r="X58" s="154"/>
      <c r="Y58" s="153"/>
    </row>
    <row r="59" spans="1:38">
      <c r="A59" s="154" t="s">
        <v>639</v>
      </c>
      <c r="B59" s="154"/>
      <c r="C59" s="154"/>
      <c r="D59" s="154"/>
      <c r="E59" s="548"/>
      <c r="F59" s="548"/>
      <c r="G59" s="548">
        <v>2.6709999999999998</v>
      </c>
      <c r="H59" s="548">
        <v>0</v>
      </c>
      <c r="I59" s="548"/>
      <c r="J59" s="548"/>
      <c r="K59" s="523"/>
      <c r="L59" s="523"/>
      <c r="M59" s="523"/>
      <c r="N59" s="523"/>
      <c r="O59" s="523"/>
      <c r="P59" s="523"/>
      <c r="Q59" s="523"/>
      <c r="R59" s="523"/>
      <c r="S59" s="523"/>
      <c r="T59" s="523"/>
      <c r="U59" s="523"/>
      <c r="V59" s="154"/>
      <c r="W59" s="529"/>
      <c r="X59" s="154"/>
      <c r="Y59" s="153"/>
      <c r="AJ59">
        <v>628.79999999999995</v>
      </c>
      <c r="AK59">
        <v>1000</v>
      </c>
      <c r="AL59">
        <v>92.3</v>
      </c>
    </row>
    <row r="60" spans="1:38">
      <c r="A60" s="154" t="s">
        <v>294</v>
      </c>
      <c r="B60" s="154"/>
      <c r="C60" s="154"/>
      <c r="D60" s="154"/>
      <c r="E60" s="548">
        <v>-1.0780000000000001</v>
      </c>
      <c r="F60" s="548">
        <v>-12.651999999999999</v>
      </c>
      <c r="G60" s="548">
        <v>-22.152999999999999</v>
      </c>
      <c r="H60" s="548">
        <v>0</v>
      </c>
      <c r="I60" s="548"/>
      <c r="J60" s="548"/>
      <c r="K60" s="523"/>
      <c r="L60" s="523"/>
      <c r="M60" s="523"/>
      <c r="N60" s="523"/>
      <c r="O60" s="523"/>
      <c r="P60" s="523"/>
      <c r="Q60" s="523"/>
      <c r="R60" s="523"/>
      <c r="S60" s="523"/>
      <c r="T60" s="523"/>
      <c r="U60" s="523"/>
      <c r="V60" s="154"/>
      <c r="W60" s="154"/>
      <c r="X60" s="154"/>
      <c r="Y60" s="153"/>
      <c r="AJ60">
        <v>315.60000000000002</v>
      </c>
      <c r="AK60">
        <v>499.8</v>
      </c>
      <c r="AL60">
        <v>145</v>
      </c>
    </row>
    <row r="61" spans="1:38">
      <c r="A61" s="154" t="s">
        <v>8</v>
      </c>
      <c r="B61" s="154"/>
      <c r="C61" s="154"/>
      <c r="D61" s="154"/>
      <c r="E61" s="548">
        <v>-16.931999999999999</v>
      </c>
      <c r="F61" s="548">
        <v>-0.31</v>
      </c>
      <c r="G61" s="548">
        <v>-15.752000000000001</v>
      </c>
      <c r="H61" s="548">
        <v>-4.8730000000000002</v>
      </c>
      <c r="I61" s="548">
        <v>-19.016999999999999</v>
      </c>
      <c r="J61" s="548">
        <v>-14.374000000000001</v>
      </c>
      <c r="K61" s="523"/>
      <c r="L61" s="523"/>
      <c r="M61" s="523"/>
      <c r="N61" s="523"/>
      <c r="O61" s="523"/>
      <c r="P61" s="523"/>
      <c r="Q61" s="523"/>
      <c r="R61" s="523"/>
      <c r="S61" s="523"/>
      <c r="T61" s="523"/>
      <c r="U61" s="523"/>
      <c r="V61" s="154"/>
      <c r="W61" s="154"/>
      <c r="X61" s="154"/>
      <c r="Y61" s="153"/>
      <c r="AJ61">
        <v>126.3</v>
      </c>
      <c r="AK61">
        <v>52.6</v>
      </c>
      <c r="AL61">
        <v>5.9</v>
      </c>
    </row>
    <row r="62" spans="1:38">
      <c r="A62" s="154" t="s">
        <v>295</v>
      </c>
      <c r="B62" s="154"/>
      <c r="C62" s="154"/>
      <c r="D62" s="154"/>
      <c r="E62" s="548">
        <v>-351.05399999999997</v>
      </c>
      <c r="F62" s="548">
        <v>-8.3420000000000005</v>
      </c>
      <c r="G62" s="548">
        <v>-11.78</v>
      </c>
      <c r="H62" s="548">
        <v>-13.265000000000001</v>
      </c>
      <c r="I62" s="548">
        <v>-13.37</v>
      </c>
      <c r="J62" s="548">
        <v>-27.94</v>
      </c>
      <c r="K62" s="523"/>
      <c r="L62" s="523"/>
      <c r="M62" s="523"/>
      <c r="N62" s="523"/>
      <c r="O62" s="523"/>
      <c r="P62" s="523"/>
      <c r="Q62" s="523"/>
      <c r="R62" s="523"/>
      <c r="S62" s="523"/>
      <c r="T62" s="523"/>
      <c r="U62" s="523"/>
      <c r="V62" s="154"/>
      <c r="W62" s="154"/>
      <c r="X62" s="154"/>
      <c r="Y62" s="153"/>
      <c r="AJ62">
        <v>-133.6</v>
      </c>
      <c r="AK62">
        <v>173.2</v>
      </c>
      <c r="AL62">
        <v>123.7</v>
      </c>
    </row>
    <row r="63" spans="1:38">
      <c r="A63" s="154" t="s">
        <v>666</v>
      </c>
      <c r="B63" s="154"/>
      <c r="C63" s="154"/>
      <c r="D63" s="154"/>
      <c r="E63" s="548"/>
      <c r="F63" s="548"/>
      <c r="G63" s="548">
        <v>11.212999999999999</v>
      </c>
      <c r="H63" s="548">
        <v>2.5840000000000001</v>
      </c>
      <c r="I63" s="548">
        <f>0.083+0.404+1</f>
        <v>1.4870000000000001</v>
      </c>
      <c r="J63" s="548">
        <v>83.837999999999994</v>
      </c>
      <c r="K63" s="523"/>
      <c r="L63" s="523"/>
      <c r="M63" s="523"/>
      <c r="N63" s="523"/>
      <c r="O63" s="523"/>
      <c r="P63" s="523"/>
      <c r="Q63" s="523"/>
      <c r="R63" s="523"/>
      <c r="S63" s="523"/>
      <c r="T63" s="523"/>
      <c r="U63" s="523"/>
      <c r="V63" s="154"/>
      <c r="W63" s="154"/>
      <c r="X63" s="154"/>
      <c r="Y63" s="153"/>
      <c r="AK63">
        <f>SUM(AK59:AK62)</f>
        <v>1725.6</v>
      </c>
      <c r="AL63">
        <v>0.8</v>
      </c>
    </row>
    <row r="64" spans="1:38">
      <c r="A64" s="525" t="s">
        <v>9</v>
      </c>
      <c r="B64" s="525"/>
      <c r="C64" s="525"/>
      <c r="D64" s="525"/>
      <c r="E64" s="526">
        <f t="shared" ref="E64:J64" si="36">SUM(E52:E63)</f>
        <v>227.40299999999991</v>
      </c>
      <c r="F64" s="526">
        <f t="shared" si="36"/>
        <v>740.60699999999997</v>
      </c>
      <c r="G64" s="526">
        <f t="shared" si="36"/>
        <v>771.25299999999993</v>
      </c>
      <c r="H64" s="526">
        <f t="shared" si="36"/>
        <v>781.60399999999981</v>
      </c>
      <c r="I64" s="526">
        <f t="shared" si="36"/>
        <v>967.40400000000011</v>
      </c>
      <c r="J64" s="526">
        <f t="shared" si="36"/>
        <v>841.87899999999979</v>
      </c>
      <c r="K64" s="526">
        <f t="shared" ref="K64:P64" si="37">K65*K10</f>
        <v>911.47335616621649</v>
      </c>
      <c r="L64" s="526">
        <f t="shared" si="37"/>
        <v>960.53683122051427</v>
      </c>
      <c r="M64" s="526">
        <f t="shared" si="37"/>
        <v>1039.9292449184634</v>
      </c>
      <c r="N64" s="526">
        <f t="shared" si="37"/>
        <v>1112.8836962364248</v>
      </c>
      <c r="O64" s="526">
        <f t="shared" si="37"/>
        <v>1190.8638289018763</v>
      </c>
      <c r="P64" s="526">
        <f t="shared" si="37"/>
        <v>1271.9635177354742</v>
      </c>
      <c r="Q64" s="526">
        <f t="shared" ref="Q64:U64" si="38">Q65*Q10</f>
        <v>1352.94783073812</v>
      </c>
      <c r="R64" s="526">
        <f t="shared" si="38"/>
        <v>1436.3825980427916</v>
      </c>
      <c r="S64" s="526">
        <f t="shared" si="38"/>
        <v>1525.2118254933446</v>
      </c>
      <c r="T64" s="526">
        <f t="shared" si="38"/>
        <v>1619.7254835619474</v>
      </c>
      <c r="U64" s="526">
        <f t="shared" si="38"/>
        <v>1720.3854698142347</v>
      </c>
      <c r="V64" s="154"/>
      <c r="W64" s="154"/>
      <c r="X64" s="154"/>
      <c r="Y64" s="153"/>
      <c r="AJ64">
        <f>SUM(AJ59:AJ63)</f>
        <v>937.1</v>
      </c>
      <c r="AK64">
        <f>AK63-AK61</f>
        <v>1673</v>
      </c>
      <c r="AL64">
        <f>SUM(AL59:AL63)</f>
        <v>367.70000000000005</v>
      </c>
    </row>
    <row r="65" spans="1:38">
      <c r="A65" s="154" t="s">
        <v>357</v>
      </c>
      <c r="B65" s="154"/>
      <c r="C65" s="154"/>
      <c r="D65" s="154"/>
      <c r="E65" s="596">
        <f t="shared" ref="E65:J65" si="39">E64/E10</f>
        <v>0.18472189729792951</v>
      </c>
      <c r="F65" s="596">
        <f t="shared" si="39"/>
        <v>0.52781440151429848</v>
      </c>
      <c r="G65" s="596">
        <f t="shared" si="39"/>
        <v>0.48821823982579304</v>
      </c>
      <c r="H65" s="596">
        <f t="shared" si="39"/>
        <v>0.39851343420865443</v>
      </c>
      <c r="I65" s="596">
        <f t="shared" si="39"/>
        <v>0.45513349790335544</v>
      </c>
      <c r="J65" s="596">
        <f t="shared" si="39"/>
        <v>0.49197446273868128</v>
      </c>
      <c r="K65" s="594">
        <f t="shared" ref="K65:U65" si="40">K33-J33+J65</f>
        <v>0.52830528949593525</v>
      </c>
      <c r="L65" s="594">
        <f t="shared" si="40"/>
        <v>0.53481712715091734</v>
      </c>
      <c r="M65" s="594">
        <f t="shared" si="40"/>
        <v>0.54200541763438903</v>
      </c>
      <c r="N65" s="594">
        <f t="shared" si="40"/>
        <v>0.54691276916627651</v>
      </c>
      <c r="O65" s="594">
        <f t="shared" si="40"/>
        <v>0.55183181662383085</v>
      </c>
      <c r="P65" s="594">
        <f t="shared" si="40"/>
        <v>0.5566336047489463</v>
      </c>
      <c r="Q65" s="594">
        <f t="shared" si="40"/>
        <v>0.56118481702912693</v>
      </c>
      <c r="R65" s="594">
        <f t="shared" si="40"/>
        <v>0.56564144700845831</v>
      </c>
      <c r="S65" s="594">
        <f t="shared" si="40"/>
        <v>0.57013522537138051</v>
      </c>
      <c r="T65" s="594">
        <f t="shared" si="40"/>
        <v>0.574665233883766</v>
      </c>
      <c r="U65" s="594">
        <f t="shared" si="40"/>
        <v>0.57923509364731107</v>
      </c>
      <c r="V65" s="154"/>
      <c r="W65" s="154"/>
      <c r="X65" s="154"/>
      <c r="Y65" s="153"/>
    </row>
    <row r="66" spans="1:38">
      <c r="A66" s="154" t="s">
        <v>633</v>
      </c>
      <c r="B66" s="154"/>
      <c r="C66" s="154"/>
      <c r="D66" s="154"/>
      <c r="E66" s="467"/>
      <c r="F66" s="467">
        <f>F64/E64-1</f>
        <v>2.2568039999472314</v>
      </c>
      <c r="G66" s="467">
        <f t="shared" ref="G66:U66" si="41">G64/F64-1</f>
        <v>4.1379571081558764E-2</v>
      </c>
      <c r="H66" s="467">
        <f t="shared" si="41"/>
        <v>1.3421017487127873E-2</v>
      </c>
      <c r="I66" s="467">
        <f t="shared" si="41"/>
        <v>0.23771628599648964</v>
      </c>
      <c r="J66" s="467">
        <f t="shared" si="41"/>
        <v>-0.12975447693001096</v>
      </c>
      <c r="K66" s="467">
        <f t="shared" si="41"/>
        <v>8.2665509136368387E-2</v>
      </c>
      <c r="L66" s="467">
        <f t="shared" si="41"/>
        <v>5.3828753986474798E-2</v>
      </c>
      <c r="M66" s="467">
        <f t="shared" si="41"/>
        <v>8.265421076781454E-2</v>
      </c>
      <c r="N66" s="467">
        <f t="shared" si="41"/>
        <v>7.0153283672372835E-2</v>
      </c>
      <c r="O66" s="467">
        <f t="shared" si="41"/>
        <v>7.007033432978349E-2</v>
      </c>
      <c r="P66" s="467">
        <f t="shared" si="41"/>
        <v>6.8101563642571694E-2</v>
      </c>
      <c r="Q66" s="467">
        <f t="shared" si="41"/>
        <v>6.3668738822655335E-2</v>
      </c>
      <c r="R66" s="467">
        <f t="shared" si="41"/>
        <v>6.16688725234531E-2</v>
      </c>
      <c r="S66" s="467">
        <f t="shared" si="41"/>
        <v>6.1842316644319828E-2</v>
      </c>
      <c r="T66" s="467">
        <f t="shared" si="41"/>
        <v>6.1967561809344929E-2</v>
      </c>
      <c r="U66" s="467">
        <f t="shared" si="41"/>
        <v>6.2146324962996546E-2</v>
      </c>
      <c r="V66" s="154"/>
      <c r="W66" s="154"/>
      <c r="X66" s="154"/>
      <c r="Y66" s="153"/>
    </row>
    <row r="67" spans="1:38">
      <c r="A67" s="154"/>
      <c r="B67" s="154"/>
      <c r="C67" s="154"/>
      <c r="D67" s="154"/>
      <c r="E67" s="537"/>
      <c r="F67" s="154"/>
      <c r="G67" s="154"/>
      <c r="H67" s="154"/>
      <c r="I67" s="154"/>
      <c r="J67" s="154"/>
      <c r="K67" s="154"/>
      <c r="L67" s="154"/>
      <c r="M67" s="154"/>
      <c r="N67" s="154"/>
      <c r="O67" s="154"/>
      <c r="P67" s="154"/>
      <c r="Q67" s="154"/>
      <c r="R67" s="154"/>
      <c r="S67" s="154"/>
      <c r="T67" s="154"/>
      <c r="U67" s="154"/>
      <c r="V67" s="154"/>
      <c r="W67" s="154"/>
      <c r="X67" s="154"/>
      <c r="Y67" s="153"/>
      <c r="AL67">
        <f>AL64-AL61</f>
        <v>361.80000000000007</v>
      </c>
    </row>
    <row r="68" spans="1:38">
      <c r="A68" s="160" t="s">
        <v>640</v>
      </c>
      <c r="B68" s="160"/>
      <c r="C68" s="160"/>
      <c r="D68" s="160"/>
      <c r="E68" s="535">
        <f t="shared" ref="E68:P68" si="42">E64-E39-E40</f>
        <v>173.24899999999991</v>
      </c>
      <c r="F68" s="535">
        <f t="shared" si="42"/>
        <v>659.13400000000001</v>
      </c>
      <c r="G68" s="535">
        <f t="shared" si="42"/>
        <v>677.74199999999996</v>
      </c>
      <c r="H68" s="535">
        <f t="shared" si="42"/>
        <v>640.75499999999977</v>
      </c>
      <c r="I68" s="535">
        <f t="shared" si="42"/>
        <v>809.89200000000017</v>
      </c>
      <c r="J68" s="535">
        <f t="shared" si="42"/>
        <v>678.46499999999969</v>
      </c>
      <c r="K68" s="535">
        <f t="shared" si="42"/>
        <v>749.41003416621641</v>
      </c>
      <c r="L68" s="535">
        <f t="shared" si="42"/>
        <v>789.38789822051422</v>
      </c>
      <c r="M68" s="535">
        <f t="shared" si="42"/>
        <v>860.22286526846335</v>
      </c>
      <c r="N68" s="535">
        <f t="shared" si="42"/>
        <v>924.19199760392485</v>
      </c>
      <c r="O68" s="535">
        <f t="shared" si="42"/>
        <v>992.73754533775138</v>
      </c>
      <c r="P68" s="535">
        <f t="shared" si="42"/>
        <v>1063.9309199931429</v>
      </c>
      <c r="Q68" s="535">
        <f t="shared" ref="Q68:U68" si="43">Q64-Q39-Q40</f>
        <v>1134.5136031086722</v>
      </c>
      <c r="R68" s="535">
        <f t="shared" si="43"/>
        <v>1207.0266590318715</v>
      </c>
      <c r="S68" s="535">
        <f t="shared" si="43"/>
        <v>1284.3880895318782</v>
      </c>
      <c r="T68" s="535">
        <f t="shared" si="43"/>
        <v>1366.8605608024079</v>
      </c>
      <c r="U68" s="535">
        <f t="shared" si="43"/>
        <v>1454.877300916718</v>
      </c>
      <c r="V68" s="154"/>
      <c r="W68" s="154"/>
      <c r="X68" s="154"/>
      <c r="Y68" s="153"/>
    </row>
    <row r="69" spans="1:38">
      <c r="A69" s="154" t="s">
        <v>357</v>
      </c>
      <c r="B69" s="154"/>
      <c r="C69" s="154"/>
      <c r="D69" s="154"/>
      <c r="E69" s="596">
        <f t="shared" ref="E69:P69" si="44">E68/E10</f>
        <v>0.14073202193888817</v>
      </c>
      <c r="F69" s="596">
        <f t="shared" si="44"/>
        <v>0.46975037736306252</v>
      </c>
      <c r="G69" s="596">
        <f t="shared" si="44"/>
        <v>0.42902394713020581</v>
      </c>
      <c r="H69" s="596">
        <f t="shared" si="44"/>
        <v>0.32669929470213349</v>
      </c>
      <c r="I69" s="596">
        <f t="shared" si="44"/>
        <v>0.38102900017360314</v>
      </c>
      <c r="J69" s="596">
        <f t="shared" si="44"/>
        <v>0.39647913044748628</v>
      </c>
      <c r="K69" s="596">
        <f t="shared" si="44"/>
        <v>0.4343706619320446</v>
      </c>
      <c r="L69" s="596">
        <f t="shared" si="44"/>
        <v>0.43952314394602848</v>
      </c>
      <c r="M69" s="596">
        <f t="shared" si="44"/>
        <v>0.44834343838944601</v>
      </c>
      <c r="N69" s="596">
        <f t="shared" si="44"/>
        <v>0.45418259460555105</v>
      </c>
      <c r="O69" s="596">
        <f t="shared" si="44"/>
        <v>0.46002250616644863</v>
      </c>
      <c r="P69" s="596">
        <f t="shared" si="44"/>
        <v>0.46559488141137695</v>
      </c>
      <c r="Q69" s="596">
        <f t="shared" ref="Q69:U69" si="45">Q68/Q10</f>
        <v>0.47058119634239726</v>
      </c>
      <c r="R69" s="596">
        <f t="shared" si="45"/>
        <v>0.47532203949203861</v>
      </c>
      <c r="S69" s="596">
        <f t="shared" si="45"/>
        <v>0.48011356891539492</v>
      </c>
      <c r="T69" s="596">
        <f t="shared" si="45"/>
        <v>0.48495084619687651</v>
      </c>
      <c r="U69" s="596">
        <f t="shared" si="45"/>
        <v>0.48984137824230628</v>
      </c>
      <c r="V69" s="154"/>
      <c r="W69" s="154"/>
      <c r="X69" s="154"/>
      <c r="Y69" s="153"/>
    </row>
    <row r="70" spans="1:38">
      <c r="A70" s="154" t="s">
        <v>633</v>
      </c>
      <c r="B70" s="154"/>
      <c r="C70" s="154"/>
      <c r="D70" s="154"/>
      <c r="E70" s="467"/>
      <c r="F70" s="467">
        <f>F68/E68-1</f>
        <v>2.8045472123937243</v>
      </c>
      <c r="G70" s="467">
        <f t="shared" ref="G70:U70" si="46">G68/F68-1</f>
        <v>2.8230981864082239E-2</v>
      </c>
      <c r="H70" s="467">
        <f t="shared" si="46"/>
        <v>-5.4573864390874638E-2</v>
      </c>
      <c r="I70" s="467">
        <f t="shared" si="46"/>
        <v>0.26396516609312526</v>
      </c>
      <c r="J70" s="467">
        <f t="shared" si="46"/>
        <v>-0.16227719251455808</v>
      </c>
      <c r="K70" s="467">
        <f t="shared" si="46"/>
        <v>0.10456697717084418</v>
      </c>
      <c r="L70" s="467">
        <f t="shared" si="46"/>
        <v>5.3345781657136104E-2</v>
      </c>
      <c r="M70" s="467">
        <f t="shared" si="46"/>
        <v>8.9734042297366923E-2</v>
      </c>
      <c r="N70" s="467">
        <f t="shared" si="46"/>
        <v>7.4363441054891899E-2</v>
      </c>
      <c r="O70" s="467">
        <f t="shared" si="46"/>
        <v>7.4168081861278656E-2</v>
      </c>
      <c r="P70" s="467">
        <f t="shared" si="46"/>
        <v>7.1714195750670395E-2</v>
      </c>
      <c r="Q70" s="467">
        <f t="shared" si="46"/>
        <v>6.6341415395638981E-2</v>
      </c>
      <c r="R70" s="467">
        <f t="shared" si="46"/>
        <v>6.3915545591085809E-2</v>
      </c>
      <c r="S70" s="467">
        <f t="shared" si="46"/>
        <v>6.4092561602621556E-2</v>
      </c>
      <c r="T70" s="467">
        <f t="shared" si="46"/>
        <v>6.4211488679086548E-2</v>
      </c>
      <c r="U70" s="467">
        <f t="shared" si="46"/>
        <v>6.4393357039024046E-2</v>
      </c>
      <c r="V70" s="154"/>
      <c r="W70" s="154"/>
      <c r="X70" s="154"/>
      <c r="Y70" s="153"/>
    </row>
    <row r="71" spans="1:38">
      <c r="A71" s="154"/>
      <c r="B71" s="154"/>
      <c r="C71" s="154"/>
      <c r="D71" s="154"/>
      <c r="E71" s="537"/>
      <c r="F71" s="154"/>
      <c r="G71" s="154"/>
      <c r="H71" s="154"/>
      <c r="I71" s="154"/>
      <c r="J71" s="154"/>
      <c r="K71" s="154"/>
      <c r="L71" s="154"/>
      <c r="M71" s="154"/>
      <c r="N71" s="154"/>
      <c r="O71" s="154"/>
      <c r="P71" s="154"/>
      <c r="Q71" s="154"/>
      <c r="R71" s="154"/>
      <c r="S71" s="154"/>
      <c r="T71" s="154"/>
      <c r="U71" s="154"/>
      <c r="V71" s="154"/>
      <c r="W71" s="154"/>
      <c r="X71" s="154"/>
      <c r="Y71" s="153"/>
    </row>
    <row r="72" spans="1:38">
      <c r="A72" s="154"/>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3"/>
    </row>
    <row r="73" spans="1:38" ht="15.75">
      <c r="AF73" s="995" t="s">
        <v>1103</v>
      </c>
      <c r="AG73" s="996" t="s">
        <v>648</v>
      </c>
      <c r="AH73" s="996" t="s">
        <v>1108</v>
      </c>
      <c r="AI73" s="996" t="s">
        <v>637</v>
      </c>
      <c r="AJ73" s="996" t="s">
        <v>795</v>
      </c>
      <c r="AK73" s="996" t="s">
        <v>1158</v>
      </c>
    </row>
    <row r="74" spans="1:38" ht="15.75">
      <c r="AF74" s="853" t="s">
        <v>170</v>
      </c>
      <c r="AG74" s="957" t="s">
        <v>1104</v>
      </c>
      <c r="AH74" s="958">
        <f>(1680+1710)/2</f>
        <v>1695</v>
      </c>
      <c r="AI74" s="958">
        <v>1704.5</v>
      </c>
      <c r="AJ74" s="958">
        <f>K10</f>
        <v>1725.2777405198199</v>
      </c>
      <c r="AK74" s="958">
        <f>Interims!AI99</f>
        <v>439.6</v>
      </c>
    </row>
    <row r="75" spans="1:38" ht="15.75">
      <c r="AF75" s="399" t="s">
        <v>636</v>
      </c>
      <c r="AG75" s="401" t="s">
        <v>1105</v>
      </c>
      <c r="AH75" s="955">
        <f>(960+980)/2</f>
        <v>970</v>
      </c>
      <c r="AI75" s="955">
        <v>975.3</v>
      </c>
      <c r="AJ75" s="955">
        <f>K32</f>
        <v>998.65849699308114</v>
      </c>
      <c r="AK75" s="955">
        <f>Interims!AI128</f>
        <v>252.6</v>
      </c>
    </row>
    <row r="76" spans="1:38" ht="15.75">
      <c r="AF76" s="853" t="s">
        <v>907</v>
      </c>
      <c r="AG76" s="957" t="s">
        <v>1106</v>
      </c>
      <c r="AH76" s="958">
        <f>(350+370)/2</f>
        <v>360</v>
      </c>
      <c r="AI76" s="958">
        <v>350.5</v>
      </c>
      <c r="AJ76" s="958">
        <f>K128</f>
        <v>400.40542278029807</v>
      </c>
      <c r="AK76" s="958">
        <f>Interims!AI200</f>
        <v>149.9</v>
      </c>
    </row>
    <row r="77" spans="1:38" ht="15.75">
      <c r="A77" s="154"/>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3"/>
      <c r="AF77" s="399" t="s">
        <v>316</v>
      </c>
      <c r="AG77" s="401" t="s">
        <v>1107</v>
      </c>
      <c r="AH77" s="955">
        <f>(260+290)/2</f>
        <v>275</v>
      </c>
      <c r="AI77" s="955">
        <v>275.60000000000002</v>
      </c>
      <c r="AJ77" s="955">
        <f>K88</f>
        <v>258.79166107797295</v>
      </c>
      <c r="AK77" s="955">
        <f>Interims!AI170</f>
        <v>43.7</v>
      </c>
    </row>
    <row r="78" spans="1:38" ht="15.75">
      <c r="A78" s="154"/>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3"/>
      <c r="AF78" s="853" t="s">
        <v>1028</v>
      </c>
      <c r="AG78" s="957" t="s">
        <v>980</v>
      </c>
      <c r="AH78" s="957" t="s">
        <v>1109</v>
      </c>
      <c r="AI78" s="959">
        <f>(3098.9+485.8+82.1+128.7)/AI75</f>
        <v>3.8916230903311804</v>
      </c>
      <c r="AJ78" s="959">
        <f>Master!L124</f>
        <v>3.0742022240562159</v>
      </c>
      <c r="AK78" s="959">
        <v>3.4</v>
      </c>
    </row>
    <row r="79" spans="1:38">
      <c r="A79" s="154"/>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3"/>
    </row>
    <row r="80" spans="1:38">
      <c r="A80" s="154"/>
      <c r="B80" s="154"/>
      <c r="C80" s="154"/>
      <c r="D80" s="154"/>
      <c r="E80" s="154"/>
      <c r="F80" s="154"/>
      <c r="G80" s="154"/>
      <c r="H80" s="154"/>
      <c r="I80" s="154"/>
      <c r="J80" s="154"/>
      <c r="K80" s="154"/>
      <c r="L80" s="154"/>
      <c r="M80" s="154"/>
      <c r="N80" s="154"/>
      <c r="O80" s="154"/>
      <c r="P80" s="154"/>
      <c r="Q80" s="154"/>
      <c r="R80" s="154"/>
      <c r="S80" s="154"/>
      <c r="T80" s="154"/>
      <c r="U80" s="154"/>
      <c r="V80" s="154"/>
      <c r="W80" s="154"/>
      <c r="X80" s="154"/>
      <c r="Y80" s="153"/>
    </row>
    <row r="81" spans="1:39" ht="37.5">
      <c r="A81" s="154"/>
      <c r="B81" s="154"/>
      <c r="C81" s="154"/>
      <c r="D81" s="154"/>
      <c r="E81" s="154"/>
      <c r="F81" s="154"/>
      <c r="G81" s="154"/>
      <c r="H81" s="154"/>
      <c r="I81" s="154"/>
      <c r="J81" s="154"/>
      <c r="K81" s="154"/>
      <c r="L81" s="154"/>
      <c r="M81" s="154"/>
      <c r="N81" s="154"/>
      <c r="O81" s="154"/>
      <c r="P81" s="154"/>
      <c r="Q81" s="154"/>
      <c r="R81" s="154"/>
      <c r="S81" s="154"/>
      <c r="T81" s="154"/>
      <c r="U81" s="154"/>
      <c r="V81" s="154"/>
      <c r="W81" s="546"/>
      <c r="X81" s="154"/>
      <c r="Y81" s="153"/>
      <c r="AF81" s="1115" t="s">
        <v>1103</v>
      </c>
      <c r="AG81" s="1116" t="s">
        <v>1177</v>
      </c>
      <c r="AH81" s="1116" t="s">
        <v>1108</v>
      </c>
      <c r="AI81" s="1116" t="s">
        <v>1182</v>
      </c>
      <c r="AJ81" s="1116" t="s">
        <v>637</v>
      </c>
      <c r="AK81" s="1116" t="s">
        <v>795</v>
      </c>
      <c r="AL81" s="1116" t="s">
        <v>1184</v>
      </c>
    </row>
    <row r="82" spans="1:39" ht="18.75">
      <c r="A82" s="984" t="s">
        <v>316</v>
      </c>
      <c r="B82" s="985">
        <f t="shared" ref="B82:P82" si="47">B2</f>
        <v>2016</v>
      </c>
      <c r="C82" s="985">
        <f t="shared" si="47"/>
        <v>2017</v>
      </c>
      <c r="D82" s="985">
        <f t="shared" si="47"/>
        <v>2018</v>
      </c>
      <c r="E82" s="985">
        <f t="shared" si="47"/>
        <v>2019</v>
      </c>
      <c r="F82" s="985">
        <f t="shared" si="47"/>
        <v>2020</v>
      </c>
      <c r="G82" s="985">
        <f t="shared" si="47"/>
        <v>2021</v>
      </c>
      <c r="H82" s="985">
        <f t="shared" si="47"/>
        <v>2022</v>
      </c>
      <c r="I82" s="985">
        <f t="shared" si="47"/>
        <v>2023</v>
      </c>
      <c r="J82" s="985">
        <f t="shared" si="47"/>
        <v>2024</v>
      </c>
      <c r="K82" s="985" t="str">
        <f t="shared" si="47"/>
        <v>2025E</v>
      </c>
      <c r="L82" s="985" t="str">
        <f t="shared" si="47"/>
        <v>2026E</v>
      </c>
      <c r="M82" s="985" t="str">
        <f t="shared" si="47"/>
        <v>2027E</v>
      </c>
      <c r="N82" s="985" t="str">
        <f t="shared" si="47"/>
        <v>2028E</v>
      </c>
      <c r="O82" s="985" t="str">
        <f t="shared" si="47"/>
        <v>2029E</v>
      </c>
      <c r="P82" s="985" t="str">
        <f t="shared" si="47"/>
        <v>2030E</v>
      </c>
      <c r="Q82" s="985" t="str">
        <f t="shared" ref="Q82:U82" si="48">Q2</f>
        <v>2031E</v>
      </c>
      <c r="R82" s="985" t="str">
        <f t="shared" si="48"/>
        <v>2032E</v>
      </c>
      <c r="S82" s="985" t="str">
        <f t="shared" si="48"/>
        <v>2033E</v>
      </c>
      <c r="T82" s="985" t="str">
        <f t="shared" si="48"/>
        <v>2034E</v>
      </c>
      <c r="U82" s="985" t="str">
        <f t="shared" si="48"/>
        <v>2035E</v>
      </c>
      <c r="V82" s="154"/>
      <c r="W82" s="154"/>
      <c r="X82" s="154"/>
      <c r="Y82" s="153"/>
      <c r="AF82" s="1117" t="s">
        <v>170</v>
      </c>
      <c r="AG82" s="1118" t="s">
        <v>1178</v>
      </c>
      <c r="AH82" s="1119">
        <f>(1700+1730)/2</f>
        <v>1715</v>
      </c>
      <c r="AI82" s="1120">
        <f>AH82/AH74-1</f>
        <v>1.1799410029498469E-2</v>
      </c>
      <c r="AJ82" s="1119">
        <v>1715</v>
      </c>
      <c r="AK82" s="1119">
        <f>AJ74</f>
        <v>1725.2777405198199</v>
      </c>
      <c r="AL82" s="1119">
        <f>Interims!AI99+Interims!AJ99</f>
        <v>872.6</v>
      </c>
      <c r="AM82" s="326">
        <f>AL82*2</f>
        <v>1745.2</v>
      </c>
    </row>
    <row r="83" spans="1:39" ht="18.75">
      <c r="A83" s="154" t="s">
        <v>641</v>
      </c>
      <c r="B83" s="522"/>
      <c r="C83" s="522"/>
      <c r="D83" s="522"/>
      <c r="E83" s="522"/>
      <c r="F83" s="522">
        <v>30</v>
      </c>
      <c r="G83" s="522">
        <v>91</v>
      </c>
      <c r="H83" s="522">
        <v>87</v>
      </c>
      <c r="I83" s="522">
        <v>92</v>
      </c>
      <c r="J83" s="522">
        <v>54</v>
      </c>
      <c r="K83" s="523">
        <f>K103*K104/1000</f>
        <v>35</v>
      </c>
      <c r="L83" s="523">
        <f t="shared" ref="L83:P83" si="49">L103*L104/1000</f>
        <v>42.666175044319765</v>
      </c>
      <c r="M83" s="523">
        <f t="shared" si="49"/>
        <v>40.08420299882102</v>
      </c>
      <c r="N83" s="523">
        <f t="shared" si="49"/>
        <v>39.186287448327931</v>
      </c>
      <c r="O83" s="523">
        <f t="shared" si="49"/>
        <v>40.396508470005443</v>
      </c>
      <c r="P83" s="523">
        <f t="shared" si="49"/>
        <v>41.445210849663141</v>
      </c>
      <c r="Q83" s="523">
        <f t="shared" ref="Q83:U83" si="50">Q103*Q104/1000</f>
        <v>43.495182032713437</v>
      </c>
      <c r="R83" s="523">
        <f t="shared" si="50"/>
        <v>45.207629656781876</v>
      </c>
      <c r="S83" s="523">
        <f t="shared" si="50"/>
        <v>46.568017195012615</v>
      </c>
      <c r="T83" s="523">
        <f t="shared" si="50"/>
        <v>47.963183698179925</v>
      </c>
      <c r="U83" s="523">
        <f t="shared" si="50"/>
        <v>49.799678173953595</v>
      </c>
      <c r="V83" s="154"/>
      <c r="W83" s="154"/>
      <c r="X83" s="154"/>
      <c r="Y83" s="153"/>
      <c r="AF83" s="1121" t="s">
        <v>636</v>
      </c>
      <c r="AG83" s="1122" t="s">
        <v>1179</v>
      </c>
      <c r="AH83" s="1123">
        <f>(985+1005)/2</f>
        <v>995</v>
      </c>
      <c r="AI83" s="1124">
        <f t="shared" ref="AI83:AI85" si="51">AH83/AH75-1</f>
        <v>2.5773195876288568E-2</v>
      </c>
      <c r="AJ83" s="1123">
        <v>984.7</v>
      </c>
      <c r="AK83" s="1123">
        <f t="shared" ref="AK83:AK86" si="52">AJ75</f>
        <v>998.65849699308114</v>
      </c>
      <c r="AL83" s="1123">
        <f>Interims!AI128+Interims!AJ128</f>
        <v>500.6</v>
      </c>
      <c r="AM83" s="326">
        <f t="shared" ref="AM83:AM85" si="53">AL83*2</f>
        <v>1001.2</v>
      </c>
    </row>
    <row r="84" spans="1:39" ht="18.75">
      <c r="A84" s="154" t="s">
        <v>643</v>
      </c>
      <c r="B84" s="523"/>
      <c r="C84" s="522">
        <v>200</v>
      </c>
      <c r="D84" s="522">
        <v>269</v>
      </c>
      <c r="E84" s="522">
        <v>86</v>
      </c>
      <c r="F84" s="522">
        <v>83</v>
      </c>
      <c r="G84" s="522">
        <v>185</v>
      </c>
      <c r="H84" s="522">
        <v>377</v>
      </c>
      <c r="I84" s="522">
        <v>352</v>
      </c>
      <c r="J84" s="522">
        <v>130</v>
      </c>
      <c r="K84" s="523">
        <f>K88-K83-K85</f>
        <v>142.79166107797295</v>
      </c>
      <c r="L84" s="523">
        <f t="shared" ref="L84:P84" si="54">L88-L83-L85</f>
        <v>135.73530327150044</v>
      </c>
      <c r="M84" s="523">
        <f t="shared" si="54"/>
        <v>147.12286949006091</v>
      </c>
      <c r="N84" s="523">
        <f t="shared" si="54"/>
        <v>164.86649802653679</v>
      </c>
      <c r="O84" s="523">
        <f t="shared" si="54"/>
        <v>170.72622353606141</v>
      </c>
      <c r="P84" s="523">
        <f t="shared" si="54"/>
        <v>187.46880613334315</v>
      </c>
      <c r="Q84" s="523">
        <f t="shared" ref="Q84:U84" si="55">Q88-Q83-Q85</f>
        <v>190.97327614220956</v>
      </c>
      <c r="R84" s="523">
        <f t="shared" si="55"/>
        <v>206.6096298657107</v>
      </c>
      <c r="S84" s="523">
        <f t="shared" si="55"/>
        <v>210.20480667318247</v>
      </c>
      <c r="T84" s="523">
        <f t="shared" si="55"/>
        <v>227.44894713492124</v>
      </c>
      <c r="U84" s="523">
        <f t="shared" si="55"/>
        <v>245.31316880079862</v>
      </c>
      <c r="V84" s="154"/>
      <c r="W84" s="154"/>
      <c r="X84" s="154"/>
      <c r="Y84" s="153"/>
      <c r="AF84" s="1117" t="s">
        <v>907</v>
      </c>
      <c r="AG84" s="1118" t="s">
        <v>1180</v>
      </c>
      <c r="AH84" s="1119">
        <f>(390+410)/2</f>
        <v>400</v>
      </c>
      <c r="AI84" s="1120">
        <f t="shared" si="51"/>
        <v>0.11111111111111116</v>
      </c>
      <c r="AJ84" s="1119">
        <v>372.6</v>
      </c>
      <c r="AK84" s="1119">
        <f t="shared" si="52"/>
        <v>400.40542278029807</v>
      </c>
      <c r="AL84" s="1119">
        <f>Interims!AI200+Interims!AJ200</f>
        <v>203.9</v>
      </c>
      <c r="AM84" s="326">
        <f t="shared" si="53"/>
        <v>407.8</v>
      </c>
    </row>
    <row r="85" spans="1:39" ht="18.75">
      <c r="A85" s="154" t="s">
        <v>644</v>
      </c>
      <c r="B85" s="523"/>
      <c r="C85" s="522">
        <v>51</v>
      </c>
      <c r="D85" s="522">
        <v>109</v>
      </c>
      <c r="E85" s="522">
        <v>173</v>
      </c>
      <c r="F85" s="522">
        <v>116</v>
      </c>
      <c r="G85" s="522">
        <v>126</v>
      </c>
      <c r="H85" s="522">
        <v>170</v>
      </c>
      <c r="I85" s="522">
        <v>142</v>
      </c>
      <c r="J85" s="522">
        <v>73</v>
      </c>
      <c r="K85" s="523">
        <f>K86+K87</f>
        <v>81</v>
      </c>
      <c r="L85" s="523">
        <f t="shared" ref="L85:P85" si="56">L86+L87</f>
        <v>91</v>
      </c>
      <c r="M85" s="523">
        <f t="shared" si="56"/>
        <v>91</v>
      </c>
      <c r="N85" s="523">
        <f t="shared" si="56"/>
        <v>91</v>
      </c>
      <c r="O85" s="523">
        <f t="shared" si="56"/>
        <v>91</v>
      </c>
      <c r="P85" s="523">
        <f t="shared" si="56"/>
        <v>91</v>
      </c>
      <c r="Q85" s="523">
        <f t="shared" ref="Q85:U85" si="57">Q86+Q87</f>
        <v>91</v>
      </c>
      <c r="R85" s="523">
        <f t="shared" si="57"/>
        <v>91</v>
      </c>
      <c r="S85" s="523">
        <f t="shared" si="57"/>
        <v>91</v>
      </c>
      <c r="T85" s="523">
        <f t="shared" si="57"/>
        <v>91</v>
      </c>
      <c r="U85" s="523">
        <f t="shared" si="57"/>
        <v>91</v>
      </c>
      <c r="V85" s="154"/>
      <c r="W85" s="154"/>
      <c r="X85" s="154"/>
      <c r="Y85" s="153"/>
      <c r="AF85" s="1121" t="s">
        <v>316</v>
      </c>
      <c r="AG85" s="1122" t="s">
        <v>1181</v>
      </c>
      <c r="AH85" s="1123">
        <f>(240+270)/2</f>
        <v>255</v>
      </c>
      <c r="AI85" s="1124">
        <f t="shared" si="51"/>
        <v>-7.2727272727272751E-2</v>
      </c>
      <c r="AJ85" s="1123">
        <v>284.60000000000002</v>
      </c>
      <c r="AK85" s="1123">
        <f t="shared" si="52"/>
        <v>258.79166107797295</v>
      </c>
      <c r="AL85" s="1123">
        <f>Interims!AI170+Interims!AJ170</f>
        <v>89.7</v>
      </c>
      <c r="AM85" s="326">
        <f t="shared" si="53"/>
        <v>179.4</v>
      </c>
    </row>
    <row r="86" spans="1:39" ht="18.75">
      <c r="A86" s="465" t="s">
        <v>622</v>
      </c>
      <c r="B86" s="523"/>
      <c r="C86" s="522"/>
      <c r="D86" s="522"/>
      <c r="E86" s="522"/>
      <c r="F86" s="522"/>
      <c r="G86" s="522"/>
      <c r="H86" s="522">
        <v>166.357</v>
      </c>
      <c r="I86" s="522">
        <v>139.958</v>
      </c>
      <c r="J86" s="522">
        <v>71.796000000000006</v>
      </c>
      <c r="K86" s="978">
        <v>80</v>
      </c>
      <c r="L86" s="978">
        <v>90</v>
      </c>
      <c r="M86" s="978">
        <v>90</v>
      </c>
      <c r="N86" s="978">
        <v>90</v>
      </c>
      <c r="O86" s="978">
        <v>90</v>
      </c>
      <c r="P86" s="978">
        <v>90</v>
      </c>
      <c r="Q86" s="978">
        <v>90</v>
      </c>
      <c r="R86" s="978">
        <v>90</v>
      </c>
      <c r="S86" s="978">
        <v>90</v>
      </c>
      <c r="T86" s="978">
        <v>90</v>
      </c>
      <c r="U86" s="978">
        <v>90</v>
      </c>
      <c r="V86" s="154"/>
      <c r="W86" s="154"/>
      <c r="X86" s="154"/>
      <c r="Y86" s="153"/>
      <c r="AF86" s="1117" t="s">
        <v>1028</v>
      </c>
      <c r="AG86" s="1118" t="s">
        <v>980</v>
      </c>
      <c r="AH86" s="1118" t="s">
        <v>1109</v>
      </c>
      <c r="AI86" s="1118" t="s">
        <v>1183</v>
      </c>
      <c r="AJ86" s="1125">
        <f>3365.2/AJ83</f>
        <v>3.4174875596628413</v>
      </c>
      <c r="AK86" s="1125">
        <f t="shared" si="52"/>
        <v>3.0742022240562159</v>
      </c>
      <c r="AL86" s="1125">
        <v>3.4</v>
      </c>
    </row>
    <row r="87" spans="1:39">
      <c r="A87" s="465" t="s">
        <v>1139</v>
      </c>
      <c r="B87" s="523"/>
      <c r="C87" s="522"/>
      <c r="D87" s="522"/>
      <c r="E87" s="522"/>
      <c r="F87" s="522"/>
      <c r="G87" s="522"/>
      <c r="H87" s="522">
        <v>3.3690000000000002</v>
      </c>
      <c r="I87" s="522">
        <v>2.1800000000000002</v>
      </c>
      <c r="J87" s="522">
        <v>0.78500000000000003</v>
      </c>
      <c r="K87" s="978">
        <v>1</v>
      </c>
      <c r="L87" s="978">
        <v>1</v>
      </c>
      <c r="M87" s="978">
        <v>1</v>
      </c>
      <c r="N87" s="978">
        <v>1</v>
      </c>
      <c r="O87" s="978">
        <v>1</v>
      </c>
      <c r="P87" s="978">
        <v>1</v>
      </c>
      <c r="Q87" s="978">
        <v>1</v>
      </c>
      <c r="R87" s="978">
        <v>1</v>
      </c>
      <c r="S87" s="978">
        <v>1</v>
      </c>
      <c r="T87" s="978">
        <v>1</v>
      </c>
      <c r="U87" s="978">
        <v>1</v>
      </c>
      <c r="V87" s="154"/>
      <c r="W87" s="154"/>
      <c r="X87" s="154"/>
      <c r="Y87" s="153"/>
    </row>
    <row r="88" spans="1:39">
      <c r="A88" s="525" t="s">
        <v>646</v>
      </c>
      <c r="B88" s="526"/>
      <c r="C88" s="526">
        <f t="shared" ref="C88:J88" si="58">SUM(C83:C85)</f>
        <v>251</v>
      </c>
      <c r="D88" s="526">
        <f t="shared" si="58"/>
        <v>378</v>
      </c>
      <c r="E88" s="526">
        <f t="shared" si="58"/>
        <v>259</v>
      </c>
      <c r="F88" s="526">
        <f t="shared" si="58"/>
        <v>229</v>
      </c>
      <c r="G88" s="526">
        <f t="shared" si="58"/>
        <v>402</v>
      </c>
      <c r="H88" s="526">
        <f t="shared" si="58"/>
        <v>634</v>
      </c>
      <c r="I88" s="526">
        <f t="shared" si="58"/>
        <v>586</v>
      </c>
      <c r="J88" s="526">
        <f t="shared" si="58"/>
        <v>257</v>
      </c>
      <c r="K88" s="526">
        <f t="shared" ref="K88:P88" si="59">K89*K10</f>
        <v>258.79166107797295</v>
      </c>
      <c r="L88" s="526">
        <f t="shared" si="59"/>
        <v>269.40147831582021</v>
      </c>
      <c r="M88" s="526">
        <f t="shared" si="59"/>
        <v>278.20707248888192</v>
      </c>
      <c r="N88" s="526">
        <f t="shared" si="59"/>
        <v>295.05278547486472</v>
      </c>
      <c r="O88" s="526">
        <f t="shared" si="59"/>
        <v>302.12273200606688</v>
      </c>
      <c r="P88" s="526">
        <f t="shared" si="59"/>
        <v>319.91401698300626</v>
      </c>
      <c r="Q88" s="526">
        <f t="shared" ref="Q88:U88" si="60">Q89*Q10</f>
        <v>325.468458174923</v>
      </c>
      <c r="R88" s="526">
        <f t="shared" si="60"/>
        <v>342.81725952249258</v>
      </c>
      <c r="S88" s="526">
        <f t="shared" si="60"/>
        <v>347.77282386819508</v>
      </c>
      <c r="T88" s="526">
        <f t="shared" si="60"/>
        <v>366.41213083310117</v>
      </c>
      <c r="U88" s="526">
        <f t="shared" si="60"/>
        <v>386.11284697475224</v>
      </c>
      <c r="V88" s="154"/>
      <c r="W88" s="154"/>
      <c r="X88" s="154"/>
      <c r="Y88" s="153"/>
    </row>
    <row r="89" spans="1:39">
      <c r="A89" s="154" t="s">
        <v>645</v>
      </c>
      <c r="B89" s="467"/>
      <c r="C89" s="467">
        <f t="shared" ref="C89:J89" si="61">C88/C10</f>
        <v>0.22673893405600723</v>
      </c>
      <c r="D89" s="467">
        <f t="shared" si="61"/>
        <v>0.32371328252119552</v>
      </c>
      <c r="E89" s="467">
        <f t="shared" si="61"/>
        <v>0.21038847948428016</v>
      </c>
      <c r="F89" s="467">
        <f t="shared" si="61"/>
        <v>0.16320328858189884</v>
      </c>
      <c r="G89" s="467">
        <f t="shared" si="61"/>
        <v>0.2544738657871915</v>
      </c>
      <c r="H89" s="467">
        <f t="shared" si="61"/>
        <v>0.32325514875600303</v>
      </c>
      <c r="I89" s="467">
        <f t="shared" si="61"/>
        <v>0.27569477671310666</v>
      </c>
      <c r="J89" s="467">
        <f t="shared" si="61"/>
        <v>0.15018480912796389</v>
      </c>
      <c r="K89" s="547">
        <v>0.15</v>
      </c>
      <c r="L89" s="547">
        <v>0.15</v>
      </c>
      <c r="M89" s="547">
        <v>0.14499999999999999</v>
      </c>
      <c r="N89" s="547">
        <v>0.14499999999999999</v>
      </c>
      <c r="O89" s="547">
        <v>0.14000000000000001</v>
      </c>
      <c r="P89" s="547">
        <v>0.14000000000000001</v>
      </c>
      <c r="Q89" s="547">
        <v>0.13500000000000001</v>
      </c>
      <c r="R89" s="547">
        <v>0.13500000000000001</v>
      </c>
      <c r="S89" s="547">
        <v>0.13</v>
      </c>
      <c r="T89" s="547">
        <v>0.13</v>
      </c>
      <c r="U89" s="547">
        <v>0.13</v>
      </c>
      <c r="V89" s="154"/>
      <c r="W89" s="154"/>
      <c r="X89" s="154"/>
      <c r="Y89" s="153"/>
    </row>
    <row r="90" spans="1:39">
      <c r="A90" s="530" t="s">
        <v>648</v>
      </c>
      <c r="B90" s="530"/>
      <c r="C90" s="530"/>
      <c r="D90" s="530"/>
      <c r="E90" s="530"/>
      <c r="F90" s="530"/>
      <c r="G90" s="531"/>
      <c r="H90" s="531"/>
      <c r="I90" s="531"/>
      <c r="J90" s="531"/>
      <c r="K90" s="562" t="s">
        <v>1189</v>
      </c>
      <c r="L90" s="531"/>
      <c r="M90" s="531"/>
      <c r="N90" s="154"/>
      <c r="O90" s="154"/>
      <c r="P90" s="154">
        <v>240</v>
      </c>
      <c r="Q90" s="154">
        <v>270</v>
      </c>
      <c r="R90" s="154">
        <v>255</v>
      </c>
      <c r="S90" s="154"/>
      <c r="T90" s="154"/>
      <c r="U90" s="154"/>
      <c r="V90" s="154"/>
      <c r="W90" s="154"/>
      <c r="X90" s="154"/>
      <c r="Y90" s="153"/>
    </row>
    <row r="91" spans="1:39">
      <c r="A91" s="530" t="s">
        <v>637</v>
      </c>
      <c r="B91" s="530"/>
      <c r="C91" s="530"/>
      <c r="D91" s="530"/>
      <c r="E91" s="530"/>
      <c r="F91" s="530"/>
      <c r="G91" s="531"/>
      <c r="H91" s="531"/>
      <c r="I91" s="531"/>
      <c r="J91" s="531"/>
      <c r="K91" s="531" cm="1">
        <f t="array" ref="K91">_xll.VAData("IHS_US", "FY-2025", "Capex", "Consensus", "CD", "","","")</f>
        <v>265.78637896749791</v>
      </c>
      <c r="L91" s="531" cm="1">
        <f t="array" ref="L91">_xll.VAData("IHS_US", "FY-2026", "Capex", "Consensus", "CD", "","","")</f>
        <v>230.9842827399232</v>
      </c>
      <c r="M91" s="531" cm="1">
        <f t="array" ref="M91">_xll.VAData("IHS_US", "FY-2027", "Capex", "Consensus", "CD", "","","")</f>
        <v>228.97464803843249</v>
      </c>
      <c r="N91" s="154"/>
      <c r="O91" s="154"/>
      <c r="P91" s="154">
        <v>260</v>
      </c>
      <c r="Q91" s="154">
        <v>290</v>
      </c>
      <c r="R91" s="154">
        <v>275</v>
      </c>
      <c r="S91" s="154"/>
      <c r="T91" s="154"/>
      <c r="U91" s="154"/>
      <c r="V91" s="154"/>
      <c r="W91" s="154"/>
      <c r="X91" s="154"/>
      <c r="Y91" s="153"/>
    </row>
    <row r="92" spans="1:39">
      <c r="A92" s="530" t="s">
        <v>638</v>
      </c>
      <c r="B92" s="530"/>
      <c r="C92" s="530"/>
      <c r="D92" s="530"/>
      <c r="E92" s="530"/>
      <c r="F92" s="530"/>
      <c r="G92" s="531"/>
      <c r="H92" s="536"/>
      <c r="I92" s="536"/>
      <c r="J92" s="536"/>
      <c r="K92" s="536">
        <f>K88/K91-1</f>
        <v>-2.6317066798898336E-2</v>
      </c>
      <c r="L92" s="536">
        <f t="shared" ref="L92:M92" si="62">L88/L91-1</f>
        <v>0.1663195223510201</v>
      </c>
      <c r="M92" s="536">
        <f t="shared" si="62"/>
        <v>0.21501255650881479</v>
      </c>
      <c r="N92" s="154"/>
      <c r="O92" s="154"/>
      <c r="P92" s="159">
        <f>P90/P91-1</f>
        <v>-7.6923076923076872E-2</v>
      </c>
      <c r="Q92" s="159">
        <f t="shared" ref="Q92:R92" si="63">Q90/Q91-1</f>
        <v>-6.8965517241379337E-2</v>
      </c>
      <c r="R92" s="159">
        <f t="shared" si="63"/>
        <v>-7.2727272727272751E-2</v>
      </c>
      <c r="S92" s="154"/>
      <c r="T92" s="154"/>
      <c r="U92" s="154"/>
      <c r="V92" s="154"/>
      <c r="W92" s="154"/>
      <c r="X92" s="154"/>
      <c r="Y92" s="153"/>
    </row>
    <row r="93" spans="1:39">
      <c r="A93" s="154"/>
      <c r="B93" s="154"/>
      <c r="C93" s="154"/>
      <c r="D93" s="154"/>
      <c r="E93" s="154"/>
      <c r="F93" s="154"/>
      <c r="G93" s="154"/>
      <c r="H93" s="154"/>
      <c r="I93" s="154"/>
      <c r="J93" s="154"/>
      <c r="K93" s="154"/>
      <c r="L93" s="154"/>
      <c r="M93" s="154"/>
      <c r="N93" s="154"/>
      <c r="O93" s="154"/>
      <c r="P93" s="154"/>
      <c r="Q93" s="154"/>
      <c r="R93" s="154"/>
      <c r="S93" s="154"/>
      <c r="T93" s="154"/>
      <c r="U93" s="154"/>
      <c r="V93" s="154"/>
      <c r="W93" s="154"/>
      <c r="X93" s="154"/>
      <c r="Y93" s="153"/>
    </row>
    <row r="94" spans="1:39">
      <c r="A94" s="154"/>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3"/>
    </row>
    <row r="95" spans="1:39">
      <c r="A95" s="154" t="s">
        <v>203</v>
      </c>
      <c r="B95" s="523"/>
      <c r="C95" s="523"/>
      <c r="D95" s="523"/>
      <c r="E95" s="523"/>
      <c r="F95" s="523">
        <f>Nigeria!G87</f>
        <v>168.035</v>
      </c>
      <c r="G95" s="523">
        <f>Nigeria!H87</f>
        <v>299.68299999999999</v>
      </c>
      <c r="H95" s="523">
        <f>Nigeria!I87</f>
        <v>404.62799999999999</v>
      </c>
      <c r="I95" s="523">
        <f>Nigeria!J87</f>
        <v>316.221</v>
      </c>
      <c r="J95" s="523">
        <f>Nigeria!K87</f>
        <v>90.912999999999997</v>
      </c>
      <c r="K95" s="523">
        <f>Nigeria!L87</f>
        <v>0</v>
      </c>
      <c r="L95" s="523">
        <f>Nigeria!M87</f>
        <v>0</v>
      </c>
      <c r="M95" s="523">
        <f>Nigeria!N87</f>
        <v>0</v>
      </c>
      <c r="N95" s="523">
        <f>Nigeria!O87</f>
        <v>0</v>
      </c>
      <c r="O95" s="523">
        <f>Nigeria!P87</f>
        <v>0</v>
      </c>
      <c r="P95" s="523">
        <f>Nigeria!Q87</f>
        <v>0</v>
      </c>
      <c r="Q95" s="523">
        <f>Nigeria!R87</f>
        <v>0</v>
      </c>
      <c r="R95" s="523">
        <f>Nigeria!S87</f>
        <v>0</v>
      </c>
      <c r="S95" s="523">
        <f>Nigeria!T87</f>
        <v>0</v>
      </c>
      <c r="T95" s="523">
        <f>Nigeria!U87</f>
        <v>0</v>
      </c>
      <c r="U95" s="523">
        <f>Nigeria!V87</f>
        <v>0</v>
      </c>
      <c r="V95" s="154"/>
      <c r="W95" s="154"/>
      <c r="X95" s="154"/>
      <c r="Y95" s="153"/>
    </row>
    <row r="96" spans="1:39">
      <c r="A96" s="154" t="s">
        <v>272</v>
      </c>
      <c r="B96" s="523"/>
      <c r="C96" s="523"/>
      <c r="D96" s="523"/>
      <c r="E96" s="523"/>
      <c r="F96" s="523">
        <f>SSA!G118</f>
        <v>43.45</v>
      </c>
      <c r="G96" s="523">
        <f>SSA!H118</f>
        <v>42.319000000000003</v>
      </c>
      <c r="H96" s="523">
        <f>SSA!I118</f>
        <v>97.75</v>
      </c>
      <c r="I96" s="523">
        <f>SSA!J118</f>
        <v>73.769000000000005</v>
      </c>
      <c r="J96" s="523">
        <f>SSA!K118</f>
        <v>38.15</v>
      </c>
      <c r="K96" s="523">
        <f>SSA!L118</f>
        <v>0</v>
      </c>
      <c r="L96" s="523">
        <f>SSA!M118</f>
        <v>0</v>
      </c>
      <c r="M96" s="523">
        <f>SSA!N118</f>
        <v>0</v>
      </c>
      <c r="N96" s="523">
        <f>SSA!O118</f>
        <v>0</v>
      </c>
      <c r="O96" s="523">
        <f>SSA!P118</f>
        <v>0</v>
      </c>
      <c r="P96" s="523">
        <f>SSA!Q118</f>
        <v>0</v>
      </c>
      <c r="Q96" s="523">
        <f>SSA!R118</f>
        <v>0</v>
      </c>
      <c r="R96" s="523">
        <f>SSA!S118</f>
        <v>0</v>
      </c>
      <c r="S96" s="523">
        <f>SSA!T118</f>
        <v>0</v>
      </c>
      <c r="T96" s="523">
        <f>SSA!U118</f>
        <v>0</v>
      </c>
      <c r="U96" s="523">
        <f>SSA!V118</f>
        <v>0</v>
      </c>
      <c r="V96" s="154"/>
      <c r="W96" s="154"/>
      <c r="X96" s="154"/>
      <c r="Y96" s="153"/>
    </row>
    <row r="97" spans="1:25">
      <c r="A97" s="154" t="s">
        <v>160</v>
      </c>
      <c r="B97" s="523"/>
      <c r="C97" s="523"/>
      <c r="D97" s="523"/>
      <c r="E97" s="523"/>
      <c r="F97" s="523">
        <f>Latam!G99</f>
        <v>14.022</v>
      </c>
      <c r="G97" s="523">
        <f>Latam!H99</f>
        <v>52.908000000000001</v>
      </c>
      <c r="H97" s="523">
        <f>Latam!I99</f>
        <v>121.158</v>
      </c>
      <c r="I97" s="523">
        <f>Latam!J99</f>
        <v>187.803</v>
      </c>
      <c r="J97" s="523">
        <f>Latam!K99</f>
        <v>123.145</v>
      </c>
      <c r="K97" s="523">
        <f>Latam!L99</f>
        <v>0</v>
      </c>
      <c r="L97" s="523">
        <f>Latam!M99</f>
        <v>0</v>
      </c>
      <c r="M97" s="523">
        <f>Latam!N99</f>
        <v>0</v>
      </c>
      <c r="N97" s="523">
        <f>Latam!O99</f>
        <v>0</v>
      </c>
      <c r="O97" s="523">
        <f>Latam!P99</f>
        <v>0</v>
      </c>
      <c r="P97" s="523">
        <f>Latam!Q99</f>
        <v>0</v>
      </c>
      <c r="Q97" s="523">
        <f>Latam!R99</f>
        <v>0</v>
      </c>
      <c r="R97" s="523">
        <f>Latam!S99</f>
        <v>0</v>
      </c>
      <c r="S97" s="523">
        <f>Latam!T99</f>
        <v>0</v>
      </c>
      <c r="T97" s="523">
        <f>Latam!U99</f>
        <v>0</v>
      </c>
      <c r="U97" s="523">
        <f>Latam!V99</f>
        <v>0</v>
      </c>
      <c r="V97" s="154"/>
      <c r="W97" s="154"/>
      <c r="X97" s="154"/>
      <c r="Y97" s="153"/>
    </row>
    <row r="98" spans="1:25">
      <c r="A98" s="154" t="s">
        <v>273</v>
      </c>
      <c r="B98" s="523"/>
      <c r="C98" s="523"/>
      <c r="D98" s="523"/>
      <c r="E98" s="523"/>
      <c r="F98" s="523">
        <f>MENA!G69</f>
        <v>0.89100000000000001</v>
      </c>
      <c r="G98" s="523">
        <f>MENA!H69</f>
        <v>5.9660000000000002</v>
      </c>
      <c r="H98" s="523">
        <f>MENA!I69</f>
        <v>6.9740000000000002</v>
      </c>
      <c r="I98" s="523">
        <f>MENA!J69</f>
        <v>5.8550000000000004</v>
      </c>
      <c r="J98" s="523">
        <f>MENA!K69</f>
        <v>1.375</v>
      </c>
      <c r="K98" s="523">
        <f>MENA!L69</f>
        <v>0</v>
      </c>
      <c r="L98" s="523">
        <f>MENA!M69</f>
        <v>0</v>
      </c>
      <c r="M98" s="523">
        <f>MENA!N69</f>
        <v>0</v>
      </c>
      <c r="N98" s="523">
        <f>MENA!O69</f>
        <v>0</v>
      </c>
      <c r="O98" s="523">
        <f>MENA!P69</f>
        <v>0</v>
      </c>
      <c r="P98" s="523">
        <f>MENA!Q69</f>
        <v>0</v>
      </c>
      <c r="Q98" s="523">
        <f>MENA!R69</f>
        <v>0</v>
      </c>
      <c r="R98" s="523">
        <f>MENA!S69</f>
        <v>0</v>
      </c>
      <c r="S98" s="523">
        <f>MENA!T69</f>
        <v>0</v>
      </c>
      <c r="T98" s="523">
        <f>MENA!U69</f>
        <v>0</v>
      </c>
      <c r="U98" s="523">
        <f>MENA!V69</f>
        <v>0</v>
      </c>
      <c r="V98" s="154"/>
      <c r="W98" s="154"/>
      <c r="X98" s="154"/>
      <c r="Y98" s="153"/>
    </row>
    <row r="99" spans="1:25">
      <c r="A99" s="154" t="s">
        <v>665</v>
      </c>
      <c r="B99" s="523"/>
      <c r="C99" s="523"/>
      <c r="D99" s="523"/>
      <c r="E99" s="523"/>
      <c r="F99" s="548">
        <v>2.8010000000000002</v>
      </c>
      <c r="G99" s="548">
        <v>1.6</v>
      </c>
      <c r="H99" s="548">
        <v>2.96</v>
      </c>
      <c r="I99" s="548">
        <v>2.399</v>
      </c>
      <c r="J99" s="548">
        <v>2.2930000000000001</v>
      </c>
      <c r="K99" s="548"/>
      <c r="L99" s="548"/>
      <c r="M99" s="548"/>
      <c r="N99" s="548"/>
      <c r="O99" s="548"/>
      <c r="P99" s="548"/>
      <c r="Q99" s="548"/>
      <c r="R99" s="548"/>
      <c r="S99" s="548"/>
      <c r="T99" s="548"/>
      <c r="U99" s="548"/>
      <c r="V99" s="154"/>
      <c r="W99" s="154"/>
      <c r="X99" s="154"/>
      <c r="Y99" s="153"/>
    </row>
    <row r="100" spans="1:25">
      <c r="A100" s="525" t="s">
        <v>181</v>
      </c>
      <c r="B100" s="549"/>
      <c r="C100" s="549"/>
      <c r="D100" s="549"/>
      <c r="E100" s="549"/>
      <c r="F100" s="550">
        <f>SUM(F95:F99)</f>
        <v>229.19899999999998</v>
      </c>
      <c r="G100" s="550">
        <f>SUM(G95:G99)</f>
        <v>402.47600000000006</v>
      </c>
      <c r="H100" s="550">
        <f t="shared" ref="H100:P100" si="64">SUM(H95:H99)</f>
        <v>633.47</v>
      </c>
      <c r="I100" s="550">
        <f t="shared" si="64"/>
        <v>586.04700000000003</v>
      </c>
      <c r="J100" s="550">
        <f t="shared" si="64"/>
        <v>255.87599999999998</v>
      </c>
      <c r="K100" s="550">
        <f t="shared" si="64"/>
        <v>0</v>
      </c>
      <c r="L100" s="550">
        <f t="shared" si="64"/>
        <v>0</v>
      </c>
      <c r="M100" s="550">
        <f t="shared" si="64"/>
        <v>0</v>
      </c>
      <c r="N100" s="550">
        <f t="shared" si="64"/>
        <v>0</v>
      </c>
      <c r="O100" s="550">
        <f t="shared" si="64"/>
        <v>0</v>
      </c>
      <c r="P100" s="550">
        <f t="shared" si="64"/>
        <v>0</v>
      </c>
      <c r="Q100" s="550">
        <f t="shared" ref="Q100:U100" si="65">SUM(Q95:Q99)</f>
        <v>0</v>
      </c>
      <c r="R100" s="550">
        <f t="shared" si="65"/>
        <v>0</v>
      </c>
      <c r="S100" s="550">
        <f t="shared" si="65"/>
        <v>0</v>
      </c>
      <c r="T100" s="550">
        <f t="shared" si="65"/>
        <v>0</v>
      </c>
      <c r="U100" s="550">
        <f t="shared" si="65"/>
        <v>0</v>
      </c>
      <c r="V100" s="154"/>
      <c r="W100" s="154"/>
      <c r="X100" s="154"/>
      <c r="Y100" s="153"/>
    </row>
    <row r="101" spans="1:25">
      <c r="A101" s="154"/>
      <c r="B101" s="154"/>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3"/>
    </row>
    <row r="102" spans="1:25">
      <c r="A102" s="154"/>
      <c r="B102" s="154"/>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3"/>
    </row>
    <row r="103" spans="1:25">
      <c r="A103" s="154" t="s">
        <v>1137</v>
      </c>
      <c r="B103" s="154"/>
      <c r="C103" s="154"/>
      <c r="D103" s="154"/>
      <c r="E103" s="154"/>
      <c r="F103" s="522">
        <v>362</v>
      </c>
      <c r="G103" s="522">
        <v>1348</v>
      </c>
      <c r="H103" s="522">
        <f>203+240+385+356</f>
        <v>1184</v>
      </c>
      <c r="I103" s="522">
        <v>1329</v>
      </c>
      <c r="J103" s="522">
        <v>929</v>
      </c>
      <c r="K103" s="645">
        <v>500</v>
      </c>
      <c r="L103" s="646">
        <f>L110</f>
        <v>609.5167863474253</v>
      </c>
      <c r="M103" s="646">
        <f t="shared" ref="M103:P103" si="66">M110</f>
        <v>572.63147141172885</v>
      </c>
      <c r="N103" s="646">
        <f t="shared" si="66"/>
        <v>559.80410640468472</v>
      </c>
      <c r="O103" s="646">
        <f t="shared" si="66"/>
        <v>577.09297814293495</v>
      </c>
      <c r="P103" s="646">
        <f t="shared" si="66"/>
        <v>592.07444070947349</v>
      </c>
      <c r="Q103" s="646">
        <f t="shared" ref="Q103:U103" si="67">Q110</f>
        <v>621.35974332447768</v>
      </c>
      <c r="R103" s="646">
        <f t="shared" si="67"/>
        <v>645.82328081116975</v>
      </c>
      <c r="S103" s="646">
        <f t="shared" si="67"/>
        <v>665.25738850018024</v>
      </c>
      <c r="T103" s="646">
        <f t="shared" si="67"/>
        <v>685.18833854542754</v>
      </c>
      <c r="U103" s="646">
        <f t="shared" si="67"/>
        <v>711.42397391362283</v>
      </c>
      <c r="V103" s="460"/>
      <c r="W103" s="460"/>
      <c r="X103" s="154"/>
      <c r="Y103" s="153"/>
    </row>
    <row r="104" spans="1:25">
      <c r="A104" s="154" t="s">
        <v>1138</v>
      </c>
      <c r="B104" s="154"/>
      <c r="C104" s="154"/>
      <c r="D104" s="154"/>
      <c r="E104" s="154"/>
      <c r="F104" s="537">
        <f t="shared" ref="F104:G104" si="68">F83/F103*1000</f>
        <v>82.872928176795583</v>
      </c>
      <c r="G104" s="537">
        <f t="shared" si="68"/>
        <v>67.507418397626111</v>
      </c>
      <c r="H104" s="537">
        <f>H83/H103*1000</f>
        <v>73.479729729729726</v>
      </c>
      <c r="I104" s="537">
        <f>I83/I103*1000</f>
        <v>69.224981188863808</v>
      </c>
      <c r="J104" s="537">
        <f>J83/J103*1000</f>
        <v>58.127018299246501</v>
      </c>
      <c r="K104" s="645">
        <v>70</v>
      </c>
      <c r="L104" s="645">
        <v>70</v>
      </c>
      <c r="M104" s="645">
        <v>70</v>
      </c>
      <c r="N104" s="645">
        <v>70</v>
      </c>
      <c r="O104" s="645">
        <v>70</v>
      </c>
      <c r="P104" s="645">
        <v>70</v>
      </c>
      <c r="Q104" s="645">
        <v>70</v>
      </c>
      <c r="R104" s="645">
        <v>70</v>
      </c>
      <c r="S104" s="645">
        <v>70</v>
      </c>
      <c r="T104" s="645">
        <v>70</v>
      </c>
      <c r="U104" s="645">
        <v>70</v>
      </c>
      <c r="V104" s="460"/>
      <c r="W104" s="460"/>
      <c r="X104" s="154"/>
      <c r="Y104" s="153"/>
    </row>
    <row r="105" spans="1:25">
      <c r="A105" s="154"/>
      <c r="B105" s="154"/>
      <c r="C105" s="154"/>
      <c r="D105" s="154"/>
      <c r="E105" s="154"/>
      <c r="F105" s="154"/>
      <c r="G105" s="154"/>
      <c r="H105" s="154"/>
      <c r="I105" s="154"/>
      <c r="J105" s="154"/>
      <c r="K105" s="154"/>
      <c r="L105" s="154"/>
      <c r="M105" s="154"/>
      <c r="N105" s="154"/>
      <c r="O105" s="154"/>
      <c r="P105" s="154"/>
      <c r="Q105" s="154"/>
      <c r="R105" s="154"/>
      <c r="S105" s="154"/>
      <c r="T105" s="154"/>
      <c r="U105" s="154"/>
      <c r="V105" s="460"/>
      <c r="W105" s="460"/>
      <c r="X105" s="154"/>
      <c r="Y105" s="153"/>
    </row>
    <row r="106" spans="1:25">
      <c r="A106" s="154" t="s">
        <v>203</v>
      </c>
      <c r="B106" s="154"/>
      <c r="C106" s="154"/>
      <c r="D106" s="154"/>
      <c r="E106" s="154"/>
      <c r="F106" s="460">
        <f>Nigeria!G22</f>
        <v>38</v>
      </c>
      <c r="G106" s="460">
        <f>Nigeria!H22</f>
        <v>317</v>
      </c>
      <c r="H106" s="460">
        <f>Nigeria!I22</f>
        <v>141</v>
      </c>
      <c r="I106" s="460">
        <f>Nigeria!J22</f>
        <v>-600</v>
      </c>
      <c r="J106" s="460">
        <f>Nigeria!K22</f>
        <v>100</v>
      </c>
      <c r="K106" s="460">
        <f>Nigeria!L22</f>
        <v>41.237499999999272</v>
      </c>
      <c r="L106" s="460">
        <f>Nigeria!M22</f>
        <v>82.681187499998487</v>
      </c>
      <c r="M106" s="460">
        <f>Nigeria!N22</f>
        <v>99.713512124999397</v>
      </c>
      <c r="N106" s="460">
        <f>Nigeria!O22</f>
        <v>117.03042539737362</v>
      </c>
      <c r="O106" s="460">
        <f>Nigeria!P22</f>
        <v>117.84963837515534</v>
      </c>
      <c r="P106" s="460">
        <f>Nigeria!Q22</f>
        <v>118.67458584378255</v>
      </c>
      <c r="Q106" s="460">
        <f>Nigeria!R22</f>
        <v>119.50530794468796</v>
      </c>
      <c r="R106" s="460">
        <f>Nigeria!S22</f>
        <v>120.34184510030173</v>
      </c>
      <c r="S106" s="460">
        <f>Nigeria!T22</f>
        <v>121.18423801600147</v>
      </c>
      <c r="T106" s="460">
        <f>Nigeria!U22</f>
        <v>122.03252768211314</v>
      </c>
      <c r="U106" s="460">
        <f>Nigeria!V22</f>
        <v>122.88675537589006</v>
      </c>
      <c r="V106" s="460"/>
      <c r="W106" s="460"/>
      <c r="X106" s="154"/>
      <c r="Y106" s="153"/>
    </row>
    <row r="107" spans="1:25">
      <c r="A107" s="154" t="s">
        <v>272</v>
      </c>
      <c r="B107" s="154"/>
      <c r="C107" s="154"/>
      <c r="D107" s="154"/>
      <c r="E107" s="154"/>
      <c r="F107" s="460">
        <f>SSA!G62</f>
        <v>27</v>
      </c>
      <c r="G107" s="460">
        <f>SSA!H62</f>
        <v>251</v>
      </c>
      <c r="H107" s="949">
        <f>SSA!I62-5691</f>
        <v>281</v>
      </c>
      <c r="I107" s="460">
        <f>SSA!J62</f>
        <v>206</v>
      </c>
      <c r="J107" s="460">
        <f>SSA!K62</f>
        <v>99</v>
      </c>
      <c r="K107" s="460">
        <f>SSA!L62</f>
        <v>-1434.3293372150001</v>
      </c>
      <c r="L107" s="460">
        <f>SSA!M62</f>
        <v>77.885513692424865</v>
      </c>
      <c r="M107" s="460">
        <f>SSA!N62</f>
        <v>73.167191470329271</v>
      </c>
      <c r="N107" s="460">
        <f>SSA!O62</f>
        <v>76.074106992075031</v>
      </c>
      <c r="O107" s="460">
        <f>SSA!P62</f>
        <v>81.816456611422836</v>
      </c>
      <c r="P107" s="460">
        <f>SSA!Q62</f>
        <v>84.963250032174983</v>
      </c>
      <c r="Q107" s="460">
        <f>SSA!R62</f>
        <v>102.11869075529103</v>
      </c>
      <c r="R107" s="460">
        <f>SSA!S62</f>
        <v>114.14996034567957</v>
      </c>
      <c r="S107" s="460">
        <f>SSA!T62</f>
        <v>120.84200944652184</v>
      </c>
      <c r="T107" s="460">
        <f>SSA!U62</f>
        <v>127.71355011643755</v>
      </c>
      <c r="U107" s="460">
        <f>SSA!V62</f>
        <v>140.56468574968312</v>
      </c>
      <c r="V107" s="460"/>
      <c r="W107" s="460"/>
      <c r="X107" s="154"/>
      <c r="Y107" s="153"/>
    </row>
    <row r="108" spans="1:25">
      <c r="A108" s="154" t="s">
        <v>160</v>
      </c>
      <c r="B108" s="154"/>
      <c r="C108" s="154"/>
      <c r="D108" s="154"/>
      <c r="E108" s="154"/>
      <c r="F108" s="460">
        <f>Latam!G43</f>
        <v>0</v>
      </c>
      <c r="G108" s="460">
        <f>Latam!H43</f>
        <v>2428</v>
      </c>
      <c r="H108" s="460">
        <f>Latam!I43</f>
        <v>2367</v>
      </c>
      <c r="I108" s="460">
        <f>Latam!J43</f>
        <v>676</v>
      </c>
      <c r="J108" s="460">
        <f>Latam!K43</f>
        <v>627</v>
      </c>
      <c r="K108" s="460">
        <f>Latam!L43</f>
        <v>423.98369574999924</v>
      </c>
      <c r="L108" s="460">
        <f>Latam!M43</f>
        <v>448.95008515500194</v>
      </c>
      <c r="M108" s="460">
        <f>Latam!N43</f>
        <v>399.75076781640018</v>
      </c>
      <c r="N108" s="460">
        <f>Latam!O43</f>
        <v>366.69957401523607</v>
      </c>
      <c r="O108" s="460">
        <f>Latam!P43</f>
        <v>377.42688315635678</v>
      </c>
      <c r="P108" s="460">
        <f>Latam!Q43</f>
        <v>388.43660483351596</v>
      </c>
      <c r="Q108" s="460">
        <f>Latam!R43</f>
        <v>399.73574462449869</v>
      </c>
      <c r="R108" s="460">
        <f>Latam!S43</f>
        <v>411.33147536518845</v>
      </c>
      <c r="S108" s="460">
        <f>Latam!T43</f>
        <v>423.23114103765693</v>
      </c>
      <c r="T108" s="460">
        <f>Latam!U43</f>
        <v>435.44226074687685</v>
      </c>
      <c r="U108" s="460">
        <f>Latam!V43</f>
        <v>447.97253278804965</v>
      </c>
      <c r="V108" s="460"/>
      <c r="W108" s="460"/>
      <c r="X108" s="154"/>
      <c r="Y108" s="153"/>
    </row>
    <row r="109" spans="1:25">
      <c r="A109" s="154" t="s">
        <v>273</v>
      </c>
      <c r="B109" s="154"/>
      <c r="C109" s="154"/>
      <c r="D109" s="154"/>
      <c r="E109" s="154"/>
      <c r="F109" s="460">
        <f>MENA!G19</f>
        <v>0</v>
      </c>
      <c r="G109" s="460">
        <f>MENA!H19</f>
        <v>240</v>
      </c>
      <c r="H109" s="460">
        <f>MENA!I19</f>
        <v>129</v>
      </c>
      <c r="I109" s="460">
        <f>MENA!J19</f>
        <v>141</v>
      </c>
      <c r="J109" s="460">
        <f>MENA!K19</f>
        <v>3</v>
      </c>
      <c r="K109" s="460"/>
      <c r="L109" s="460"/>
      <c r="M109" s="460"/>
      <c r="N109" s="460"/>
      <c r="O109" s="460"/>
      <c r="P109" s="460"/>
      <c r="Q109" s="460"/>
      <c r="R109" s="460"/>
      <c r="S109" s="460"/>
      <c r="T109" s="460"/>
      <c r="U109" s="460"/>
      <c r="V109" s="460"/>
      <c r="W109" s="460"/>
      <c r="X109" s="154"/>
      <c r="Y109" s="153"/>
    </row>
    <row r="110" spans="1:25">
      <c r="A110" s="154"/>
      <c r="B110" s="154"/>
      <c r="C110" s="154"/>
      <c r="D110" s="154"/>
      <c r="E110" s="154"/>
      <c r="F110" s="982">
        <f>SUM(F106:F109)</f>
        <v>65</v>
      </c>
      <c r="G110" s="982">
        <f t="shared" ref="G110:K110" si="69">SUM(G106:G109)</f>
        <v>3236</v>
      </c>
      <c r="H110" s="982">
        <f t="shared" si="69"/>
        <v>2918</v>
      </c>
      <c r="I110" s="982">
        <f t="shared" si="69"/>
        <v>423</v>
      </c>
      <c r="J110" s="982">
        <f t="shared" si="69"/>
        <v>829</v>
      </c>
      <c r="K110" s="982">
        <f t="shared" si="69"/>
        <v>-969.10814146500161</v>
      </c>
      <c r="L110" s="982">
        <f t="shared" ref="L110" si="70">SUM(L106:L109)</f>
        <v>609.5167863474253</v>
      </c>
      <c r="M110" s="982">
        <f t="shared" ref="M110" si="71">SUM(M106:M109)</f>
        <v>572.63147141172885</v>
      </c>
      <c r="N110" s="982">
        <f t="shared" ref="N110" si="72">SUM(N106:N109)</f>
        <v>559.80410640468472</v>
      </c>
      <c r="O110" s="982">
        <f t="shared" ref="O110" si="73">SUM(O106:O109)</f>
        <v>577.09297814293495</v>
      </c>
      <c r="P110" s="982">
        <f t="shared" ref="P110:Q110" si="74">SUM(P106:P109)</f>
        <v>592.07444070947349</v>
      </c>
      <c r="Q110" s="982">
        <f t="shared" si="74"/>
        <v>621.35974332447768</v>
      </c>
      <c r="R110" s="982">
        <f t="shared" ref="R110:U110" si="75">SUM(R106:R109)</f>
        <v>645.82328081116975</v>
      </c>
      <c r="S110" s="982">
        <f t="shared" si="75"/>
        <v>665.25738850018024</v>
      </c>
      <c r="T110" s="982">
        <f t="shared" si="75"/>
        <v>685.18833854542754</v>
      </c>
      <c r="U110" s="982">
        <f t="shared" si="75"/>
        <v>711.42397391362283</v>
      </c>
      <c r="V110" s="460"/>
      <c r="W110" s="460"/>
      <c r="X110" s="154"/>
      <c r="Y110" s="153"/>
    </row>
    <row r="111" spans="1:25">
      <c r="A111" s="154"/>
      <c r="B111" s="154"/>
      <c r="C111" s="154"/>
      <c r="D111" s="154"/>
      <c r="E111" s="154"/>
      <c r="F111" s="154"/>
      <c r="G111" s="154"/>
      <c r="H111" s="154"/>
      <c r="I111" s="154"/>
      <c r="J111" s="154"/>
      <c r="K111" s="154"/>
      <c r="L111" s="154"/>
      <c r="M111" s="154"/>
      <c r="N111" s="154"/>
      <c r="O111" s="154"/>
      <c r="P111" s="154"/>
      <c r="Q111" s="154"/>
      <c r="R111" s="154"/>
      <c r="S111" s="154"/>
      <c r="T111" s="154"/>
      <c r="U111" s="154"/>
      <c r="V111" s="460"/>
      <c r="W111" s="460"/>
      <c r="X111" s="154"/>
      <c r="Y111" s="153"/>
    </row>
    <row r="112" spans="1:25">
      <c r="A112" s="154"/>
      <c r="B112" s="154"/>
      <c r="C112" s="154"/>
      <c r="D112" s="154"/>
      <c r="E112" s="154"/>
      <c r="F112" s="154"/>
      <c r="G112" s="154"/>
      <c r="H112" s="154"/>
      <c r="I112" s="154"/>
      <c r="J112" s="154"/>
      <c r="K112" s="154"/>
      <c r="L112" s="154"/>
      <c r="M112" s="154"/>
      <c r="N112" s="154"/>
      <c r="O112" s="154"/>
      <c r="P112" s="154"/>
      <c r="Q112" s="154"/>
      <c r="R112" s="154"/>
      <c r="S112" s="154"/>
      <c r="T112" s="154"/>
      <c r="U112" s="154"/>
      <c r="V112" s="460"/>
      <c r="W112" s="460"/>
      <c r="X112" s="154"/>
      <c r="Y112" s="153"/>
    </row>
    <row r="113" spans="1:25">
      <c r="A113" s="154"/>
      <c r="B113" s="154"/>
      <c r="C113" s="154"/>
      <c r="D113" s="154"/>
      <c r="E113" s="154"/>
      <c r="F113" s="154"/>
      <c r="G113" s="154"/>
      <c r="H113" s="154"/>
      <c r="I113" s="154"/>
      <c r="J113" s="154"/>
      <c r="K113" s="154"/>
      <c r="L113" s="154"/>
      <c r="M113" s="154"/>
      <c r="N113" s="154"/>
      <c r="O113" s="154"/>
      <c r="P113" s="154"/>
      <c r="Q113" s="154"/>
      <c r="R113" s="154"/>
      <c r="S113" s="154"/>
      <c r="T113" s="154"/>
      <c r="U113" s="154"/>
      <c r="V113" s="460"/>
      <c r="W113" s="460"/>
      <c r="X113" s="154"/>
      <c r="Y113" s="153"/>
    </row>
    <row r="114" spans="1:25">
      <c r="A114" s="154"/>
      <c r="B114" s="154"/>
      <c r="C114" s="154"/>
      <c r="D114" s="154"/>
      <c r="E114" s="154"/>
      <c r="F114" s="154"/>
      <c r="G114" s="154"/>
      <c r="H114" s="154"/>
      <c r="I114" s="154"/>
      <c r="J114" s="154"/>
      <c r="K114" s="154"/>
      <c r="L114" s="154"/>
      <c r="M114" s="154"/>
      <c r="N114" s="154"/>
      <c r="O114" s="154"/>
      <c r="P114" s="154"/>
      <c r="Q114" s="154"/>
      <c r="R114" s="154"/>
      <c r="S114" s="154"/>
      <c r="T114" s="154"/>
      <c r="U114" s="154"/>
      <c r="V114" s="460"/>
      <c r="W114" s="460"/>
      <c r="X114" s="154"/>
      <c r="Y114" s="153"/>
    </row>
    <row r="115" spans="1:25">
      <c r="A115" s="154"/>
      <c r="B115" s="154"/>
      <c r="C115" s="154"/>
      <c r="D115" s="154"/>
      <c r="E115" s="154"/>
      <c r="F115" s="154"/>
      <c r="G115" s="154"/>
      <c r="H115" s="154"/>
      <c r="I115" s="154"/>
      <c r="J115" s="154"/>
      <c r="K115" s="154"/>
      <c r="L115" s="154"/>
      <c r="M115" s="154"/>
      <c r="N115" s="154"/>
      <c r="O115" s="154"/>
      <c r="P115" s="154"/>
      <c r="Q115" s="154"/>
      <c r="R115" s="154"/>
      <c r="S115" s="154"/>
      <c r="T115" s="154"/>
      <c r="U115" s="154"/>
      <c r="V115" s="460"/>
      <c r="W115" s="460"/>
      <c r="X115" s="154"/>
      <c r="Y115" s="153"/>
    </row>
    <row r="116" spans="1:25">
      <c r="A116" s="984" t="s">
        <v>907</v>
      </c>
      <c r="B116" s="985">
        <f t="shared" ref="B116:P116" si="76">B2</f>
        <v>2016</v>
      </c>
      <c r="C116" s="985">
        <f t="shared" si="76"/>
        <v>2017</v>
      </c>
      <c r="D116" s="985">
        <f t="shared" si="76"/>
        <v>2018</v>
      </c>
      <c r="E116" s="985">
        <f t="shared" si="76"/>
        <v>2019</v>
      </c>
      <c r="F116" s="985">
        <f t="shared" si="76"/>
        <v>2020</v>
      </c>
      <c r="G116" s="985">
        <f t="shared" si="76"/>
        <v>2021</v>
      </c>
      <c r="H116" s="985">
        <f t="shared" si="76"/>
        <v>2022</v>
      </c>
      <c r="I116" s="985">
        <f t="shared" si="76"/>
        <v>2023</v>
      </c>
      <c r="J116" s="985">
        <f t="shared" si="76"/>
        <v>2024</v>
      </c>
      <c r="K116" s="985" t="str">
        <f t="shared" si="76"/>
        <v>2025E</v>
      </c>
      <c r="L116" s="985" t="str">
        <f t="shared" si="76"/>
        <v>2026E</v>
      </c>
      <c r="M116" s="985" t="str">
        <f t="shared" si="76"/>
        <v>2027E</v>
      </c>
      <c r="N116" s="985" t="str">
        <f t="shared" si="76"/>
        <v>2028E</v>
      </c>
      <c r="O116" s="985" t="str">
        <f t="shared" si="76"/>
        <v>2029E</v>
      </c>
      <c r="P116" s="985" t="str">
        <f t="shared" si="76"/>
        <v>2030E</v>
      </c>
      <c r="Q116" s="985" t="str">
        <f t="shared" ref="Q116:U116" si="77">Q2</f>
        <v>2031E</v>
      </c>
      <c r="R116" s="985" t="str">
        <f t="shared" si="77"/>
        <v>2032E</v>
      </c>
      <c r="S116" s="985" t="str">
        <f t="shared" si="77"/>
        <v>2033E</v>
      </c>
      <c r="T116" s="985" t="str">
        <f t="shared" si="77"/>
        <v>2034E</v>
      </c>
      <c r="U116" s="985" t="str">
        <f t="shared" si="77"/>
        <v>2035E</v>
      </c>
      <c r="V116" s="460"/>
      <c r="W116" s="460"/>
      <c r="X116" s="154"/>
      <c r="Y116" s="153"/>
    </row>
    <row r="117" spans="1:25">
      <c r="A117" s="154" t="s">
        <v>898</v>
      </c>
      <c r="B117" s="621"/>
      <c r="C117" s="621"/>
      <c r="D117" s="621"/>
      <c r="E117" s="621"/>
      <c r="F117" s="992"/>
      <c r="G117" s="992"/>
      <c r="H117" s="992">
        <v>966.87400000000002</v>
      </c>
      <c r="I117" s="992">
        <v>902.923</v>
      </c>
      <c r="J117" s="992">
        <v>775.85599999999999</v>
      </c>
      <c r="K117" s="167">
        <f>Master!L19+Master!L113</f>
        <v>863.50356276198829</v>
      </c>
      <c r="L117" s="167">
        <f>Master!M19+Master!M113</f>
        <v>925.71943804877344</v>
      </c>
      <c r="M117" s="167">
        <f>Master!N19+Master!N113</f>
        <v>1032.6169290620851</v>
      </c>
      <c r="N117" s="167">
        <f>Master!O19+Master!O113</f>
        <v>1110.439366166115</v>
      </c>
      <c r="O117" s="167">
        <f>Master!P19+Master!P113</f>
        <v>1193.5232322002673</v>
      </c>
      <c r="P117" s="167">
        <f>Master!Q19+Master!Q113</f>
        <v>1281.6670032852194</v>
      </c>
      <c r="Q117" s="167">
        <f>Master!R19+Master!R113</f>
        <v>1372.5218377107606</v>
      </c>
      <c r="R117" s="167">
        <f>Master!S19+Master!S113</f>
        <v>1454.089933222042</v>
      </c>
      <c r="S117" s="167">
        <f>Master!T19+Master!T113</f>
        <v>1553.0591758182738</v>
      </c>
      <c r="T117" s="167">
        <f>Master!U19+Master!U113</f>
        <v>1659.4803521571639</v>
      </c>
      <c r="U117" s="167">
        <f>Master!V19+Master!V113</f>
        <v>1759.0997725417078</v>
      </c>
      <c r="V117" s="460"/>
      <c r="W117" s="460"/>
      <c r="X117" s="154"/>
      <c r="Y117" s="153"/>
    </row>
    <row r="118" spans="1:25">
      <c r="A118" s="154" t="s">
        <v>1112</v>
      </c>
      <c r="B118" s="167"/>
      <c r="C118" s="167"/>
      <c r="D118" s="167"/>
      <c r="E118" s="991"/>
      <c r="F118" s="991"/>
      <c r="G118" s="991"/>
      <c r="H118" s="991">
        <f>-Master!I113</f>
        <v>46.24</v>
      </c>
      <c r="I118" s="991">
        <f>-Master!J113</f>
        <v>224.982</v>
      </c>
      <c r="J118" s="991">
        <f>-Master!K113</f>
        <v>158.667</v>
      </c>
      <c r="K118" s="991">
        <f>-Master!L113</f>
        <v>135.15493423109282</v>
      </c>
      <c r="L118" s="991">
        <f>-Master!M113</f>
        <v>125.57690886901644</v>
      </c>
      <c r="M118" s="991">
        <f>-Master!N113</f>
        <v>104.27030912083694</v>
      </c>
      <c r="N118" s="991">
        <f>-Master!O113</f>
        <v>105.27322557897782</v>
      </c>
      <c r="O118" s="991">
        <f>-Master!P113</f>
        <v>106.39389916131162</v>
      </c>
      <c r="P118" s="991">
        <f>-Master!Q113</f>
        <v>105.7717050242818</v>
      </c>
      <c r="Q118" s="991">
        <f>-Master!R113</f>
        <v>102.25721279217592</v>
      </c>
      <c r="R118" s="991">
        <f>-Master!S113</f>
        <v>110.61798739812178</v>
      </c>
      <c r="S118" s="991">
        <f>-Master!T113</f>
        <v>107.33990281919588</v>
      </c>
      <c r="T118" s="991">
        <f>-Master!U113</f>
        <v>102.67790960480198</v>
      </c>
      <c r="U118" s="991">
        <f>-Master!V113</f>
        <v>111.37659455884666</v>
      </c>
      <c r="V118" s="460"/>
      <c r="W118" s="460"/>
      <c r="X118" s="154"/>
      <c r="Y118" s="153"/>
    </row>
    <row r="119" spans="1:25">
      <c r="A119" s="154" t="s">
        <v>1140</v>
      </c>
      <c r="B119" s="167"/>
      <c r="C119" s="167"/>
      <c r="D119" s="167"/>
      <c r="E119" s="991"/>
      <c r="F119" s="991"/>
      <c r="G119" s="991"/>
      <c r="H119" s="991">
        <f>Master!I112</f>
        <v>-51.244999999999997</v>
      </c>
      <c r="I119" s="991">
        <f>Master!J112</f>
        <v>-45.411000000000001</v>
      </c>
      <c r="J119" s="991">
        <f>Master!K112</f>
        <v>-38.628999999999998</v>
      </c>
      <c r="K119" s="991">
        <f>Master!L112</f>
        <v>-44.980206961226379</v>
      </c>
      <c r="L119" s="991">
        <f>Master!M112</f>
        <v>-65.646527322746209</v>
      </c>
      <c r="M119" s="991">
        <f>Master!N112</f>
        <v>-88.114476653310433</v>
      </c>
      <c r="N119" s="991">
        <f>Master!O112</f>
        <v>-106.84398123795764</v>
      </c>
      <c r="O119" s="991">
        <f>Master!P112</f>
        <v>-127.7293323991356</v>
      </c>
      <c r="P119" s="991">
        <f>Master!Q112</f>
        <v>-150.06020705724754</v>
      </c>
      <c r="Q119" s="991">
        <f>Master!R112</f>
        <v>-172.53323710010218</v>
      </c>
      <c r="R119" s="991">
        <f>Master!S112</f>
        <v>-196.1136120180027</v>
      </c>
      <c r="S119" s="991">
        <f>Master!T112</f>
        <v>-221.46817080988657</v>
      </c>
      <c r="T119" s="991">
        <f>Master!U112</f>
        <v>-248.92913200351177</v>
      </c>
      <c r="U119" s="991">
        <f>Master!V112</f>
        <v>-278.33927193664994</v>
      </c>
      <c r="V119" s="460"/>
      <c r="W119" s="460"/>
      <c r="X119" s="154"/>
      <c r="Y119" s="153"/>
    </row>
    <row r="120" spans="1:25">
      <c r="A120" s="154" t="s">
        <v>1141</v>
      </c>
      <c r="B120" s="621"/>
      <c r="C120" s="621"/>
      <c r="D120" s="621"/>
      <c r="E120" s="621"/>
      <c r="F120" s="621"/>
      <c r="G120" s="621"/>
      <c r="H120" s="992">
        <v>-116.14700000000001</v>
      </c>
      <c r="I120" s="992">
        <v>-117.56100000000001</v>
      </c>
      <c r="J120" s="992">
        <v>-85.075999999999993</v>
      </c>
      <c r="K120" s="993">
        <v>-40</v>
      </c>
      <c r="L120" s="993">
        <v>-40</v>
      </c>
      <c r="M120" s="993">
        <v>-40</v>
      </c>
      <c r="N120" s="993">
        <v>-40</v>
      </c>
      <c r="O120" s="993">
        <v>-40</v>
      </c>
      <c r="P120" s="993">
        <v>-40</v>
      </c>
      <c r="Q120" s="993">
        <v>-40</v>
      </c>
      <c r="R120" s="993">
        <v>-40</v>
      </c>
      <c r="S120" s="993">
        <v>-40</v>
      </c>
      <c r="T120" s="993">
        <v>-40</v>
      </c>
      <c r="U120" s="993">
        <v>-40</v>
      </c>
      <c r="V120" s="460"/>
      <c r="W120" s="460"/>
      <c r="X120" s="154"/>
      <c r="Y120" s="153"/>
    </row>
    <row r="121" spans="1:25">
      <c r="A121" s="154" t="s">
        <v>1145</v>
      </c>
      <c r="B121" s="621"/>
      <c r="C121" s="621"/>
      <c r="D121" s="621"/>
      <c r="E121" s="621"/>
      <c r="F121" s="621"/>
      <c r="G121" s="621"/>
      <c r="H121" s="992">
        <v>-120.79</v>
      </c>
      <c r="I121" s="992">
        <v>-135.01300000000001</v>
      </c>
      <c r="J121" s="992">
        <v>-129.101</v>
      </c>
      <c r="K121" s="991">
        <f>K132-K133</f>
        <v>-124.575132</v>
      </c>
      <c r="L121" s="991">
        <f t="shared" ref="L121:P121" si="78">L132-L133</f>
        <v>-133.84170360000002</v>
      </c>
      <c r="M121" s="991">
        <f t="shared" si="78"/>
        <v>-143.87538528000002</v>
      </c>
      <c r="N121" s="991">
        <f t="shared" si="78"/>
        <v>-154.74491069400003</v>
      </c>
      <c r="O121" s="991">
        <f t="shared" si="78"/>
        <v>-166.52548799370004</v>
      </c>
      <c r="P121" s="991">
        <f t="shared" si="78"/>
        <v>-179.29942733488505</v>
      </c>
      <c r="Q121" s="991">
        <f t="shared" ref="Q121:U121" si="79">Q132-Q133</f>
        <v>-190.71061441945432</v>
      </c>
      <c r="R121" s="991">
        <f t="shared" si="79"/>
        <v>-200.24614514042702</v>
      </c>
      <c r="S121" s="991">
        <f t="shared" si="79"/>
        <v>-210.25845239744837</v>
      </c>
      <c r="T121" s="991">
        <f t="shared" si="79"/>
        <v>-220.77137501732079</v>
      </c>
      <c r="U121" s="991">
        <f t="shared" si="79"/>
        <v>-231.80994376818686</v>
      </c>
      <c r="V121" s="460"/>
      <c r="W121" s="460"/>
      <c r="X121" s="154"/>
      <c r="Y121" s="153"/>
    </row>
    <row r="122" spans="1:25">
      <c r="A122" s="154" t="s">
        <v>1142</v>
      </c>
      <c r="B122" s="167"/>
      <c r="C122" s="167"/>
      <c r="D122" s="167"/>
      <c r="E122" s="167"/>
      <c r="F122" s="167"/>
      <c r="G122" s="167"/>
      <c r="H122" s="992">
        <f>Master!I111+Master!I193</f>
        <v>-219.39700000000002</v>
      </c>
      <c r="I122" s="992">
        <f>Master!J111+Master!J193</f>
        <v>-274.02100000000002</v>
      </c>
      <c r="J122" s="992">
        <v>-317.15800000000002</v>
      </c>
      <c r="K122" s="991">
        <f>Master!L111+Master!L193</f>
        <v>-322.69773525155665</v>
      </c>
      <c r="L122" s="991">
        <f>Master!M111+Master!M193</f>
        <v>-314.27069563133182</v>
      </c>
      <c r="M122" s="991">
        <f>Master!N111+Master!N193</f>
        <v>-311.38301385737452</v>
      </c>
      <c r="N122" s="991">
        <f>Master!O111+Master!O193</f>
        <v>-307.98873570761992</v>
      </c>
      <c r="O122" s="991">
        <f>Master!P111+Master!P193</f>
        <v>-304.49559156955888</v>
      </c>
      <c r="P122" s="991">
        <f>Master!Q111+Master!Q193</f>
        <v>-300.78990702470406</v>
      </c>
      <c r="Q122" s="991">
        <f>Master!R111+Master!R193</f>
        <v>-296.92181491281804</v>
      </c>
      <c r="R122" s="991">
        <f>Master!S111+Master!S193</f>
        <v>-293.21176624482428</v>
      </c>
      <c r="S122" s="991">
        <f>Master!T111+Master!T193</f>
        <v>-289.80200524350084</v>
      </c>
      <c r="T122" s="991">
        <f>Master!U111+Master!U193</f>
        <v>-286.59081626835444</v>
      </c>
      <c r="U122" s="991">
        <f>Master!V111+Master!V193</f>
        <v>-283.74362011413422</v>
      </c>
      <c r="V122" s="460"/>
      <c r="W122" s="460"/>
      <c r="X122" s="154"/>
      <c r="Y122" s="153"/>
    </row>
    <row r="123" spans="1:25">
      <c r="A123" s="154" t="s">
        <v>1143</v>
      </c>
      <c r="B123" s="167"/>
      <c r="C123" s="167"/>
      <c r="D123" s="167"/>
      <c r="E123" s="167"/>
      <c r="F123" s="167"/>
      <c r="G123" s="167"/>
      <c r="H123" s="992">
        <v>21.388999999999999</v>
      </c>
      <c r="I123" s="992">
        <v>6.7919999999999998</v>
      </c>
      <c r="J123" s="992">
        <v>6.7069999999999999</v>
      </c>
      <c r="K123" s="993">
        <v>0</v>
      </c>
      <c r="L123" s="993">
        <v>0</v>
      </c>
      <c r="M123" s="993">
        <v>0</v>
      </c>
      <c r="N123" s="993">
        <v>0</v>
      </c>
      <c r="O123" s="993">
        <v>0</v>
      </c>
      <c r="P123" s="993">
        <v>0</v>
      </c>
      <c r="Q123" s="993">
        <v>0</v>
      </c>
      <c r="R123" s="993">
        <v>0</v>
      </c>
      <c r="S123" s="993">
        <v>0</v>
      </c>
      <c r="T123" s="993">
        <v>0</v>
      </c>
      <c r="U123" s="993">
        <v>0</v>
      </c>
      <c r="V123" s="460"/>
      <c r="W123" s="460"/>
      <c r="X123" s="154"/>
      <c r="Y123" s="153"/>
    </row>
    <row r="124" spans="1:25">
      <c r="A124" s="154" t="s">
        <v>8</v>
      </c>
      <c r="B124" s="167"/>
      <c r="C124" s="167"/>
      <c r="D124" s="167"/>
      <c r="E124" s="167"/>
      <c r="F124" s="167"/>
      <c r="G124" s="167"/>
      <c r="H124" s="992">
        <v>8.3849999999999998</v>
      </c>
      <c r="I124" s="992">
        <v>12.228999999999999</v>
      </c>
      <c r="J124" s="992">
        <v>5.5129999999999999</v>
      </c>
      <c r="K124" s="993">
        <v>15</v>
      </c>
      <c r="L124" s="993">
        <v>0</v>
      </c>
      <c r="M124" s="993">
        <v>0</v>
      </c>
      <c r="N124" s="993">
        <v>0</v>
      </c>
      <c r="O124" s="993">
        <v>0</v>
      </c>
      <c r="P124" s="993">
        <v>0</v>
      </c>
      <c r="Q124" s="993">
        <v>0</v>
      </c>
      <c r="R124" s="993">
        <v>0</v>
      </c>
      <c r="S124" s="993">
        <v>0</v>
      </c>
      <c r="T124" s="993">
        <v>0</v>
      </c>
      <c r="U124" s="993">
        <v>0</v>
      </c>
      <c r="V124" s="460"/>
      <c r="W124" s="460"/>
      <c r="X124" s="154"/>
      <c r="Y124" s="153"/>
    </row>
    <row r="125" spans="1:25">
      <c r="A125" s="154" t="s">
        <v>666</v>
      </c>
      <c r="B125" s="167"/>
      <c r="C125" s="167"/>
      <c r="D125" s="167"/>
      <c r="E125" s="167"/>
      <c r="F125" s="167"/>
      <c r="G125" s="167"/>
      <c r="H125" s="992">
        <v>-2.5</v>
      </c>
      <c r="I125" s="992">
        <v>0</v>
      </c>
      <c r="J125" s="992">
        <v>0</v>
      </c>
      <c r="K125" s="993">
        <v>0</v>
      </c>
      <c r="L125" s="993">
        <v>0</v>
      </c>
      <c r="M125" s="993">
        <v>0</v>
      </c>
      <c r="N125" s="993">
        <v>0</v>
      </c>
      <c r="O125" s="993">
        <v>0</v>
      </c>
      <c r="P125" s="993">
        <v>0</v>
      </c>
      <c r="Q125" s="993">
        <v>0</v>
      </c>
      <c r="R125" s="993">
        <v>0</v>
      </c>
      <c r="S125" s="993">
        <v>0</v>
      </c>
      <c r="T125" s="993">
        <v>0</v>
      </c>
      <c r="U125" s="993">
        <v>0</v>
      </c>
      <c r="V125" s="460"/>
      <c r="W125" s="460"/>
      <c r="X125" s="154"/>
      <c r="Y125" s="153"/>
    </row>
    <row r="126" spans="1:25">
      <c r="A126" s="154" t="s">
        <v>622</v>
      </c>
      <c r="B126" s="167"/>
      <c r="C126" s="167"/>
      <c r="D126" s="167"/>
      <c r="E126" s="167"/>
      <c r="F126" s="167"/>
      <c r="G126" s="167"/>
      <c r="H126" s="991">
        <f t="shared" ref="H126:P126" si="80">-H86</f>
        <v>-166.357</v>
      </c>
      <c r="I126" s="991">
        <f t="shared" si="80"/>
        <v>-139.958</v>
      </c>
      <c r="J126" s="991">
        <f t="shared" si="80"/>
        <v>-71.796000000000006</v>
      </c>
      <c r="K126" s="991">
        <f t="shared" si="80"/>
        <v>-80</v>
      </c>
      <c r="L126" s="991">
        <f t="shared" si="80"/>
        <v>-90</v>
      </c>
      <c r="M126" s="991">
        <f t="shared" si="80"/>
        <v>-90</v>
      </c>
      <c r="N126" s="991">
        <f t="shared" si="80"/>
        <v>-90</v>
      </c>
      <c r="O126" s="991">
        <f t="shared" si="80"/>
        <v>-90</v>
      </c>
      <c r="P126" s="991">
        <f t="shared" si="80"/>
        <v>-90</v>
      </c>
      <c r="Q126" s="991">
        <f t="shared" ref="Q126:U126" si="81">-Q86</f>
        <v>-90</v>
      </c>
      <c r="R126" s="991">
        <f t="shared" si="81"/>
        <v>-90</v>
      </c>
      <c r="S126" s="991">
        <f t="shared" si="81"/>
        <v>-90</v>
      </c>
      <c r="T126" s="991">
        <f t="shared" si="81"/>
        <v>-90</v>
      </c>
      <c r="U126" s="991">
        <f t="shared" si="81"/>
        <v>-90</v>
      </c>
      <c r="V126" s="460"/>
      <c r="W126" s="460"/>
      <c r="X126" s="154"/>
      <c r="Y126" s="153"/>
    </row>
    <row r="127" spans="1:25">
      <c r="A127" s="154" t="s">
        <v>1139</v>
      </c>
      <c r="B127" s="167"/>
      <c r="C127" s="167"/>
      <c r="D127" s="167"/>
      <c r="E127" s="167"/>
      <c r="F127" s="167"/>
      <c r="G127" s="167"/>
      <c r="H127" s="991">
        <f t="shared" ref="H127:P127" si="82">-H87</f>
        <v>-3.3690000000000002</v>
      </c>
      <c r="I127" s="991">
        <f t="shared" si="82"/>
        <v>-2.1800000000000002</v>
      </c>
      <c r="J127" s="991">
        <f t="shared" si="82"/>
        <v>-0.78500000000000003</v>
      </c>
      <c r="K127" s="991">
        <f t="shared" si="82"/>
        <v>-1</v>
      </c>
      <c r="L127" s="991">
        <f t="shared" si="82"/>
        <v>-1</v>
      </c>
      <c r="M127" s="991">
        <f t="shared" si="82"/>
        <v>-1</v>
      </c>
      <c r="N127" s="991">
        <f t="shared" si="82"/>
        <v>-1</v>
      </c>
      <c r="O127" s="991">
        <f t="shared" si="82"/>
        <v>-1</v>
      </c>
      <c r="P127" s="991">
        <f t="shared" si="82"/>
        <v>-1</v>
      </c>
      <c r="Q127" s="991">
        <f t="shared" ref="Q127:U127" si="83">-Q87</f>
        <v>-1</v>
      </c>
      <c r="R127" s="991">
        <f t="shared" si="83"/>
        <v>-1</v>
      </c>
      <c r="S127" s="991">
        <f t="shared" si="83"/>
        <v>-1</v>
      </c>
      <c r="T127" s="991">
        <f t="shared" si="83"/>
        <v>-1</v>
      </c>
      <c r="U127" s="991">
        <f t="shared" si="83"/>
        <v>-1</v>
      </c>
      <c r="V127" s="460"/>
      <c r="W127" s="460"/>
      <c r="X127" s="154"/>
      <c r="Y127" s="153"/>
    </row>
    <row r="128" spans="1:25">
      <c r="A128" s="986" t="s">
        <v>907</v>
      </c>
      <c r="B128" s="994"/>
      <c r="C128" s="994"/>
      <c r="D128" s="994"/>
      <c r="E128" s="994"/>
      <c r="F128" s="994"/>
      <c r="G128" s="994"/>
      <c r="H128" s="994">
        <f t="shared" ref="H128:I128" si="84">SUM(H117:H127)</f>
        <v>363.08299999999997</v>
      </c>
      <c r="I128" s="994">
        <f t="shared" si="84"/>
        <v>432.78199999999998</v>
      </c>
      <c r="J128" s="994">
        <f>SUM(J117:J127)</f>
        <v>304.19799999999992</v>
      </c>
      <c r="K128" s="994">
        <f>SUM(K117:K127)</f>
        <v>400.40542278029807</v>
      </c>
      <c r="L128" s="994">
        <f t="shared" ref="L128:P128" si="85">SUM(L117:L127)</f>
        <v>406.53742036371182</v>
      </c>
      <c r="M128" s="994">
        <f t="shared" si="85"/>
        <v>462.51436239223688</v>
      </c>
      <c r="N128" s="994">
        <f t="shared" si="85"/>
        <v>515.13496410551511</v>
      </c>
      <c r="O128" s="994">
        <f t="shared" si="85"/>
        <v>570.16671939918444</v>
      </c>
      <c r="P128" s="994">
        <f t="shared" si="85"/>
        <v>626.28916689266453</v>
      </c>
      <c r="Q128" s="994">
        <f t="shared" ref="Q128:U128" si="86">SUM(Q117:Q127)</f>
        <v>683.61338407056201</v>
      </c>
      <c r="R128" s="994">
        <f t="shared" si="86"/>
        <v>744.13639721690993</v>
      </c>
      <c r="S128" s="994">
        <f t="shared" si="86"/>
        <v>807.87045018663412</v>
      </c>
      <c r="T128" s="994">
        <f t="shared" si="86"/>
        <v>874.86693847277866</v>
      </c>
      <c r="U128" s="994">
        <f t="shared" si="86"/>
        <v>945.58353128158319</v>
      </c>
      <c r="V128" s="460"/>
      <c r="W128" s="460"/>
      <c r="X128" s="154"/>
      <c r="Y128" s="153"/>
    </row>
    <row r="129" spans="1:25">
      <c r="A129" s="154" t="s">
        <v>633</v>
      </c>
      <c r="B129" s="154"/>
      <c r="C129" s="154"/>
      <c r="D129" s="154"/>
      <c r="E129" s="154"/>
      <c r="F129" s="154"/>
      <c r="G129" s="154"/>
      <c r="H129" s="154"/>
      <c r="I129" s="954">
        <f>I128/H128-1</f>
        <v>0.19196437178276038</v>
      </c>
      <c r="J129" s="954">
        <f t="shared" ref="J129" si="87">J128/I128-1</f>
        <v>-0.29711032344228749</v>
      </c>
      <c r="K129" s="954">
        <f t="shared" ref="K129" si="88">K128/J128-1</f>
        <v>0.31626579655454079</v>
      </c>
      <c r="L129" s="954">
        <f t="shared" ref="L129" si="89">L128/K128-1</f>
        <v>1.5314471869124491E-2</v>
      </c>
      <c r="M129" s="954">
        <f t="shared" ref="M129" si="90">M128/L128-1</f>
        <v>0.13769197919946663</v>
      </c>
      <c r="N129" s="954">
        <f t="shared" ref="N129" si="91">N128/M128-1</f>
        <v>0.11377074095842499</v>
      </c>
      <c r="O129" s="954">
        <f t="shared" ref="O129" si="92">O128/N128-1</f>
        <v>0.10682978079196581</v>
      </c>
      <c r="P129" s="954">
        <f t="shared" ref="P129" si="93">P128/O128-1</f>
        <v>9.8431643910432687E-2</v>
      </c>
      <c r="Q129" s="954">
        <f t="shared" ref="Q129" si="94">Q128/P128-1</f>
        <v>9.1529951671225129E-2</v>
      </c>
      <c r="R129" s="954">
        <f t="shared" ref="R129" si="95">R128/Q128-1</f>
        <v>8.8533979229553417E-2</v>
      </c>
      <c r="S129" s="954">
        <f t="shared" ref="S129" si="96">S128/R128-1</f>
        <v>8.5648347813776171E-2</v>
      </c>
      <c r="T129" s="954">
        <f t="shared" ref="T129" si="97">T128/S128-1</f>
        <v>8.2929742349985736E-2</v>
      </c>
      <c r="U129" s="954">
        <f t="shared" ref="U129" si="98">U128/T128-1</f>
        <v>8.0831255244656619E-2</v>
      </c>
      <c r="V129" s="460"/>
      <c r="W129" s="460"/>
      <c r="X129" s="154"/>
      <c r="Y129" s="153"/>
    </row>
    <row r="130" spans="1:25">
      <c r="A130" s="530" t="s">
        <v>648</v>
      </c>
      <c r="B130" s="530"/>
      <c r="C130" s="530"/>
      <c r="D130" s="530"/>
      <c r="E130" s="530"/>
      <c r="F130" s="530"/>
      <c r="G130" s="531"/>
      <c r="H130" s="531"/>
      <c r="I130" s="531"/>
      <c r="J130" s="531"/>
      <c r="K130" s="562" t="s">
        <v>1190</v>
      </c>
      <c r="L130" s="531"/>
      <c r="M130" s="531"/>
      <c r="N130" s="154"/>
      <c r="O130" s="154"/>
      <c r="P130" s="154"/>
      <c r="Q130" s="154"/>
      <c r="R130" s="154"/>
      <c r="S130" s="154"/>
      <c r="T130" s="154"/>
      <c r="U130" s="154"/>
      <c r="V130" s="460"/>
      <c r="W130" s="460"/>
      <c r="X130" s="154"/>
      <c r="Y130" s="153"/>
    </row>
    <row r="131" spans="1:25">
      <c r="A131" s="154"/>
      <c r="B131" s="154"/>
      <c r="C131" s="154"/>
      <c r="D131" s="154"/>
      <c r="E131" s="154"/>
      <c r="F131" s="154"/>
      <c r="G131" s="154"/>
      <c r="H131" s="154"/>
      <c r="I131" s="154"/>
      <c r="J131" s="154"/>
      <c r="K131" s="154"/>
      <c r="L131" s="154"/>
      <c r="M131" s="154"/>
      <c r="N131" s="154"/>
      <c r="O131" s="154"/>
      <c r="P131" s="154"/>
      <c r="Q131" s="154"/>
      <c r="R131" s="154"/>
      <c r="S131" s="154"/>
      <c r="T131" s="154"/>
      <c r="U131" s="154"/>
      <c r="V131" s="460"/>
      <c r="W131" s="460"/>
      <c r="X131" s="154"/>
      <c r="Y131" s="153"/>
    </row>
    <row r="132" spans="1:25">
      <c r="A132" s="154" t="s">
        <v>1148</v>
      </c>
      <c r="B132" s="154"/>
      <c r="C132" s="154"/>
      <c r="D132" s="154"/>
      <c r="E132" s="154"/>
      <c r="F132" s="154"/>
      <c r="G132" s="154"/>
      <c r="H132" s="523">
        <f>Master!I115-Master!I193</f>
        <v>-112.807</v>
      </c>
      <c r="I132" s="523">
        <f>Master!J115-Master!J193</f>
        <v>-131.297</v>
      </c>
      <c r="J132" s="523">
        <f>Master!K115-Master!K193</f>
        <v>-121.274</v>
      </c>
      <c r="K132" s="523">
        <f>Master!L115-Master!L193</f>
        <v>-124.575132</v>
      </c>
      <c r="L132" s="523">
        <f>Master!M115-Master!M193</f>
        <v>-133.84170360000002</v>
      </c>
      <c r="M132" s="523">
        <f>Master!N115-Master!N193</f>
        <v>-143.87538528000002</v>
      </c>
      <c r="N132" s="523">
        <f>Master!O115-Master!O193</f>
        <v>-154.74491069400003</v>
      </c>
      <c r="O132" s="523">
        <f>Master!P115-Master!P193</f>
        <v>-166.52548799370004</v>
      </c>
      <c r="P132" s="523">
        <f>Master!Q115-Master!Q193</f>
        <v>-179.29942733488505</v>
      </c>
      <c r="Q132" s="523">
        <f>Master!R115-Master!R193</f>
        <v>-190.71061441945432</v>
      </c>
      <c r="R132" s="523">
        <f>Master!S115-Master!S193</f>
        <v>-200.24614514042702</v>
      </c>
      <c r="S132" s="523">
        <f>Master!T115-Master!T193</f>
        <v>-210.25845239744837</v>
      </c>
      <c r="T132" s="523">
        <f>Master!U115-Master!U193</f>
        <v>-220.77137501732079</v>
      </c>
      <c r="U132" s="523">
        <f>Master!V115-Master!V193</f>
        <v>-231.80994376818686</v>
      </c>
      <c r="V132" s="460"/>
      <c r="W132" s="460"/>
      <c r="X132" s="154"/>
      <c r="Y132" s="153"/>
    </row>
    <row r="133" spans="1:25">
      <c r="A133" s="154" t="s">
        <v>1149</v>
      </c>
      <c r="B133" s="154"/>
      <c r="C133" s="154"/>
      <c r="D133" s="154"/>
      <c r="E133" s="154"/>
      <c r="F133" s="154"/>
      <c r="G133" s="154"/>
      <c r="H133" s="523">
        <f>H132-H121</f>
        <v>7.9830000000000041</v>
      </c>
      <c r="I133" s="523">
        <f>I132-I121</f>
        <v>3.7160000000000082</v>
      </c>
      <c r="J133" s="523">
        <f>J132-J121</f>
        <v>7.8269999999999982</v>
      </c>
      <c r="K133" s="978">
        <v>0</v>
      </c>
      <c r="L133" s="978">
        <f t="shared" ref="L133:P133" si="99">K133</f>
        <v>0</v>
      </c>
      <c r="M133" s="978">
        <f t="shared" si="99"/>
        <v>0</v>
      </c>
      <c r="N133" s="978">
        <f t="shared" si="99"/>
        <v>0</v>
      </c>
      <c r="O133" s="978">
        <f t="shared" si="99"/>
        <v>0</v>
      </c>
      <c r="P133" s="978">
        <f t="shared" si="99"/>
        <v>0</v>
      </c>
      <c r="Q133" s="978">
        <f t="shared" ref="Q133" si="100">P133</f>
        <v>0</v>
      </c>
      <c r="R133" s="978">
        <f t="shared" ref="R133" si="101">Q133</f>
        <v>0</v>
      </c>
      <c r="S133" s="978">
        <f t="shared" ref="S133" si="102">R133</f>
        <v>0</v>
      </c>
      <c r="T133" s="978">
        <f t="shared" ref="T133" si="103">S133</f>
        <v>0</v>
      </c>
      <c r="U133" s="978">
        <f t="shared" ref="U133" si="104">T133</f>
        <v>0</v>
      </c>
      <c r="V133" s="460"/>
      <c r="W133" s="460"/>
      <c r="X133" s="154"/>
      <c r="Y133" s="153"/>
    </row>
    <row r="134" spans="1:25">
      <c r="A134" s="154"/>
      <c r="B134" s="154"/>
      <c r="C134" s="154"/>
      <c r="D134" s="154"/>
      <c r="E134" s="154"/>
      <c r="F134" s="154"/>
      <c r="G134" s="154"/>
      <c r="H134" s="154"/>
      <c r="I134" s="154"/>
      <c r="J134" s="154"/>
      <c r="K134" s="154"/>
      <c r="L134" s="154"/>
      <c r="M134" s="154"/>
      <c r="N134" s="154"/>
      <c r="O134" s="154"/>
      <c r="P134" s="154"/>
      <c r="Q134" s="154"/>
      <c r="R134" s="154"/>
      <c r="S134" s="154"/>
      <c r="T134" s="154"/>
      <c r="U134" s="154"/>
      <c r="V134" s="460"/>
      <c r="W134" s="460"/>
      <c r="X134" s="154"/>
      <c r="Y134" s="153"/>
    </row>
    <row r="135" spans="1:25">
      <c r="A135" s="154"/>
      <c r="B135" s="154"/>
      <c r="C135" s="154"/>
      <c r="D135" s="154"/>
      <c r="E135" s="154"/>
      <c r="F135" s="154"/>
      <c r="G135" s="154"/>
      <c r="H135" s="154"/>
      <c r="I135" s="154"/>
      <c r="J135" s="154"/>
      <c r="K135" s="154"/>
      <c r="L135" s="154"/>
      <c r="M135" s="154"/>
      <c r="N135" s="154"/>
      <c r="O135" s="154"/>
      <c r="P135" s="154"/>
      <c r="Q135" s="154"/>
      <c r="R135" s="154"/>
      <c r="S135" s="154"/>
      <c r="T135" s="154"/>
      <c r="U135" s="154"/>
      <c r="V135" s="460"/>
      <c r="W135" s="460"/>
      <c r="X135" s="154"/>
      <c r="Y135" s="153"/>
    </row>
    <row r="136" spans="1:25">
      <c r="A136" s="154"/>
      <c r="B136" s="154"/>
      <c r="C136" s="154"/>
      <c r="D136" s="154"/>
      <c r="E136" s="154"/>
      <c r="F136" s="154"/>
      <c r="G136" s="154"/>
      <c r="H136" s="154"/>
      <c r="I136" s="154"/>
      <c r="J136" s="154"/>
      <c r="K136" s="154"/>
      <c r="L136" s="154"/>
      <c r="M136" s="154"/>
      <c r="N136" s="154"/>
      <c r="O136" s="154"/>
      <c r="P136" s="154"/>
      <c r="Q136" s="154"/>
      <c r="R136" s="154"/>
      <c r="S136" s="154"/>
      <c r="T136" s="154"/>
      <c r="U136" s="154"/>
      <c r="V136" s="460"/>
      <c r="W136" s="460"/>
      <c r="X136" s="154"/>
      <c r="Y136" s="153"/>
    </row>
    <row r="137" spans="1:25">
      <c r="A137" s="154"/>
      <c r="B137" s="154"/>
      <c r="C137" s="154"/>
      <c r="D137" s="154"/>
      <c r="E137" s="154"/>
      <c r="F137" s="154"/>
      <c r="G137" s="154"/>
      <c r="H137" s="154"/>
      <c r="I137" s="154"/>
      <c r="J137" s="154"/>
      <c r="K137" s="154"/>
      <c r="L137" s="154"/>
      <c r="M137" s="154"/>
      <c r="N137" s="154"/>
      <c r="O137" s="154"/>
      <c r="P137" s="154"/>
      <c r="Q137" s="154"/>
      <c r="R137" s="154"/>
      <c r="S137" s="154"/>
      <c r="T137" s="154"/>
      <c r="U137" s="154"/>
      <c r="V137" s="460"/>
      <c r="W137" s="460"/>
      <c r="X137" s="154"/>
      <c r="Y137" s="153"/>
    </row>
    <row r="138" spans="1:25">
      <c r="A138" s="154"/>
      <c r="B138" s="154"/>
      <c r="C138" s="154"/>
      <c r="D138" s="154"/>
      <c r="E138" s="154"/>
      <c r="F138" s="154"/>
      <c r="G138" s="154"/>
      <c r="H138" s="154"/>
      <c r="I138" s="154"/>
      <c r="J138" s="154"/>
      <c r="K138" s="154"/>
      <c r="L138" s="154"/>
      <c r="M138" s="154"/>
      <c r="N138" s="154"/>
      <c r="O138" s="154"/>
      <c r="P138" s="154"/>
      <c r="Q138" s="154"/>
      <c r="R138" s="154"/>
      <c r="S138" s="154"/>
      <c r="T138" s="154"/>
      <c r="U138" s="154"/>
      <c r="V138" s="460"/>
      <c r="W138" s="460"/>
      <c r="X138" s="154"/>
      <c r="Y138" s="153"/>
    </row>
    <row r="139" spans="1:25" hidden="1" outlineLevel="1">
      <c r="A139" s="749" t="s">
        <v>995</v>
      </c>
      <c r="B139" s="337"/>
      <c r="C139" s="337"/>
      <c r="D139" s="337"/>
      <c r="E139" s="337"/>
      <c r="F139" s="337"/>
      <c r="G139" s="337"/>
      <c r="H139" s="337"/>
      <c r="I139" s="337"/>
      <c r="J139" s="337"/>
      <c r="K139" s="337"/>
      <c r="L139" s="337"/>
      <c r="M139" s="337"/>
      <c r="N139" s="337"/>
      <c r="O139" s="337"/>
      <c r="P139" s="337"/>
      <c r="Q139" s="337"/>
      <c r="R139" s="337"/>
      <c r="S139" s="337"/>
      <c r="T139" s="337"/>
      <c r="U139" s="337"/>
      <c r="V139" s="460"/>
      <c r="W139" s="460"/>
      <c r="X139" s="154"/>
      <c r="Y139" s="153"/>
    </row>
    <row r="140" spans="1:25" hidden="1" outlineLevel="1">
      <c r="A140" s="154"/>
      <c r="B140" s="154"/>
      <c r="C140" s="154"/>
      <c r="D140" s="154"/>
      <c r="E140" s="154"/>
      <c r="F140" s="154"/>
      <c r="G140" s="154"/>
      <c r="H140" s="154"/>
      <c r="I140" s="154"/>
      <c r="J140" s="154"/>
      <c r="K140" s="154"/>
      <c r="L140" s="154"/>
      <c r="M140" s="154"/>
      <c r="N140" s="154"/>
      <c r="O140" s="154"/>
      <c r="P140" s="154"/>
      <c r="Q140" s="154"/>
      <c r="R140" s="154"/>
      <c r="S140" s="154"/>
      <c r="T140" s="154"/>
      <c r="U140" s="154"/>
      <c r="V140" s="460"/>
      <c r="W140" s="460"/>
      <c r="X140" s="154"/>
      <c r="Y140" s="153"/>
    </row>
    <row r="141" spans="1:25" hidden="1" outlineLevel="1">
      <c r="A141" s="160" t="s">
        <v>997</v>
      </c>
      <c r="B141" s="154"/>
      <c r="C141" s="154"/>
      <c r="D141" s="154"/>
      <c r="E141" s="154"/>
      <c r="F141" s="154"/>
      <c r="G141" s="154"/>
      <c r="H141" s="154"/>
      <c r="I141" s="154"/>
      <c r="J141" s="154"/>
      <c r="K141" s="154"/>
      <c r="L141" s="154"/>
      <c r="M141" s="154"/>
      <c r="N141" s="154"/>
      <c r="O141" s="154"/>
      <c r="P141" s="154"/>
      <c r="Q141" s="154"/>
      <c r="R141" s="154"/>
      <c r="S141" s="154"/>
      <c r="T141" s="154"/>
      <c r="U141" s="154"/>
      <c r="V141" s="460"/>
      <c r="W141" s="460"/>
      <c r="X141" s="154"/>
      <c r="Y141" s="153"/>
    </row>
    <row r="142" spans="1:25" hidden="1" outlineLevel="1">
      <c r="A142" s="154"/>
      <c r="B142" s="154"/>
      <c r="C142" s="154"/>
      <c r="D142" s="154"/>
      <c r="E142" s="154"/>
      <c r="F142" s="154"/>
      <c r="G142" s="154"/>
      <c r="H142" s="154"/>
      <c r="I142" s="154"/>
      <c r="J142" s="154"/>
      <c r="K142" s="154"/>
      <c r="L142" s="154"/>
      <c r="M142" s="154"/>
      <c r="N142" s="154"/>
      <c r="O142" s="154"/>
      <c r="P142" s="154"/>
      <c r="Q142" s="154"/>
      <c r="R142" s="154"/>
      <c r="S142" s="154"/>
      <c r="T142" s="154"/>
      <c r="U142" s="154"/>
      <c r="V142" s="460"/>
      <c r="W142" s="460"/>
      <c r="X142" s="154"/>
      <c r="Y142" s="153"/>
    </row>
    <row r="143" spans="1:25" ht="29.25" hidden="1" customHeight="1" outlineLevel="1">
      <c r="A143" s="754"/>
      <c r="B143" s="755" t="s">
        <v>978</v>
      </c>
      <c r="C143" s="755" t="s">
        <v>879</v>
      </c>
      <c r="D143" s="755" t="s">
        <v>979</v>
      </c>
      <c r="E143" s="154"/>
      <c r="F143" s="154"/>
      <c r="G143" s="154"/>
      <c r="H143" s="154"/>
      <c r="I143" s="154"/>
      <c r="J143" s="154"/>
      <c r="K143" s="154"/>
      <c r="L143" s="154"/>
      <c r="M143" s="154"/>
      <c r="N143" s="154"/>
      <c r="O143" s="154"/>
      <c r="P143" s="154"/>
      <c r="Q143" s="154"/>
      <c r="R143" s="154"/>
      <c r="S143" s="154"/>
      <c r="T143" s="154"/>
      <c r="U143" s="154"/>
      <c r="V143" s="460"/>
      <c r="W143" s="460"/>
      <c r="X143" s="154"/>
      <c r="Y143" s="153"/>
    </row>
    <row r="144" spans="1:25" hidden="1" outlineLevel="1">
      <c r="A144" s="756" t="s">
        <v>973</v>
      </c>
      <c r="B144" s="757">
        <v>1610</v>
      </c>
      <c r="C144" s="757">
        <v>1790</v>
      </c>
      <c r="D144" s="757">
        <v>1260</v>
      </c>
      <c r="E144" s="154"/>
      <c r="F144" s="154"/>
      <c r="G144" s="154"/>
      <c r="H144" s="154"/>
      <c r="I144" s="154"/>
      <c r="J144" s="154"/>
      <c r="K144" s="154"/>
      <c r="L144" s="154"/>
      <c r="M144" s="154"/>
      <c r="N144" s="154"/>
      <c r="O144" s="154"/>
      <c r="P144" s="154"/>
      <c r="Q144" s="154"/>
      <c r="R144" s="154"/>
      <c r="S144" s="154"/>
      <c r="T144" s="154"/>
      <c r="U144" s="154"/>
      <c r="V144" s="460"/>
      <c r="W144" s="460"/>
      <c r="X144" s="154"/>
      <c r="Y144" s="153"/>
    </row>
    <row r="145" spans="1:25" hidden="1" outlineLevel="1">
      <c r="A145" s="756" t="s">
        <v>974</v>
      </c>
      <c r="B145" s="758">
        <f>1/B144</f>
        <v>6.2111801242236027E-4</v>
      </c>
      <c r="C145" s="758">
        <f>1/C144</f>
        <v>5.5865921787709492E-4</v>
      </c>
      <c r="D145" s="758">
        <f>1/D144</f>
        <v>7.9365079365079365E-4</v>
      </c>
      <c r="E145" s="154"/>
      <c r="F145" s="154"/>
      <c r="G145" s="154"/>
      <c r="H145" s="154"/>
      <c r="I145" s="154"/>
      <c r="J145" s="154"/>
      <c r="K145" s="154"/>
      <c r="L145" s="154"/>
      <c r="M145" s="154"/>
      <c r="N145" s="154"/>
      <c r="O145" s="154"/>
      <c r="P145" s="154"/>
      <c r="Q145" s="154"/>
      <c r="R145" s="154"/>
      <c r="S145" s="154"/>
      <c r="T145" s="154"/>
      <c r="U145" s="154"/>
      <c r="V145" s="460"/>
      <c r="W145" s="460"/>
      <c r="X145" s="154"/>
      <c r="Y145" s="153"/>
    </row>
    <row r="146" spans="1:25" hidden="1" outlineLevel="1">
      <c r="A146" s="756" t="s">
        <v>87</v>
      </c>
      <c r="B146" s="759"/>
      <c r="C146" s="760">
        <f>C145/B145-1</f>
        <v>-0.10055865921787721</v>
      </c>
      <c r="D146" s="760">
        <f>D145/B145-1</f>
        <v>0.27777777777777768</v>
      </c>
      <c r="E146" s="154"/>
      <c r="F146" s="154"/>
      <c r="G146" s="154"/>
      <c r="H146" s="154"/>
      <c r="I146" s="154"/>
      <c r="J146" s="154"/>
      <c r="K146" s="154"/>
      <c r="L146" s="154"/>
      <c r="M146" s="154"/>
      <c r="N146" s="154"/>
      <c r="O146" s="154"/>
      <c r="P146" s="154"/>
      <c r="Q146" s="154"/>
      <c r="R146" s="154"/>
      <c r="S146" s="154"/>
      <c r="T146" s="154"/>
      <c r="U146" s="154"/>
      <c r="V146" s="460"/>
      <c r="W146" s="460"/>
      <c r="X146" s="154"/>
      <c r="Y146" s="153"/>
    </row>
    <row r="147" spans="1:25" hidden="1" outlineLevel="1">
      <c r="A147" s="756" t="s">
        <v>638</v>
      </c>
      <c r="B147" s="759"/>
      <c r="C147" s="757">
        <f>C144-B144</f>
        <v>180</v>
      </c>
      <c r="D147" s="757">
        <f>D144-B144</f>
        <v>-350</v>
      </c>
      <c r="E147" s="154"/>
      <c r="F147" s="154"/>
      <c r="G147" s="154"/>
      <c r="H147" s="154"/>
      <c r="I147" s="154"/>
      <c r="J147" s="154"/>
      <c r="K147" s="154"/>
      <c r="L147" s="154"/>
      <c r="M147" s="154"/>
      <c r="N147" s="154"/>
      <c r="O147" s="154"/>
      <c r="P147" s="154"/>
      <c r="Q147" s="154"/>
      <c r="R147" s="154"/>
      <c r="S147" s="154"/>
      <c r="T147" s="154"/>
      <c r="U147" s="154"/>
      <c r="V147" s="460"/>
      <c r="W147" s="460"/>
      <c r="X147" s="154"/>
      <c r="Y147" s="153"/>
    </row>
    <row r="148" spans="1:25" hidden="1" outlineLevel="1">
      <c r="A148" s="756" t="s">
        <v>968</v>
      </c>
      <c r="B148" s="759"/>
      <c r="C148" s="759"/>
      <c r="D148" s="761">
        <f>D147/C147</f>
        <v>-1.9444444444444444</v>
      </c>
      <c r="E148" s="154"/>
      <c r="F148" s="154"/>
      <c r="G148" s="154"/>
      <c r="H148" s="154"/>
      <c r="I148" s="154"/>
      <c r="J148" s="154"/>
      <c r="K148" s="154"/>
      <c r="L148" s="154"/>
      <c r="M148" s="154"/>
      <c r="N148" s="154"/>
      <c r="O148" s="154"/>
      <c r="P148" s="154"/>
      <c r="Q148" s="154"/>
      <c r="R148" s="154"/>
      <c r="S148" s="154"/>
      <c r="T148" s="154"/>
      <c r="U148" s="154"/>
      <c r="V148" s="460"/>
      <c r="W148" s="460"/>
      <c r="X148" s="154"/>
      <c r="Y148" s="153"/>
    </row>
    <row r="149" spans="1:25" hidden="1" outlineLevel="1">
      <c r="A149" s="756" t="s">
        <v>975</v>
      </c>
      <c r="B149" s="759"/>
      <c r="C149" s="762">
        <v>-42.5</v>
      </c>
      <c r="D149" s="761"/>
      <c r="E149" s="154"/>
      <c r="F149" s="154"/>
      <c r="G149" s="154"/>
      <c r="H149" s="154"/>
      <c r="I149" s="154"/>
      <c r="J149" s="154"/>
      <c r="K149" s="154"/>
      <c r="L149" s="154"/>
      <c r="M149" s="154"/>
      <c r="N149" s="154"/>
      <c r="O149" s="154"/>
      <c r="P149" s="154"/>
      <c r="Q149" s="154"/>
      <c r="R149" s="154"/>
      <c r="S149" s="154"/>
      <c r="T149" s="154"/>
      <c r="U149" s="154"/>
      <c r="V149" s="460"/>
      <c r="W149" s="460"/>
      <c r="X149" s="154"/>
      <c r="Y149" s="153"/>
    </row>
    <row r="150" spans="1:25" hidden="1" outlineLevel="1">
      <c r="A150" s="756" t="s">
        <v>998</v>
      </c>
      <c r="B150" s="759"/>
      <c r="C150" s="759"/>
      <c r="D150" s="763">
        <f>D148*C149</f>
        <v>82.638888888888886</v>
      </c>
      <c r="E150" s="154"/>
      <c r="F150" s="154"/>
      <c r="G150" s="154"/>
      <c r="H150" s="154"/>
      <c r="I150" s="154"/>
      <c r="J150" s="154"/>
      <c r="K150" s="154"/>
      <c r="L150" s="154"/>
      <c r="M150" s="154"/>
      <c r="N150" s="154"/>
      <c r="O150" s="154"/>
      <c r="P150" s="154"/>
      <c r="Q150" s="154"/>
      <c r="R150" s="154"/>
      <c r="S150" s="154"/>
      <c r="T150" s="154"/>
      <c r="U150" s="154"/>
      <c r="V150" s="460"/>
      <c r="W150" s="460"/>
      <c r="X150" s="154"/>
      <c r="Y150" s="153"/>
    </row>
    <row r="151" spans="1:25" hidden="1" outlineLevel="1">
      <c r="A151" s="756" t="s">
        <v>976</v>
      </c>
      <c r="B151" s="759"/>
      <c r="C151" s="759"/>
      <c r="D151" s="757">
        <v>1715</v>
      </c>
      <c r="E151" s="154"/>
      <c r="F151" s="154"/>
      <c r="G151" s="154"/>
      <c r="H151" s="154"/>
      <c r="I151" s="154"/>
      <c r="J151" s="154"/>
      <c r="K151" s="154"/>
      <c r="L151" s="154"/>
      <c r="M151" s="154"/>
      <c r="N151" s="154"/>
      <c r="O151" s="154"/>
      <c r="P151" s="154"/>
      <c r="Q151" s="154"/>
      <c r="R151" s="154"/>
      <c r="S151" s="154"/>
      <c r="T151" s="154"/>
      <c r="U151" s="154"/>
      <c r="V151" s="460"/>
      <c r="W151" s="460"/>
      <c r="X151" s="154"/>
      <c r="Y151" s="153"/>
    </row>
    <row r="152" spans="1:25" hidden="1" outlineLevel="1">
      <c r="A152" s="756" t="s">
        <v>170</v>
      </c>
      <c r="B152" s="759"/>
      <c r="C152" s="759"/>
      <c r="D152" s="764">
        <f>D151+D150</f>
        <v>1797.6388888888889</v>
      </c>
      <c r="E152" s="154"/>
      <c r="F152" s="154"/>
      <c r="G152" s="154"/>
      <c r="H152" s="154"/>
      <c r="I152" s="154"/>
      <c r="J152" s="154"/>
      <c r="K152" s="154"/>
      <c r="L152" s="154"/>
      <c r="M152" s="154"/>
      <c r="N152" s="154"/>
      <c r="O152" s="154"/>
      <c r="P152" s="154"/>
      <c r="Q152" s="154"/>
      <c r="R152" s="154"/>
      <c r="S152" s="154"/>
      <c r="T152" s="154"/>
      <c r="U152" s="154"/>
      <c r="V152" s="460"/>
      <c r="W152" s="460"/>
      <c r="X152" s="154"/>
      <c r="Y152" s="153"/>
    </row>
    <row r="153" spans="1:25" hidden="1" outlineLevel="1">
      <c r="A153" s="756"/>
      <c r="B153" s="759"/>
      <c r="C153" s="759"/>
      <c r="D153" s="759"/>
      <c r="E153" s="154"/>
      <c r="F153" s="154"/>
      <c r="G153" s="154"/>
      <c r="H153" s="154"/>
      <c r="I153" s="154"/>
      <c r="J153" s="154"/>
      <c r="K153" s="154"/>
      <c r="L153" s="154"/>
      <c r="M153" s="154"/>
      <c r="N153" s="154"/>
      <c r="O153" s="154"/>
      <c r="P153" s="154"/>
      <c r="Q153" s="154"/>
      <c r="R153" s="154"/>
      <c r="S153" s="154"/>
      <c r="T153" s="154"/>
      <c r="U153" s="154"/>
      <c r="V153" s="460"/>
      <c r="W153" s="460"/>
      <c r="X153" s="154"/>
      <c r="Y153" s="153"/>
    </row>
    <row r="154" spans="1:25" hidden="1" outlineLevel="1">
      <c r="A154" s="756" t="s">
        <v>977</v>
      </c>
      <c r="B154" s="759"/>
      <c r="C154" s="762">
        <v>-27.5</v>
      </c>
      <c r="D154" s="759"/>
      <c r="E154" s="154"/>
      <c r="F154" s="154"/>
      <c r="G154" s="154"/>
      <c r="H154" s="154"/>
      <c r="I154" s="154"/>
      <c r="J154" s="154"/>
      <c r="K154" s="154"/>
      <c r="L154" s="154"/>
      <c r="M154" s="154"/>
      <c r="N154" s="154"/>
      <c r="O154" s="154"/>
      <c r="P154" s="154"/>
      <c r="Q154" s="154"/>
      <c r="R154" s="154"/>
      <c r="S154" s="154"/>
      <c r="T154" s="154"/>
      <c r="U154" s="154"/>
      <c r="V154" s="460"/>
      <c r="W154" s="460"/>
      <c r="X154" s="154"/>
      <c r="Y154" s="153"/>
    </row>
    <row r="155" spans="1:25" hidden="1" outlineLevel="1">
      <c r="A155" s="756" t="s">
        <v>999</v>
      </c>
      <c r="B155" s="759"/>
      <c r="C155" s="759"/>
      <c r="D155" s="763">
        <f>D148*C154</f>
        <v>53.472222222222221</v>
      </c>
      <c r="E155" s="154"/>
      <c r="F155" s="154"/>
      <c r="G155" s="154"/>
      <c r="H155" s="154"/>
      <c r="I155" s="154"/>
      <c r="J155" s="154"/>
      <c r="K155" s="154"/>
      <c r="L155" s="154"/>
      <c r="M155" s="154"/>
      <c r="N155" s="154"/>
      <c r="O155" s="154"/>
      <c r="P155" s="154"/>
      <c r="Q155" s="154"/>
      <c r="R155" s="154"/>
      <c r="S155" s="154"/>
      <c r="T155" s="154"/>
      <c r="U155" s="154"/>
      <c r="V155" s="460"/>
      <c r="W155" s="460"/>
      <c r="X155" s="154"/>
      <c r="Y155" s="153"/>
    </row>
    <row r="156" spans="1:25" ht="16.5" hidden="1" outlineLevel="1">
      <c r="A156" s="756" t="s">
        <v>976</v>
      </c>
      <c r="B156" s="765"/>
      <c r="C156" s="765"/>
      <c r="D156" s="759">
        <v>945</v>
      </c>
      <c r="E156" s="154"/>
      <c r="F156" s="154"/>
      <c r="G156" s="154"/>
      <c r="H156" s="154"/>
      <c r="I156" s="154"/>
      <c r="J156" s="154"/>
      <c r="K156" s="154"/>
      <c r="L156" s="154"/>
      <c r="M156" s="154"/>
      <c r="N156" s="154"/>
      <c r="O156" s="154"/>
      <c r="P156" s="154"/>
      <c r="Q156" s="154"/>
      <c r="R156" s="154"/>
      <c r="S156" s="154"/>
      <c r="T156" s="154"/>
      <c r="U156" s="154"/>
      <c r="V156" s="460"/>
      <c r="W156" s="460"/>
      <c r="X156" s="154"/>
      <c r="Y156" s="153"/>
    </row>
    <row r="157" spans="1:25" ht="16.5" hidden="1" outlineLevel="1">
      <c r="A157" s="766" t="s">
        <v>9</v>
      </c>
      <c r="B157" s="765"/>
      <c r="C157" s="765"/>
      <c r="D157" s="764">
        <f>D156+D155</f>
        <v>998.47222222222217</v>
      </c>
      <c r="E157" s="154"/>
      <c r="F157" s="154"/>
      <c r="G157" s="154"/>
      <c r="H157" s="154"/>
      <c r="I157" s="154"/>
      <c r="J157" s="154"/>
      <c r="K157" s="154"/>
      <c r="L157" s="154"/>
      <c r="M157" s="154"/>
      <c r="N157" s="154"/>
      <c r="O157" s="154"/>
      <c r="P157" s="154"/>
      <c r="Q157" s="154"/>
      <c r="R157" s="154"/>
      <c r="S157" s="154"/>
      <c r="T157" s="154"/>
      <c r="U157" s="154"/>
      <c r="V157" s="460"/>
      <c r="W157" s="460"/>
      <c r="X157" s="154"/>
      <c r="Y157" s="153"/>
    </row>
    <row r="158" spans="1:25" hidden="1" outlineLevel="1">
      <c r="A158" s="154"/>
      <c r="B158" s="154"/>
      <c r="C158" s="154"/>
      <c r="D158" s="154"/>
      <c r="E158" s="154"/>
      <c r="F158" s="154"/>
      <c r="G158" s="154"/>
      <c r="H158" s="154"/>
      <c r="I158" s="154"/>
      <c r="J158" s="154"/>
      <c r="K158" s="154"/>
      <c r="L158" s="154"/>
      <c r="M158" s="154"/>
      <c r="N158" s="154"/>
      <c r="O158" s="154"/>
      <c r="P158" s="154"/>
      <c r="Q158" s="154"/>
      <c r="R158" s="154"/>
      <c r="S158" s="154"/>
      <c r="T158" s="154"/>
      <c r="U158" s="154"/>
      <c r="V158" s="460"/>
      <c r="W158" s="460"/>
      <c r="X158" s="154"/>
      <c r="Y158" s="153"/>
    </row>
    <row r="159" spans="1:25" hidden="1" outlineLevel="1">
      <c r="A159" s="154"/>
      <c r="B159" s="154"/>
      <c r="C159" s="154"/>
      <c r="D159" s="154"/>
      <c r="E159" s="154"/>
      <c r="F159" s="154"/>
      <c r="G159" s="154"/>
      <c r="H159" s="154"/>
      <c r="I159" s="154"/>
      <c r="J159" s="154"/>
      <c r="K159" s="154"/>
      <c r="L159" s="154"/>
      <c r="M159" s="154"/>
      <c r="N159" s="154"/>
      <c r="O159" s="154"/>
      <c r="P159" s="154"/>
      <c r="Q159" s="154"/>
      <c r="R159" s="154"/>
      <c r="S159" s="154"/>
      <c r="T159" s="154"/>
      <c r="U159" s="154"/>
      <c r="V159" s="460"/>
      <c r="W159" s="460"/>
      <c r="X159" s="154"/>
      <c r="Y159" s="153"/>
    </row>
    <row r="160" spans="1:25" hidden="1" outlineLevel="1">
      <c r="A160" s="154"/>
      <c r="B160" s="154"/>
      <c r="C160" s="154"/>
      <c r="D160" s="154"/>
      <c r="E160" s="154"/>
      <c r="F160" s="154"/>
      <c r="G160" s="154"/>
      <c r="H160" s="154"/>
      <c r="I160" s="154"/>
      <c r="J160" s="154"/>
      <c r="K160" s="154"/>
      <c r="L160" s="154"/>
      <c r="M160" s="154"/>
      <c r="N160" s="154"/>
      <c r="O160" s="154"/>
      <c r="P160" s="154"/>
      <c r="Q160" s="154"/>
      <c r="R160" s="154"/>
      <c r="S160" s="154"/>
      <c r="T160" s="154"/>
      <c r="U160" s="154"/>
      <c r="V160" s="460"/>
      <c r="W160" s="460"/>
      <c r="X160" s="154"/>
      <c r="Y160" s="153"/>
    </row>
    <row r="161" spans="1:25" hidden="1" outlineLevel="1">
      <c r="A161" s="160" t="s">
        <v>1000</v>
      </c>
      <c r="B161" s="154"/>
      <c r="C161" s="154"/>
      <c r="D161" s="154"/>
      <c r="E161" s="154"/>
      <c r="F161" s="154"/>
      <c r="G161" s="154"/>
      <c r="H161" s="154"/>
      <c r="I161" s="154"/>
      <c r="J161" s="154"/>
      <c r="K161" s="154"/>
      <c r="L161" s="154"/>
      <c r="M161" s="154"/>
      <c r="N161" s="154"/>
      <c r="O161" s="154"/>
      <c r="P161" s="154"/>
      <c r="Q161" s="154"/>
      <c r="R161" s="154"/>
      <c r="S161" s="154"/>
      <c r="T161" s="154"/>
      <c r="U161" s="154"/>
      <c r="V161" s="460"/>
      <c r="W161" s="460"/>
      <c r="X161" s="154"/>
      <c r="Y161" s="153"/>
    </row>
    <row r="162" spans="1:25" hidden="1" outlineLevel="1">
      <c r="A162" s="154"/>
      <c r="B162" s="154"/>
      <c r="C162" s="154"/>
      <c r="D162" s="154"/>
      <c r="E162" s="154"/>
      <c r="F162" s="154"/>
      <c r="G162" s="154"/>
      <c r="H162" s="154"/>
      <c r="I162" s="154"/>
      <c r="J162" s="154"/>
      <c r="K162" s="154"/>
      <c r="L162" s="154"/>
      <c r="M162" s="154"/>
      <c r="N162" s="154"/>
      <c r="O162" s="154"/>
      <c r="P162" s="154"/>
      <c r="Q162" s="154"/>
      <c r="R162" s="154"/>
      <c r="S162" s="154"/>
      <c r="T162" s="154"/>
      <c r="U162" s="154"/>
      <c r="V162" s="460"/>
      <c r="W162" s="460"/>
      <c r="X162" s="154"/>
      <c r="Y162" s="153"/>
    </row>
    <row r="163" spans="1:25" hidden="1" outlineLevel="1">
      <c r="A163" s="154"/>
      <c r="B163" s="154" t="s">
        <v>1002</v>
      </c>
      <c r="C163" s="154" t="s">
        <v>982</v>
      </c>
      <c r="D163" s="154" t="s">
        <v>983</v>
      </c>
      <c r="E163" s="154"/>
      <c r="F163" s="153"/>
      <c r="G163" s="153"/>
      <c r="H163" s="154"/>
      <c r="I163" s="154"/>
      <c r="J163" s="154"/>
      <c r="K163" s="154"/>
      <c r="L163" s="154"/>
      <c r="M163" s="154"/>
      <c r="N163" s="154"/>
      <c r="O163" s="154"/>
      <c r="P163" s="154"/>
      <c r="Q163" s="154"/>
      <c r="R163" s="154"/>
      <c r="S163" s="154"/>
      <c r="T163" s="154"/>
      <c r="U163" s="154"/>
      <c r="V163" s="460"/>
      <c r="W163" s="460"/>
      <c r="X163" s="154"/>
      <c r="Y163" s="153"/>
    </row>
    <row r="164" spans="1:25" hidden="1" outlineLevel="1">
      <c r="A164" s="742" t="s">
        <v>1001</v>
      </c>
      <c r="B164" s="734">
        <v>0.67</v>
      </c>
      <c r="C164" s="162">
        <f>Consolidation!I6/Consolidation!I10</f>
        <v>0.65001253799624481</v>
      </c>
      <c r="D164" s="162">
        <f>C164*B164</f>
        <v>0.43550840045748407</v>
      </c>
      <c r="E164" s="154"/>
      <c r="F164" s="153"/>
      <c r="G164" s="153"/>
      <c r="H164" s="154"/>
      <c r="I164" s="154"/>
      <c r="J164" s="154"/>
      <c r="K164" s="154"/>
      <c r="L164" s="154"/>
      <c r="M164" s="154"/>
      <c r="N164" s="154"/>
      <c r="O164" s="154"/>
      <c r="P164" s="154"/>
      <c r="Q164" s="154"/>
      <c r="R164" s="154"/>
      <c r="S164" s="154"/>
      <c r="T164" s="154"/>
      <c r="U164" s="154"/>
      <c r="V164" s="460"/>
      <c r="W164" s="460"/>
      <c r="X164" s="154"/>
      <c r="Y164" s="153"/>
    </row>
    <row r="165" spans="1:25" hidden="1" outlineLevel="1">
      <c r="A165" s="742" t="s">
        <v>709</v>
      </c>
      <c r="B165" s="162">
        <f>SSA!K99</f>
        <v>-3.8181171217913201E-2</v>
      </c>
      <c r="C165" s="162">
        <f>Consolidation!I7/Consolidation!I10</f>
        <v>0.23666891080333038</v>
      </c>
      <c r="D165" s="162">
        <f>C165*B165</f>
        <v>-9.0362962053389846E-3</v>
      </c>
      <c r="E165" s="154"/>
      <c r="F165" s="153"/>
      <c r="G165" s="153"/>
      <c r="H165" s="154"/>
      <c r="I165" s="154"/>
      <c r="J165" s="154"/>
      <c r="K165" s="154"/>
      <c r="L165" s="154"/>
      <c r="M165" s="154"/>
      <c r="N165" s="154"/>
      <c r="O165" s="154"/>
      <c r="P165" s="154"/>
      <c r="Q165" s="154"/>
      <c r="R165" s="154"/>
      <c r="S165" s="154"/>
      <c r="T165" s="154"/>
      <c r="U165" s="154"/>
      <c r="V165" s="460"/>
      <c r="W165" s="460"/>
      <c r="X165" s="154"/>
      <c r="Y165" s="153"/>
    </row>
    <row r="166" spans="1:25" hidden="1" outlineLevel="1">
      <c r="A166" s="742" t="s">
        <v>710</v>
      </c>
      <c r="B166" s="162">
        <f>Latam!K74</f>
        <v>-8.0801370581448206E-2</v>
      </c>
      <c r="C166" s="162">
        <f>Consolidation!I8/Consolidation!I10</f>
        <v>9.4191167510923116E-2</v>
      </c>
      <c r="D166" s="162">
        <f>C166*B166</f>
        <v>-7.6107754315493633E-3</v>
      </c>
      <c r="E166" s="154"/>
      <c r="F166" s="153"/>
      <c r="G166" s="153"/>
      <c r="H166" s="154"/>
      <c r="I166" s="154"/>
      <c r="J166" s="154"/>
      <c r="K166" s="154"/>
      <c r="L166" s="154"/>
      <c r="M166" s="154"/>
      <c r="N166" s="154"/>
      <c r="O166" s="154"/>
      <c r="P166" s="154"/>
      <c r="Q166" s="154"/>
      <c r="R166" s="154"/>
      <c r="S166" s="154"/>
      <c r="T166" s="154"/>
      <c r="U166" s="154"/>
      <c r="V166" s="460"/>
      <c r="W166" s="460"/>
      <c r="X166" s="154"/>
      <c r="Y166" s="153"/>
    </row>
    <row r="167" spans="1:25" hidden="1" outlineLevel="1">
      <c r="A167" s="551" t="s">
        <v>273</v>
      </c>
      <c r="B167" s="162">
        <f>MENA!K46</f>
        <v>0.10406828020464398</v>
      </c>
      <c r="C167" s="162">
        <f>Consolidation!I9/Consolidation!I10</f>
        <v>1.9127383689501818E-2</v>
      </c>
      <c r="D167" s="162">
        <f>C167*B167</f>
        <v>1.9905539253808123E-3</v>
      </c>
      <c r="E167" s="154"/>
      <c r="F167" s="153"/>
      <c r="G167" s="153"/>
      <c r="H167" s="154"/>
      <c r="I167" s="154"/>
      <c r="J167" s="154"/>
      <c r="K167" s="154"/>
      <c r="L167" s="154"/>
      <c r="M167" s="154"/>
      <c r="N167" s="154"/>
      <c r="O167" s="154"/>
      <c r="P167" s="154"/>
      <c r="Q167" s="154"/>
      <c r="R167" s="154"/>
      <c r="S167" s="154"/>
      <c r="T167" s="154"/>
      <c r="U167" s="154"/>
      <c r="V167" s="460"/>
      <c r="W167" s="460"/>
      <c r="X167" s="154"/>
      <c r="Y167" s="153"/>
    </row>
    <row r="168" spans="1:25" hidden="1" outlineLevel="1">
      <c r="A168" s="155"/>
      <c r="B168" s="155"/>
      <c r="C168" s="155"/>
      <c r="D168" s="743">
        <f>SUM(D164:D167)</f>
        <v>0.42085188274597657</v>
      </c>
      <c r="E168" s="154" t="s">
        <v>984</v>
      </c>
      <c r="F168" s="153"/>
      <c r="G168" s="153"/>
      <c r="H168" s="154"/>
      <c r="I168" s="154"/>
      <c r="J168" s="154"/>
      <c r="K168" s="154"/>
      <c r="L168" s="154"/>
      <c r="M168" s="154"/>
      <c r="N168" s="154"/>
      <c r="O168" s="154"/>
      <c r="P168" s="154"/>
      <c r="Q168" s="154"/>
      <c r="R168" s="154"/>
      <c r="S168" s="154"/>
      <c r="T168" s="154"/>
      <c r="U168" s="154"/>
      <c r="V168" s="460"/>
      <c r="W168" s="460"/>
      <c r="X168" s="154"/>
      <c r="Y168" s="153"/>
    </row>
    <row r="169" spans="1:25" hidden="1" outlineLevel="1">
      <c r="A169" s="154"/>
      <c r="B169" s="154"/>
      <c r="C169" s="154"/>
      <c r="D169" s="154"/>
      <c r="E169" s="154"/>
      <c r="F169" s="154"/>
      <c r="G169" s="154"/>
      <c r="H169" s="154"/>
      <c r="I169" s="154"/>
      <c r="J169" s="154"/>
      <c r="K169" s="154"/>
      <c r="L169" s="154"/>
      <c r="M169" s="154"/>
      <c r="N169" s="154"/>
      <c r="O169" s="154"/>
      <c r="P169" s="154"/>
      <c r="Q169" s="154"/>
      <c r="R169" s="154"/>
      <c r="S169" s="154"/>
      <c r="T169" s="154"/>
      <c r="U169" s="154"/>
      <c r="V169" s="460"/>
      <c r="W169" s="460"/>
      <c r="X169" s="154"/>
      <c r="Y169" s="153"/>
    </row>
    <row r="170" spans="1:25" hidden="1" outlineLevel="1">
      <c r="A170" s="154"/>
      <c r="B170" s="154"/>
      <c r="C170" s="154"/>
      <c r="D170" s="154"/>
      <c r="E170" s="154"/>
      <c r="F170" s="154"/>
      <c r="G170" s="154"/>
      <c r="H170" s="154"/>
      <c r="I170" s="154"/>
      <c r="J170" s="154"/>
      <c r="K170" s="154"/>
      <c r="L170" s="154"/>
      <c r="M170" s="154"/>
      <c r="N170" s="154"/>
      <c r="O170" s="154"/>
      <c r="P170" s="154"/>
      <c r="Q170" s="154"/>
      <c r="R170" s="154"/>
      <c r="S170" s="154"/>
      <c r="T170" s="154"/>
      <c r="U170" s="154"/>
      <c r="V170" s="460"/>
      <c r="W170" s="460"/>
      <c r="X170" s="154"/>
      <c r="Y170" s="153"/>
    </row>
    <row r="171" spans="1:25" hidden="1" outlineLevel="1">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460"/>
      <c r="W171" s="460"/>
      <c r="X171" s="154"/>
      <c r="Y171" s="153"/>
    </row>
    <row r="172" spans="1:25" hidden="1" outlineLevel="1">
      <c r="A172" s="154"/>
      <c r="B172" s="154"/>
      <c r="C172" s="154"/>
      <c r="D172" s="154"/>
      <c r="E172" s="154"/>
      <c r="F172" s="154"/>
      <c r="G172" s="154"/>
      <c r="H172" s="154"/>
      <c r="I172" s="154"/>
      <c r="J172" s="154"/>
      <c r="K172" s="154"/>
      <c r="L172" s="154"/>
      <c r="M172" s="154"/>
      <c r="N172" s="154"/>
      <c r="O172" s="154"/>
      <c r="P172" s="154"/>
      <c r="Q172" s="154"/>
      <c r="R172" s="154"/>
      <c r="S172" s="154"/>
      <c r="T172" s="154"/>
      <c r="U172" s="154"/>
      <c r="V172" s="460"/>
      <c r="W172" s="460"/>
      <c r="X172" s="154"/>
      <c r="Y172" s="153"/>
    </row>
    <row r="173" spans="1:25" hidden="1" outlineLevel="1">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460"/>
      <c r="W173" s="460"/>
      <c r="X173" s="154"/>
      <c r="Y173" s="153"/>
    </row>
    <row r="174" spans="1:25" hidden="1" outlineLevel="1">
      <c r="A174" s="160" t="s">
        <v>996</v>
      </c>
      <c r="B174" s="154"/>
      <c r="C174" s="154"/>
      <c r="D174" s="154"/>
      <c r="E174" s="154"/>
      <c r="F174" s="154"/>
      <c r="G174" s="154"/>
      <c r="H174" s="154"/>
      <c r="I174" s="154"/>
      <c r="J174" s="154"/>
      <c r="K174" s="154"/>
      <c r="L174" s="154"/>
      <c r="M174" s="154"/>
      <c r="N174" s="154"/>
      <c r="O174" s="154"/>
      <c r="P174" s="154"/>
      <c r="Q174" s="154"/>
      <c r="R174" s="154"/>
      <c r="S174" s="154"/>
      <c r="T174" s="154"/>
      <c r="U174" s="154"/>
      <c r="V174" s="460"/>
      <c r="W174" s="460"/>
      <c r="X174" s="154"/>
      <c r="Y174" s="153"/>
    </row>
    <row r="175" spans="1:25" hidden="1" outlineLevel="1">
      <c r="A175" s="160"/>
      <c r="B175" s="154"/>
      <c r="C175" s="154"/>
      <c r="D175" s="154"/>
      <c r="E175" s="154"/>
      <c r="F175" s="154"/>
      <c r="G175" s="154"/>
      <c r="H175" s="155">
        <f t="shared" ref="H175:P175" si="105">H2</f>
        <v>2022</v>
      </c>
      <c r="I175" s="155">
        <f t="shared" si="105"/>
        <v>2023</v>
      </c>
      <c r="J175" s="155">
        <f t="shared" si="105"/>
        <v>2024</v>
      </c>
      <c r="K175" s="155" t="str">
        <f t="shared" si="105"/>
        <v>2025E</v>
      </c>
      <c r="L175" s="155" t="str">
        <f t="shared" si="105"/>
        <v>2026E</v>
      </c>
      <c r="M175" s="155" t="str">
        <f t="shared" si="105"/>
        <v>2027E</v>
      </c>
      <c r="N175" s="155" t="str">
        <f t="shared" si="105"/>
        <v>2028E</v>
      </c>
      <c r="O175" s="155" t="str">
        <f t="shared" si="105"/>
        <v>2029E</v>
      </c>
      <c r="P175" s="155" t="str">
        <f t="shared" si="105"/>
        <v>2030E</v>
      </c>
      <c r="Q175" s="155" t="str">
        <f t="shared" ref="Q175:U175" si="106">Q2</f>
        <v>2031E</v>
      </c>
      <c r="R175" s="155" t="str">
        <f t="shared" si="106"/>
        <v>2032E</v>
      </c>
      <c r="S175" s="155" t="str">
        <f t="shared" si="106"/>
        <v>2033E</v>
      </c>
      <c r="T175" s="155" t="str">
        <f t="shared" si="106"/>
        <v>2034E</v>
      </c>
      <c r="U175" s="155" t="str">
        <f t="shared" si="106"/>
        <v>2035E</v>
      </c>
      <c r="V175" s="456"/>
      <c r="W175" s="460"/>
      <c r="X175" s="154"/>
      <c r="Y175" s="153"/>
    </row>
    <row r="176" spans="1:25" hidden="1" outlineLevel="1">
      <c r="A176" s="154" t="s">
        <v>851</v>
      </c>
      <c r="B176" s="154"/>
      <c r="C176" s="154"/>
      <c r="D176" s="154"/>
      <c r="E176" s="154"/>
      <c r="F176" s="154"/>
      <c r="G176" s="154"/>
      <c r="H176" s="456">
        <v>110</v>
      </c>
      <c r="I176" s="456">
        <v>82</v>
      </c>
      <c r="J176" s="456">
        <v>23</v>
      </c>
      <c r="K176" s="456"/>
      <c r="L176" s="456"/>
      <c r="M176" s="456"/>
      <c r="N176" s="456"/>
      <c r="O176" s="456"/>
      <c r="P176" s="456"/>
      <c r="Q176" s="456"/>
      <c r="R176" s="456"/>
      <c r="S176" s="456"/>
      <c r="T176" s="456"/>
      <c r="U176" s="456"/>
      <c r="V176" s="456">
        <f>SUM(H176:P176)</f>
        <v>215</v>
      </c>
      <c r="X176" s="154"/>
      <c r="Y176" s="153"/>
    </row>
    <row r="177" spans="1:25" hidden="1" outlineLevel="1">
      <c r="A177" s="154" t="s">
        <v>853</v>
      </c>
      <c r="B177" s="154"/>
      <c r="C177" s="154"/>
      <c r="D177" s="154"/>
      <c r="E177" s="154"/>
      <c r="F177" s="154"/>
      <c r="G177" s="154"/>
      <c r="H177" s="456"/>
      <c r="I177" s="456">
        <f>-25%*22</f>
        <v>-5.5</v>
      </c>
      <c r="J177" s="456">
        <f>-25%*51</f>
        <v>-12.75</v>
      </c>
      <c r="K177" s="456">
        <f t="shared" ref="K177:U177" si="107">-25%*77</f>
        <v>-19.25</v>
      </c>
      <c r="L177" s="456">
        <f t="shared" si="107"/>
        <v>-19.25</v>
      </c>
      <c r="M177" s="456">
        <f t="shared" si="107"/>
        <v>-19.25</v>
      </c>
      <c r="N177" s="456">
        <f t="shared" si="107"/>
        <v>-19.25</v>
      </c>
      <c r="O177" s="456">
        <f t="shared" si="107"/>
        <v>-19.25</v>
      </c>
      <c r="P177" s="456">
        <f t="shared" si="107"/>
        <v>-19.25</v>
      </c>
      <c r="Q177" s="456">
        <f t="shared" si="107"/>
        <v>-19.25</v>
      </c>
      <c r="R177" s="456">
        <f t="shared" si="107"/>
        <v>-19.25</v>
      </c>
      <c r="S177" s="456">
        <f t="shared" si="107"/>
        <v>-19.25</v>
      </c>
      <c r="T177" s="456">
        <f t="shared" si="107"/>
        <v>-19.25</v>
      </c>
      <c r="U177" s="456">
        <f t="shared" si="107"/>
        <v>-19.25</v>
      </c>
      <c r="V177" s="456"/>
      <c r="W177" s="460"/>
      <c r="X177" s="154"/>
      <c r="Y177" s="153"/>
    </row>
    <row r="178" spans="1:25" hidden="1" outlineLevel="1">
      <c r="A178" s="154"/>
      <c r="B178" s="154"/>
      <c r="C178" s="154"/>
      <c r="D178" s="154"/>
      <c r="E178" s="154"/>
      <c r="F178" s="154"/>
      <c r="G178" s="154"/>
      <c r="H178" s="752">
        <f>H176+H177</f>
        <v>110</v>
      </c>
      <c r="I178" s="752">
        <f t="shared" ref="I178:P178" si="108">I176+I177</f>
        <v>76.5</v>
      </c>
      <c r="J178" s="752">
        <f t="shared" si="108"/>
        <v>10.25</v>
      </c>
      <c r="K178" s="752">
        <f t="shared" si="108"/>
        <v>-19.25</v>
      </c>
      <c r="L178" s="752">
        <f t="shared" si="108"/>
        <v>-19.25</v>
      </c>
      <c r="M178" s="752">
        <f t="shared" si="108"/>
        <v>-19.25</v>
      </c>
      <c r="N178" s="752">
        <f t="shared" si="108"/>
        <v>-19.25</v>
      </c>
      <c r="O178" s="752">
        <f t="shared" si="108"/>
        <v>-19.25</v>
      </c>
      <c r="P178" s="752">
        <f t="shared" si="108"/>
        <v>-19.25</v>
      </c>
      <c r="Q178" s="752">
        <f t="shared" ref="Q178:U178" si="109">Q176+Q177</f>
        <v>-19.25</v>
      </c>
      <c r="R178" s="752">
        <f t="shared" si="109"/>
        <v>-19.25</v>
      </c>
      <c r="S178" s="752">
        <f t="shared" si="109"/>
        <v>-19.25</v>
      </c>
      <c r="T178" s="752">
        <f t="shared" si="109"/>
        <v>-19.25</v>
      </c>
      <c r="U178" s="752">
        <f t="shared" si="109"/>
        <v>-19.25</v>
      </c>
      <c r="V178" s="456"/>
      <c r="W178" s="460"/>
      <c r="X178" s="154"/>
      <c r="Y178" s="153"/>
    </row>
    <row r="179" spans="1:25" hidden="1" outlineLevel="1">
      <c r="A179" s="154"/>
      <c r="B179" s="154"/>
      <c r="C179" s="154"/>
      <c r="D179" s="154"/>
      <c r="E179" s="154"/>
      <c r="F179" s="154"/>
      <c r="G179" s="154"/>
      <c r="H179" s="456"/>
      <c r="I179" s="456"/>
      <c r="J179" s="456"/>
      <c r="K179" s="456"/>
      <c r="L179" s="456"/>
      <c r="M179" s="456"/>
      <c r="N179" s="456"/>
      <c r="O179" s="456"/>
      <c r="P179" s="456"/>
      <c r="Q179" s="456"/>
      <c r="R179" s="456"/>
      <c r="S179" s="456"/>
      <c r="T179" s="456"/>
      <c r="U179" s="456"/>
      <c r="V179" s="456"/>
      <c r="W179" s="460"/>
      <c r="X179" s="154"/>
      <c r="Y179" s="153"/>
    </row>
    <row r="180" spans="1:25" hidden="1" outlineLevel="1">
      <c r="A180" s="154" t="s">
        <v>850</v>
      </c>
      <c r="B180" s="154"/>
      <c r="C180" s="154"/>
      <c r="D180" s="154"/>
      <c r="E180" s="154"/>
      <c r="F180" s="154"/>
      <c r="G180" s="154"/>
      <c r="H180" s="456">
        <v>585.32535111742811</v>
      </c>
      <c r="I180" s="456">
        <v>577.31904951624153</v>
      </c>
      <c r="J180" s="456">
        <v>573.60594972672106</v>
      </c>
      <c r="K180" s="456">
        <v>590.27702348623836</v>
      </c>
      <c r="L180" s="456">
        <v>552.20294736787616</v>
      </c>
      <c r="M180" s="456">
        <v>506.03615925302586</v>
      </c>
      <c r="N180" s="456">
        <v>480.77954159736817</v>
      </c>
      <c r="O180" s="456">
        <v>449.54856593389661</v>
      </c>
      <c r="P180" s="456">
        <v>411.68422952770817</v>
      </c>
      <c r="Q180" s="456">
        <v>411.68422952770817</v>
      </c>
      <c r="R180" s="456">
        <v>411.68422952770817</v>
      </c>
      <c r="S180" s="456">
        <v>411.68422952770817</v>
      </c>
      <c r="T180" s="456">
        <v>411.68422952770817</v>
      </c>
      <c r="U180" s="456">
        <v>411.68422952770817</v>
      </c>
      <c r="V180" s="456"/>
      <c r="W180" s="460"/>
      <c r="X180" s="154"/>
      <c r="Y180" s="153"/>
    </row>
    <row r="181" spans="1:25" hidden="1" outlineLevel="1">
      <c r="A181" s="154"/>
      <c r="B181" s="154"/>
      <c r="C181" s="154"/>
      <c r="D181" s="154"/>
      <c r="E181" s="154"/>
      <c r="F181" s="154"/>
      <c r="G181" s="154"/>
      <c r="H181" s="456">
        <f t="shared" ref="H181:P181" si="110">H88-H180</f>
        <v>48.674648882571887</v>
      </c>
      <c r="I181" s="456">
        <f t="shared" si="110"/>
        <v>8.6809504837584655</v>
      </c>
      <c r="J181" s="456">
        <f t="shared" si="110"/>
        <v>-316.60594972672106</v>
      </c>
      <c r="K181" s="456">
        <f t="shared" si="110"/>
        <v>-331.48536240826542</v>
      </c>
      <c r="L181" s="456">
        <f t="shared" si="110"/>
        <v>-282.80146905205595</v>
      </c>
      <c r="M181" s="456">
        <f t="shared" si="110"/>
        <v>-227.82908676414394</v>
      </c>
      <c r="N181" s="456">
        <f t="shared" si="110"/>
        <v>-185.72675612250345</v>
      </c>
      <c r="O181" s="456">
        <f t="shared" si="110"/>
        <v>-147.42583392782973</v>
      </c>
      <c r="P181" s="456">
        <f t="shared" si="110"/>
        <v>-91.770212544701906</v>
      </c>
      <c r="Q181" s="456">
        <f t="shared" ref="Q181:U181" si="111">Q88-Q180</f>
        <v>-86.215771352785168</v>
      </c>
      <c r="R181" s="456">
        <f t="shared" si="111"/>
        <v>-68.866970005215592</v>
      </c>
      <c r="S181" s="456">
        <f t="shared" si="111"/>
        <v>-63.911405659513093</v>
      </c>
      <c r="T181" s="456">
        <f t="shared" si="111"/>
        <v>-45.272098694606996</v>
      </c>
      <c r="U181" s="456">
        <f t="shared" si="111"/>
        <v>-25.571382552955924</v>
      </c>
      <c r="V181" s="456"/>
      <c r="W181" s="460"/>
      <c r="X181" s="154"/>
      <c r="Y181" s="153"/>
    </row>
    <row r="182" spans="1:25" hidden="1" outlineLevel="1">
      <c r="A182" s="154"/>
      <c r="B182" s="154"/>
      <c r="C182" s="154"/>
      <c r="D182" s="154"/>
      <c r="E182" s="154"/>
      <c r="F182" s="154"/>
      <c r="G182" s="154"/>
      <c r="H182" s="456"/>
      <c r="I182" s="456"/>
      <c r="J182" s="456"/>
      <c r="K182" s="456"/>
      <c r="L182" s="456"/>
      <c r="M182" s="456"/>
      <c r="N182" s="456"/>
      <c r="O182" s="456"/>
      <c r="P182" s="456"/>
      <c r="Q182" s="456"/>
      <c r="R182" s="456"/>
      <c r="S182" s="456"/>
      <c r="T182" s="456"/>
      <c r="U182" s="456"/>
      <c r="V182" s="456"/>
      <c r="W182" s="460"/>
      <c r="X182" s="154"/>
      <c r="Y182" s="153"/>
    </row>
    <row r="183" spans="1:25" hidden="1" outlineLevel="1">
      <c r="A183" s="154"/>
      <c r="B183" s="154"/>
      <c r="C183" s="154"/>
      <c r="D183" s="154"/>
      <c r="E183" s="154"/>
      <c r="F183" s="154"/>
      <c r="G183" s="154"/>
      <c r="H183" s="155"/>
      <c r="I183" s="155"/>
      <c r="J183" s="155"/>
      <c r="K183" s="155"/>
      <c r="L183" s="155"/>
      <c r="M183" s="155"/>
      <c r="N183" s="155"/>
      <c r="O183" s="155"/>
      <c r="P183" s="155"/>
      <c r="Q183" s="155"/>
      <c r="R183" s="155"/>
      <c r="S183" s="155"/>
      <c r="T183" s="155"/>
      <c r="U183" s="155"/>
      <c r="V183" s="155"/>
      <c r="W183" s="154"/>
      <c r="X183" s="154"/>
      <c r="Y183" s="153"/>
    </row>
    <row r="184" spans="1:25" hidden="1" outlineLevel="1">
      <c r="A184" s="154" t="s">
        <v>852</v>
      </c>
      <c r="B184" s="154"/>
      <c r="C184" s="154"/>
      <c r="D184" s="154"/>
      <c r="E184" s="154"/>
      <c r="F184" s="154"/>
      <c r="G184" s="154"/>
      <c r="H184" s="456">
        <v>1006.7007569895565</v>
      </c>
      <c r="I184" s="456">
        <v>1181.3930848625077</v>
      </c>
      <c r="J184" s="456">
        <v>1309.2338958435512</v>
      </c>
      <c r="K184" s="456">
        <v>1439.5330360534704</v>
      </c>
      <c r="L184" s="456">
        <v>1570.2032376317452</v>
      </c>
      <c r="M184" s="456">
        <v>1705.9515995181764</v>
      </c>
      <c r="N184" s="456">
        <v>1851.3309049626168</v>
      </c>
      <c r="O184" s="456">
        <v>2000.8615645355442</v>
      </c>
      <c r="P184" s="456">
        <v>2160.8626503816904</v>
      </c>
      <c r="Q184" s="456">
        <v>2160.8626503816904</v>
      </c>
      <c r="R184" s="456">
        <v>2160.8626503816904</v>
      </c>
      <c r="S184" s="456">
        <v>2160.8626503816904</v>
      </c>
      <c r="T184" s="456">
        <v>2160.8626503816904</v>
      </c>
      <c r="U184" s="456">
        <v>2160.8626503816904</v>
      </c>
      <c r="V184" s="155"/>
      <c r="W184" s="154"/>
      <c r="X184" s="154"/>
      <c r="Y184" s="153"/>
    </row>
    <row r="185" spans="1:25" hidden="1" outlineLevel="1">
      <c r="A185" s="154" t="s">
        <v>855</v>
      </c>
      <c r="B185" s="154"/>
      <c r="C185" s="154"/>
      <c r="D185" s="154"/>
      <c r="E185" s="154"/>
      <c r="F185" s="154"/>
      <c r="G185" s="154"/>
      <c r="H185" s="753">
        <f t="shared" ref="H185:P185" si="112">H32-H184</f>
        <v>24.685243010443514</v>
      </c>
      <c r="I185" s="753">
        <f t="shared" si="112"/>
        <v>-48.858084862507667</v>
      </c>
      <c r="J185" s="753">
        <f t="shared" si="112"/>
        <v>-380.87989584355125</v>
      </c>
      <c r="K185" s="753">
        <f t="shared" si="112"/>
        <v>-440.87453906038922</v>
      </c>
      <c r="L185" s="753">
        <f t="shared" si="112"/>
        <v>-518.90689071395536</v>
      </c>
      <c r="M185" s="753">
        <f t="shared" si="112"/>
        <v>-569.06436133525449</v>
      </c>
      <c r="N185" s="753">
        <f t="shared" si="112"/>
        <v>-635.61831321752402</v>
      </c>
      <c r="O185" s="753">
        <f t="shared" si="112"/>
        <v>-700.94443317396531</v>
      </c>
      <c r="P185" s="753">
        <f t="shared" si="112"/>
        <v>-773.42394207218922</v>
      </c>
      <c r="Q185" s="753">
        <f t="shared" ref="Q185:U185" si="113">Q32-Q184</f>
        <v>-686.08359987875383</v>
      </c>
      <c r="R185" s="753">
        <f t="shared" si="113"/>
        <v>-596.1547297615266</v>
      </c>
      <c r="S185" s="753">
        <f t="shared" si="113"/>
        <v>-500.46357174422064</v>
      </c>
      <c r="T185" s="753">
        <f t="shared" si="113"/>
        <v>-398.70438861972457</v>
      </c>
      <c r="U185" s="753">
        <f t="shared" si="113"/>
        <v>-290.386283281136</v>
      </c>
      <c r="V185" s="155"/>
      <c r="W185" s="154"/>
      <c r="X185" s="154"/>
      <c r="Y185" s="153"/>
    </row>
    <row r="186" spans="1:25" hidden="1" outlineLevel="1">
      <c r="A186" s="154" t="s">
        <v>854</v>
      </c>
      <c r="B186" s="154"/>
      <c r="C186" s="154"/>
      <c r="D186" s="154"/>
      <c r="E186" s="154"/>
      <c r="F186" s="154"/>
      <c r="G186" s="154"/>
      <c r="H186" s="753">
        <f>PG!B59</f>
        <v>0</v>
      </c>
      <c r="I186" s="753">
        <f>PG!C59</f>
        <v>16.5</v>
      </c>
      <c r="J186" s="753">
        <f>PG!D59</f>
        <v>38.25</v>
      </c>
      <c r="K186" s="753">
        <f>PG!E59</f>
        <v>57.75</v>
      </c>
      <c r="L186" s="753">
        <f>PG!F59</f>
        <v>57.75</v>
      </c>
      <c r="M186" s="753">
        <f>PG!G59</f>
        <v>57.75</v>
      </c>
      <c r="N186" s="753">
        <f>PG!H59</f>
        <v>57.75</v>
      </c>
      <c r="O186" s="753">
        <f>PG!I59</f>
        <v>57.75</v>
      </c>
      <c r="P186" s="753">
        <f>PG!J59</f>
        <v>57.75</v>
      </c>
      <c r="Q186" s="753">
        <f>PG!K59</f>
        <v>57.75</v>
      </c>
      <c r="R186" s="753">
        <f>PG!L59</f>
        <v>57.75</v>
      </c>
      <c r="S186" s="753">
        <f>PG!M59</f>
        <v>57.75</v>
      </c>
      <c r="T186" s="753">
        <f>PG!N59</f>
        <v>57.75</v>
      </c>
      <c r="U186" s="753">
        <f>PG!O59</f>
        <v>57.75</v>
      </c>
      <c r="V186" s="155"/>
      <c r="W186" s="154"/>
      <c r="X186" s="154"/>
      <c r="Y186" s="153"/>
    </row>
    <row r="187" spans="1:25" hidden="1" outlineLevel="1">
      <c r="A187" s="154"/>
      <c r="B187" s="154"/>
      <c r="C187" s="154"/>
      <c r="D187" s="154"/>
      <c r="E187" s="154"/>
      <c r="F187" s="154"/>
      <c r="G187" s="154"/>
      <c r="H187" s="155"/>
      <c r="I187" s="155"/>
      <c r="J187" s="155"/>
      <c r="K187" s="155"/>
      <c r="L187" s="155"/>
      <c r="M187" s="155"/>
      <c r="N187" s="155"/>
      <c r="O187" s="155"/>
      <c r="P187" s="155"/>
      <c r="Q187" s="155"/>
      <c r="R187" s="155"/>
      <c r="S187" s="155"/>
      <c r="T187" s="155"/>
      <c r="U187" s="155"/>
      <c r="V187" s="155"/>
      <c r="W187" s="154"/>
      <c r="X187" s="154"/>
      <c r="Y187" s="153"/>
    </row>
    <row r="188" spans="1:25" hidden="1" outlineLevel="1">
      <c r="A188" s="154"/>
      <c r="B188" s="154"/>
      <c r="C188" s="154"/>
      <c r="D188" s="154"/>
      <c r="E188" s="154"/>
      <c r="F188" s="154"/>
      <c r="G188" s="154"/>
      <c r="H188" s="155"/>
      <c r="I188" s="569">
        <v>0.31</v>
      </c>
      <c r="J188" s="569">
        <v>0.27500000000000002</v>
      </c>
      <c r="K188" s="569">
        <v>0.25</v>
      </c>
      <c r="L188" s="569">
        <v>0.22500000000000001</v>
      </c>
      <c r="M188" s="569">
        <v>0.2</v>
      </c>
      <c r="N188" s="569">
        <f t="shared" ref="N188:U188" si="114">M188-1%</f>
        <v>0.19</v>
      </c>
      <c r="O188" s="569">
        <f t="shared" si="114"/>
        <v>0.18</v>
      </c>
      <c r="P188" s="569">
        <f t="shared" si="114"/>
        <v>0.16999999999999998</v>
      </c>
      <c r="Q188" s="569">
        <f t="shared" si="114"/>
        <v>0.15999999999999998</v>
      </c>
      <c r="R188" s="569">
        <f t="shared" si="114"/>
        <v>0.14999999999999997</v>
      </c>
      <c r="S188" s="569">
        <f t="shared" si="114"/>
        <v>0.13999999999999996</v>
      </c>
      <c r="T188" s="569">
        <f t="shared" si="114"/>
        <v>0.12999999999999995</v>
      </c>
      <c r="U188" s="569">
        <f t="shared" si="114"/>
        <v>0.11999999999999995</v>
      </c>
      <c r="V188" s="155"/>
      <c r="W188" s="154"/>
      <c r="X188" s="154"/>
      <c r="Y188" s="153"/>
    </row>
    <row r="189" spans="1:25" hidden="1" outlineLevel="1">
      <c r="A189" s="154"/>
      <c r="B189" s="154"/>
      <c r="C189" s="154"/>
      <c r="D189" s="154"/>
      <c r="E189" s="154"/>
      <c r="F189" s="154"/>
      <c r="G189" s="154"/>
      <c r="H189" s="155"/>
      <c r="I189" s="155"/>
      <c r="J189" s="155"/>
      <c r="K189" s="155"/>
      <c r="L189" s="155"/>
      <c r="M189" s="155"/>
      <c r="N189" s="155"/>
      <c r="O189" s="155"/>
      <c r="P189" s="155"/>
      <c r="Q189" s="155"/>
      <c r="R189" s="155"/>
      <c r="S189" s="155"/>
      <c r="T189" s="155"/>
      <c r="U189" s="155"/>
      <c r="V189" s="155"/>
      <c r="W189" s="154"/>
      <c r="X189" s="154"/>
      <c r="Y189" s="153"/>
    </row>
    <row r="190" spans="1:25" hidden="1" outlineLevel="1">
      <c r="A190" s="154"/>
      <c r="B190" s="154"/>
      <c r="C190" s="154"/>
      <c r="D190" s="154"/>
      <c r="E190" s="154"/>
      <c r="F190" s="154"/>
      <c r="G190" s="154"/>
      <c r="H190" s="155"/>
      <c r="I190" s="155"/>
      <c r="J190" s="155"/>
      <c r="K190" s="155"/>
      <c r="L190" s="155"/>
      <c r="M190" s="155"/>
      <c r="N190" s="155"/>
      <c r="O190" s="155"/>
      <c r="P190" s="155"/>
      <c r="Q190" s="155"/>
      <c r="R190" s="155"/>
      <c r="S190" s="155"/>
      <c r="T190" s="155"/>
      <c r="U190" s="155"/>
      <c r="V190" s="155"/>
      <c r="W190" s="154"/>
      <c r="X190" s="154"/>
      <c r="Y190" s="153"/>
    </row>
    <row r="191" spans="1:25" hidden="1" outlineLevel="1">
      <c r="A191" s="154"/>
      <c r="B191" s="154"/>
      <c r="C191" s="154"/>
      <c r="D191" s="154"/>
      <c r="E191" s="154"/>
      <c r="F191" s="154"/>
      <c r="G191" s="154"/>
      <c r="H191" s="155"/>
      <c r="I191" s="155"/>
      <c r="J191" s="155"/>
      <c r="K191" s="155"/>
      <c r="L191" s="155"/>
      <c r="M191" s="155"/>
      <c r="N191" s="155"/>
      <c r="O191" s="155"/>
      <c r="P191" s="155"/>
      <c r="Q191" s="155"/>
      <c r="R191" s="155"/>
      <c r="S191" s="155"/>
      <c r="T191" s="155"/>
      <c r="U191" s="155"/>
      <c r="V191" s="155"/>
      <c r="W191" s="154"/>
      <c r="X191" s="154"/>
      <c r="Y191" s="153"/>
    </row>
    <row r="192" spans="1:25" hidden="1" outlineLevel="1">
      <c r="A192" s="154"/>
      <c r="B192" s="154"/>
      <c r="C192" s="154"/>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53"/>
    </row>
    <row r="193" spans="1:25" hidden="1" outlineLevel="1">
      <c r="A193" s="160" t="s">
        <v>1003</v>
      </c>
      <c r="B193" s="154"/>
      <c r="C193" s="154"/>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53"/>
    </row>
    <row r="194" spans="1:25" hidden="1" outlineLevel="1">
      <c r="A194" s="154"/>
      <c r="B194" s="154"/>
      <c r="C194" s="154"/>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3"/>
    </row>
    <row r="195" spans="1:25" hidden="1" outlineLevel="1">
      <c r="A195" t="s">
        <v>861</v>
      </c>
      <c r="B195">
        <v>2190</v>
      </c>
      <c r="C195">
        <v>2220</v>
      </c>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3"/>
    </row>
    <row r="196" spans="1:25" hidden="1" outlineLevel="1">
      <c r="A196" t="s">
        <v>964</v>
      </c>
      <c r="B196">
        <f>0.69*B195</f>
        <v>1511.1</v>
      </c>
      <c r="C196">
        <f>0.69*C195</f>
        <v>1531.8</v>
      </c>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3"/>
    </row>
    <row r="197" spans="1:25" hidden="1" outlineLevel="1">
      <c r="A197" t="s">
        <v>965</v>
      </c>
      <c r="B197">
        <v>500</v>
      </c>
      <c r="C197">
        <v>500</v>
      </c>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3"/>
    </row>
    <row r="198" spans="1:25" hidden="1" outlineLevel="1">
      <c r="B198">
        <v>638</v>
      </c>
      <c r="C198">
        <v>638</v>
      </c>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3"/>
    </row>
    <row r="199" spans="1:25" hidden="1" outlineLevel="1">
      <c r="B199">
        <f>B198-B197</f>
        <v>138</v>
      </c>
      <c r="C199">
        <f>C198-C197</f>
        <v>138</v>
      </c>
      <c r="D199" s="154"/>
      <c r="E199" s="154"/>
      <c r="F199" s="154"/>
      <c r="G199" s="154"/>
      <c r="H199" s="154"/>
      <c r="I199" s="154"/>
      <c r="J199" s="154"/>
      <c r="K199" s="154"/>
      <c r="L199" s="154"/>
      <c r="M199" s="154"/>
      <c r="N199" s="154"/>
      <c r="O199" s="154"/>
      <c r="P199" s="154"/>
      <c r="Q199" s="154"/>
      <c r="R199" s="154"/>
      <c r="S199" s="154"/>
      <c r="T199" s="154"/>
      <c r="U199" s="154"/>
      <c r="V199" s="154"/>
      <c r="W199" s="154"/>
      <c r="X199" s="154"/>
      <c r="Y199" s="153"/>
    </row>
    <row r="200" spans="1:25" hidden="1" outlineLevel="1">
      <c r="B200">
        <f>B199/50</f>
        <v>2.76</v>
      </c>
      <c r="C200">
        <f>C199/50</f>
        <v>2.76</v>
      </c>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3"/>
    </row>
    <row r="201" spans="1:25" hidden="1" outlineLevel="1">
      <c r="B201">
        <f>B200*-47</f>
        <v>-129.72</v>
      </c>
      <c r="C201">
        <f>C200*-47</f>
        <v>-129.72</v>
      </c>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3"/>
    </row>
    <row r="202" spans="1:25" hidden="1" outlineLevel="1">
      <c r="B202">
        <f>B195+B201</f>
        <v>2060.2800000000002</v>
      </c>
      <c r="C202">
        <f>C195+C201</f>
        <v>2090.2800000000002</v>
      </c>
      <c r="D202" s="154"/>
      <c r="E202" s="154"/>
      <c r="F202" s="154"/>
      <c r="G202" s="154"/>
      <c r="H202" s="154"/>
      <c r="V202" s="154"/>
      <c r="W202" s="154"/>
      <c r="X202" s="154"/>
      <c r="Y202" s="153"/>
    </row>
    <row r="203" spans="1:25" collapsed="1">
      <c r="A203" s="153"/>
      <c r="B203" s="153"/>
      <c r="C203" s="153"/>
      <c r="D203" s="154"/>
      <c r="E203" s="154"/>
      <c r="F203" s="154"/>
      <c r="G203" s="154"/>
      <c r="H203" s="154"/>
      <c r="I203" s="154"/>
      <c r="J203" s="154"/>
      <c r="K203" s="154"/>
      <c r="L203" s="154"/>
      <c r="M203" s="154"/>
      <c r="N203" s="154"/>
      <c r="O203" s="159"/>
      <c r="P203" s="159"/>
      <c r="Q203" s="159"/>
      <c r="R203" s="154"/>
      <c r="S203" s="154"/>
      <c r="T203" s="154"/>
      <c r="U203" s="154"/>
      <c r="V203" s="154"/>
      <c r="W203" s="154"/>
      <c r="X203" s="154"/>
      <c r="Y203" s="153"/>
    </row>
    <row r="204" spans="1:25">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3"/>
    </row>
    <row r="205" spans="1:25">
      <c r="A205" s="154"/>
      <c r="B205" s="154"/>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3"/>
    </row>
    <row r="206" spans="1:25">
      <c r="A206" s="154"/>
      <c r="B206" s="154"/>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3"/>
    </row>
    <row r="207" spans="1:25">
      <c r="A207" s="154"/>
      <c r="B207" s="154"/>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3"/>
    </row>
    <row r="208" spans="1:25">
      <c r="A208" s="154"/>
      <c r="B208" s="154"/>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3"/>
    </row>
    <row r="209" spans="1:25">
      <c r="A209" s="154"/>
      <c r="B209" s="154"/>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3"/>
    </row>
    <row r="210" spans="1:25">
      <c r="A210" s="154"/>
      <c r="B210" s="154"/>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3"/>
    </row>
    <row r="211" spans="1:25">
      <c r="A211" s="154"/>
      <c r="B211" s="154"/>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3"/>
    </row>
    <row r="212" spans="1:25">
      <c r="A212" s="15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3"/>
    </row>
    <row r="213" spans="1:25">
      <c r="A213" s="154"/>
      <c r="B213" s="154"/>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3"/>
    </row>
    <row r="214" spans="1:25">
      <c r="A214" s="154"/>
      <c r="B214" s="154"/>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3"/>
    </row>
    <row r="215" spans="1:25">
      <c r="A215" s="154"/>
      <c r="B215" s="154"/>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3"/>
    </row>
    <row r="216" spans="1:25">
      <c r="A216" s="154"/>
      <c r="B216" s="154"/>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3"/>
    </row>
    <row r="217" spans="1:25">
      <c r="A217" s="154"/>
      <c r="B217" s="154"/>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3"/>
    </row>
    <row r="218" spans="1:25">
      <c r="A218" s="154"/>
      <c r="B218" s="154"/>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3"/>
    </row>
    <row r="219" spans="1:25">
      <c r="A219" s="154"/>
      <c r="B219" s="154"/>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3"/>
    </row>
    <row r="220" spans="1:25">
      <c r="A220" s="154"/>
      <c r="B220" s="154"/>
      <c r="C220" s="154"/>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3"/>
    </row>
    <row r="221" spans="1:25">
      <c r="A221" s="154"/>
      <c r="B221" s="154"/>
      <c r="C221" s="154"/>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3"/>
    </row>
    <row r="222" spans="1:25">
      <c r="A222" s="154"/>
      <c r="B222" s="154"/>
      <c r="C222" s="154"/>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3"/>
    </row>
    <row r="223" spans="1:25">
      <c r="A223" s="154"/>
      <c r="B223" s="154"/>
      <c r="C223" s="154"/>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3"/>
    </row>
    <row r="224" spans="1:25">
      <c r="A224" s="154"/>
      <c r="B224" s="154"/>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3"/>
    </row>
    <row r="225" spans="1:25">
      <c r="A225" s="15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3"/>
    </row>
    <row r="226" spans="1:25">
      <c r="A226" s="154"/>
      <c r="B226" s="154"/>
      <c r="C226" s="154"/>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3"/>
    </row>
    <row r="227" spans="1:25">
      <c r="A227" s="154"/>
      <c r="B227" s="154"/>
      <c r="C227" s="154"/>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3"/>
    </row>
    <row r="228" spans="1:25">
      <c r="A228" s="154"/>
      <c r="B228" s="154"/>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3"/>
    </row>
    <row r="229" spans="1:25">
      <c r="A229" s="154"/>
      <c r="B229" s="154"/>
      <c r="C229" s="154"/>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3"/>
    </row>
    <row r="230" spans="1:25">
      <c r="A230" s="154"/>
      <c r="B230" s="154"/>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3"/>
    </row>
    <row r="231" spans="1:25">
      <c r="A231" s="154"/>
      <c r="B231" s="154"/>
      <c r="C231" s="154"/>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3"/>
    </row>
    <row r="232" spans="1:25">
      <c r="A232" s="154"/>
      <c r="B232" s="154"/>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3"/>
    </row>
    <row r="233" spans="1:25">
      <c r="A233" s="154"/>
      <c r="B233" s="154"/>
      <c r="C233" s="154"/>
      <c r="D233" s="154"/>
      <c r="E233" s="154"/>
      <c r="F233" s="154"/>
      <c r="G233" s="154"/>
      <c r="H233" s="154"/>
      <c r="I233" s="154"/>
      <c r="J233" s="154"/>
      <c r="K233" s="154"/>
      <c r="L233" s="154"/>
      <c r="M233" s="154"/>
      <c r="N233" s="154"/>
      <c r="O233" s="154"/>
      <c r="P233" s="154"/>
      <c r="Q233" s="154"/>
      <c r="R233" s="154"/>
      <c r="S233" s="154"/>
      <c r="T233" s="154"/>
      <c r="U233" s="154"/>
      <c r="V233" s="154"/>
      <c r="W233" s="154"/>
      <c r="X233" s="154"/>
      <c r="Y233" s="153"/>
    </row>
    <row r="234" spans="1:25">
      <c r="A234" s="154"/>
      <c r="B234" s="154"/>
      <c r="C234" s="154"/>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3"/>
    </row>
    <row r="235" spans="1:25">
      <c r="A235" s="154"/>
      <c r="B235" s="154"/>
      <c r="C235" s="154"/>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3"/>
    </row>
    <row r="236" spans="1:25">
      <c r="A236" s="154"/>
      <c r="B236" s="154"/>
      <c r="C236" s="154"/>
      <c r="D236" s="154"/>
      <c r="E236" s="154"/>
      <c r="F236" s="154"/>
      <c r="G236" s="154"/>
      <c r="H236" s="154"/>
      <c r="I236" s="154"/>
      <c r="J236" s="154"/>
      <c r="K236" s="154"/>
      <c r="L236" s="154"/>
      <c r="M236" s="154"/>
      <c r="N236" s="154"/>
      <c r="O236" s="154"/>
      <c r="P236" s="154"/>
      <c r="Q236" s="154"/>
      <c r="R236" s="154"/>
      <c r="S236" s="154"/>
      <c r="T236" s="154"/>
      <c r="U236" s="154"/>
      <c r="V236" s="154"/>
      <c r="W236" s="154"/>
      <c r="X236" s="154"/>
      <c r="Y236" s="153"/>
    </row>
    <row r="237" spans="1:25">
      <c r="A237" s="154"/>
      <c r="B237" s="154"/>
      <c r="C237" s="154"/>
      <c r="D237" s="154"/>
      <c r="E237" s="154"/>
      <c r="F237" s="154"/>
      <c r="G237" s="154"/>
      <c r="H237" s="154"/>
      <c r="I237" s="154"/>
      <c r="J237" s="154"/>
      <c r="K237" s="154"/>
      <c r="L237" s="154"/>
      <c r="M237" s="154"/>
      <c r="N237" s="154"/>
      <c r="O237" s="154"/>
      <c r="P237" s="154"/>
      <c r="Q237" s="154"/>
      <c r="R237" s="154"/>
      <c r="S237" s="154"/>
      <c r="T237" s="154"/>
      <c r="U237" s="154"/>
      <c r="V237" s="154"/>
      <c r="W237" s="154"/>
      <c r="X237" s="154"/>
      <c r="Y237" s="153"/>
    </row>
    <row r="238" spans="1:25">
      <c r="A238" s="154"/>
      <c r="B238" s="154"/>
      <c r="C238" s="154"/>
      <c r="D238" s="154"/>
      <c r="E238" s="154"/>
      <c r="F238" s="154"/>
      <c r="G238" s="154"/>
      <c r="H238" s="154"/>
      <c r="I238" s="154"/>
      <c r="J238" s="154"/>
      <c r="K238" s="154"/>
      <c r="L238" s="154"/>
      <c r="M238" s="154"/>
      <c r="N238" s="154"/>
      <c r="O238" s="154"/>
      <c r="P238" s="154"/>
      <c r="Q238" s="154"/>
      <c r="R238" s="154"/>
      <c r="S238" s="154"/>
      <c r="T238" s="154"/>
      <c r="U238" s="154"/>
      <c r="V238" s="154"/>
      <c r="W238" s="154"/>
      <c r="X238" s="154"/>
      <c r="Y238" s="153"/>
    </row>
    <row r="239" spans="1:25">
      <c r="A239" s="154"/>
      <c r="B239" s="154"/>
      <c r="C239" s="154"/>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3"/>
    </row>
    <row r="240" spans="1:25">
      <c r="A240" s="154"/>
      <c r="B240" s="154"/>
      <c r="C240" s="154"/>
      <c r="D240" s="154"/>
      <c r="E240" s="154"/>
      <c r="F240" s="154"/>
      <c r="G240" s="154"/>
      <c r="H240" s="154"/>
      <c r="I240" s="154"/>
      <c r="J240" s="154"/>
      <c r="K240" s="154"/>
      <c r="L240" s="154"/>
      <c r="M240" s="154"/>
      <c r="N240" s="154"/>
      <c r="O240" s="154"/>
      <c r="P240" s="154"/>
      <c r="Q240" s="154"/>
      <c r="R240" s="154"/>
      <c r="S240" s="154"/>
      <c r="T240" s="154"/>
      <c r="U240" s="154"/>
      <c r="V240" s="154"/>
      <c r="W240" s="154"/>
      <c r="X240" s="154"/>
      <c r="Y240" s="153"/>
    </row>
    <row r="241" spans="1:25">
      <c r="A241" s="154"/>
      <c r="B241" s="154"/>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3"/>
    </row>
    <row r="242" spans="1:25">
      <c r="A242" s="154"/>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3"/>
    </row>
    <row r="243" spans="1:25">
      <c r="A243" s="154"/>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3"/>
    </row>
    <row r="244" spans="1:25">
      <c r="A244" s="154"/>
      <c r="B244" s="154"/>
      <c r="C244" s="154"/>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3"/>
    </row>
    <row r="245" spans="1:25">
      <c r="A245" s="154"/>
      <c r="B245" s="154"/>
      <c r="C245" s="154"/>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3"/>
    </row>
    <row r="246" spans="1:25">
      <c r="E246" s="154"/>
      <c r="F246" s="154"/>
      <c r="G246" s="154"/>
      <c r="H246" s="154"/>
      <c r="I246" s="154"/>
      <c r="J246" s="154"/>
      <c r="K246" s="154"/>
      <c r="L246" s="154"/>
      <c r="M246" s="154"/>
      <c r="N246" s="154"/>
      <c r="O246" s="154"/>
      <c r="P246" s="154"/>
      <c r="Q246" s="154"/>
      <c r="R246" s="154"/>
      <c r="S246" s="154"/>
      <c r="T246" s="154"/>
      <c r="U246" s="154"/>
      <c r="V246" s="154"/>
      <c r="W246" s="154"/>
      <c r="X246" s="154"/>
      <c r="Y246" s="153"/>
    </row>
    <row r="247" spans="1:25">
      <c r="E247" s="154"/>
      <c r="F247" s="154"/>
      <c r="G247" s="154"/>
      <c r="H247" s="154"/>
      <c r="I247" s="154"/>
      <c r="J247" s="154"/>
      <c r="K247" s="154"/>
      <c r="L247" s="154"/>
      <c r="M247" s="154"/>
      <c r="N247" s="154"/>
      <c r="O247" s="154"/>
      <c r="P247" s="154"/>
      <c r="Q247" s="154"/>
      <c r="R247" s="154"/>
      <c r="S247" s="154"/>
      <c r="T247" s="154"/>
      <c r="U247" s="154"/>
      <c r="V247" s="154"/>
      <c r="W247" s="154"/>
      <c r="X247" s="154"/>
      <c r="Y247" s="153"/>
    </row>
    <row r="248" spans="1:25">
      <c r="E248" s="154"/>
      <c r="F248" s="154"/>
      <c r="G248" s="154"/>
      <c r="H248" s="154"/>
      <c r="I248" s="154"/>
      <c r="J248" s="154"/>
      <c r="K248" s="154"/>
      <c r="L248" s="154"/>
      <c r="M248" s="154"/>
      <c r="N248" s="154"/>
      <c r="O248" s="154"/>
      <c r="P248" s="154"/>
      <c r="Q248" s="154"/>
      <c r="R248" s="154"/>
      <c r="S248" s="154"/>
      <c r="T248" s="154"/>
      <c r="U248" s="154"/>
      <c r="V248" s="154"/>
      <c r="W248" s="154"/>
      <c r="X248" s="154"/>
      <c r="Y248" s="153"/>
    </row>
    <row r="249" spans="1:25">
      <c r="E249" s="154"/>
      <c r="F249" s="154"/>
      <c r="G249" s="154"/>
      <c r="H249" s="154"/>
      <c r="I249" s="154"/>
      <c r="J249" s="154"/>
      <c r="K249" s="154"/>
      <c r="L249" s="154"/>
      <c r="M249" s="154"/>
      <c r="N249" s="154"/>
      <c r="O249" s="154"/>
      <c r="P249" s="154"/>
      <c r="Q249" s="154"/>
      <c r="R249" s="154"/>
      <c r="S249" s="154"/>
      <c r="T249" s="154"/>
      <c r="U249" s="154"/>
      <c r="V249" s="154"/>
      <c r="W249" s="154"/>
      <c r="X249" s="154"/>
      <c r="Y249" s="153"/>
    </row>
    <row r="250" spans="1:25">
      <c r="E250" s="154"/>
      <c r="F250" s="154"/>
      <c r="G250" s="154"/>
      <c r="H250" s="154"/>
      <c r="I250" s="154"/>
      <c r="J250" s="154"/>
      <c r="K250" s="154"/>
      <c r="L250" s="154"/>
      <c r="M250" s="154"/>
      <c r="N250" s="154"/>
      <c r="O250" s="154"/>
      <c r="P250" s="154"/>
      <c r="Q250" s="154"/>
      <c r="R250" s="154"/>
      <c r="S250" s="154"/>
      <c r="T250" s="154"/>
      <c r="U250" s="154"/>
      <c r="V250" s="154"/>
      <c r="W250" s="154"/>
      <c r="X250" s="154"/>
      <c r="Y250" s="153"/>
    </row>
    <row r="251" spans="1:25">
      <c r="E251" s="154"/>
      <c r="F251" s="154"/>
      <c r="G251" s="154"/>
      <c r="H251" s="154"/>
      <c r="I251" s="154"/>
      <c r="J251" s="154"/>
      <c r="K251" s="154"/>
      <c r="L251" s="154"/>
      <c r="M251" s="154"/>
      <c r="N251" s="154"/>
      <c r="O251" s="154"/>
      <c r="P251" s="154"/>
      <c r="Q251" s="154"/>
      <c r="R251" s="154"/>
      <c r="S251" s="154"/>
      <c r="T251" s="154"/>
      <c r="U251" s="154"/>
      <c r="V251" s="154"/>
      <c r="W251" s="154"/>
      <c r="X251" s="154"/>
      <c r="Y251" s="153"/>
    </row>
    <row r="252" spans="1:25">
      <c r="E252" s="154"/>
      <c r="F252" s="154"/>
      <c r="G252" s="154"/>
      <c r="H252" s="154"/>
      <c r="I252" s="154"/>
      <c r="J252" s="154"/>
      <c r="K252" s="154"/>
      <c r="L252" s="154"/>
      <c r="M252" s="154"/>
      <c r="N252" s="154"/>
      <c r="O252" s="154"/>
      <c r="P252" s="154"/>
      <c r="Q252" s="154"/>
      <c r="R252" s="154"/>
      <c r="S252" s="154"/>
      <c r="T252" s="154"/>
      <c r="U252" s="154"/>
      <c r="V252" s="154"/>
      <c r="W252" s="154"/>
      <c r="X252" s="154"/>
      <c r="Y252" s="153"/>
    </row>
    <row r="253" spans="1:25">
      <c r="E253" s="154"/>
      <c r="F253" s="154"/>
      <c r="G253" s="154"/>
      <c r="H253" s="154"/>
      <c r="I253" s="154"/>
      <c r="J253" s="154"/>
      <c r="K253" s="154"/>
      <c r="L253" s="154"/>
      <c r="M253" s="154"/>
      <c r="N253" s="154"/>
      <c r="O253" s="154"/>
      <c r="P253" s="154"/>
      <c r="Q253" s="154"/>
      <c r="R253" s="154"/>
      <c r="S253" s="154"/>
      <c r="T253" s="154"/>
      <c r="U253" s="154"/>
      <c r="V253" s="154"/>
      <c r="W253" s="154"/>
      <c r="X253" s="154"/>
      <c r="Y253" s="153"/>
    </row>
    <row r="254" spans="1:25">
      <c r="E254" s="154"/>
      <c r="F254" s="154"/>
      <c r="G254" s="154"/>
      <c r="H254" s="154"/>
      <c r="I254" s="154"/>
      <c r="J254" s="154"/>
      <c r="K254" s="154"/>
      <c r="L254" s="154"/>
      <c r="M254" s="154"/>
      <c r="N254" s="154"/>
      <c r="O254" s="154"/>
      <c r="P254" s="154"/>
      <c r="Q254" s="154"/>
      <c r="R254" s="154"/>
      <c r="S254" s="154"/>
      <c r="T254" s="154"/>
      <c r="U254" s="154"/>
      <c r="V254" s="154"/>
      <c r="W254" s="154"/>
      <c r="X254" s="154"/>
      <c r="Y254" s="153"/>
    </row>
    <row r="255" spans="1:25">
      <c r="E255" s="154"/>
      <c r="F255" s="154"/>
      <c r="G255" s="154"/>
      <c r="H255" s="154"/>
      <c r="I255" s="154"/>
      <c r="J255" s="154"/>
      <c r="K255" s="154"/>
      <c r="O255" s="154"/>
      <c r="P255" s="154"/>
      <c r="Q255" s="154"/>
      <c r="R255" s="154"/>
      <c r="S255" s="154"/>
      <c r="T255" s="154"/>
      <c r="U255" s="154"/>
      <c r="V255" s="154"/>
      <c r="W255" s="154"/>
      <c r="X255" s="154"/>
      <c r="Y255" s="153"/>
    </row>
    <row r="256" spans="1:25">
      <c r="E256" s="154"/>
      <c r="F256" s="154"/>
      <c r="G256" s="154"/>
      <c r="H256" s="154"/>
      <c r="I256" s="154"/>
      <c r="J256" s="154"/>
      <c r="K256" s="154"/>
      <c r="O256" s="154"/>
      <c r="P256" s="154"/>
      <c r="Q256" s="154"/>
      <c r="R256" s="154"/>
      <c r="S256" s="154"/>
      <c r="T256" s="154"/>
      <c r="U256" s="154"/>
      <c r="V256" s="154"/>
      <c r="W256" s="154"/>
      <c r="X256" s="154"/>
      <c r="Y256" s="153"/>
    </row>
    <row r="257" spans="1:25">
      <c r="E257" s="154"/>
      <c r="F257" s="154"/>
      <c r="G257" s="154"/>
      <c r="H257" s="154"/>
      <c r="I257" s="154"/>
      <c r="J257" s="154"/>
      <c r="K257" s="154"/>
      <c r="O257" s="154"/>
      <c r="P257" s="154"/>
      <c r="Q257" s="154"/>
      <c r="R257" s="154"/>
      <c r="S257" s="154"/>
      <c r="T257" s="154"/>
      <c r="U257" s="154"/>
      <c r="V257" s="154"/>
      <c r="W257" s="154"/>
      <c r="X257" s="154"/>
      <c r="Y257" s="153"/>
    </row>
    <row r="258" spans="1:25">
      <c r="E258" s="154"/>
      <c r="F258" s="154"/>
      <c r="G258" s="154"/>
      <c r="H258" s="154"/>
      <c r="I258" s="154"/>
      <c r="J258" s="154"/>
      <c r="K258" s="154"/>
      <c r="O258" s="154"/>
      <c r="P258" s="154"/>
      <c r="Q258" s="154"/>
      <c r="R258" s="154"/>
      <c r="S258" s="154"/>
      <c r="T258" s="154"/>
      <c r="U258" s="154"/>
      <c r="V258" s="154"/>
      <c r="W258" s="154"/>
      <c r="X258" s="154"/>
      <c r="Y258" s="153"/>
    </row>
    <row r="259" spans="1:25">
      <c r="A259" s="154"/>
      <c r="B259" s="154"/>
      <c r="C259" s="154"/>
      <c r="D259" s="154"/>
      <c r="E259" s="154"/>
      <c r="F259" s="154"/>
      <c r="G259" s="154"/>
      <c r="H259" s="154"/>
      <c r="I259" s="154"/>
      <c r="J259" s="154"/>
      <c r="K259" s="154"/>
      <c r="O259" s="154"/>
      <c r="P259" s="154"/>
      <c r="Q259" s="154"/>
      <c r="R259" s="154"/>
      <c r="S259" s="154"/>
      <c r="T259" s="154"/>
      <c r="U259" s="154"/>
      <c r="V259" s="154"/>
      <c r="W259" s="154"/>
      <c r="X259" s="154"/>
      <c r="Y259" s="153"/>
    </row>
    <row r="260" spans="1:25">
      <c r="A260" s="154"/>
      <c r="B260" s="154"/>
      <c r="C260" s="154"/>
      <c r="D260" s="154"/>
      <c r="E260" s="154"/>
      <c r="F260" s="154"/>
      <c r="G260" s="154"/>
      <c r="H260" s="154"/>
      <c r="I260" s="154"/>
      <c r="J260" s="154"/>
      <c r="K260" s="154"/>
      <c r="O260" s="154"/>
      <c r="P260" s="154"/>
      <c r="Q260" s="154"/>
      <c r="R260" s="154"/>
      <c r="S260" s="154"/>
      <c r="T260" s="154"/>
      <c r="U260" s="154"/>
      <c r="V260" s="154"/>
      <c r="W260" s="154"/>
      <c r="X260" s="154"/>
      <c r="Y260" s="153"/>
    </row>
    <row r="261" spans="1:25">
      <c r="A261" s="153"/>
      <c r="B261" s="153"/>
      <c r="C261" s="153"/>
      <c r="D261" s="153"/>
      <c r="E261" s="153"/>
      <c r="F261" s="153"/>
      <c r="G261" s="153"/>
      <c r="H261" s="153"/>
      <c r="I261" s="153"/>
      <c r="J261" s="153"/>
      <c r="K261" s="153"/>
      <c r="O261" s="153"/>
      <c r="P261" s="153"/>
      <c r="Q261" s="153"/>
      <c r="R261" s="153"/>
      <c r="S261" s="153"/>
      <c r="T261" s="153"/>
      <c r="U261" s="153"/>
      <c r="V261" s="153"/>
      <c r="W261" s="153"/>
      <c r="X261" s="153"/>
      <c r="Y261" s="153"/>
    </row>
    <row r="262" spans="1:25">
      <c r="A262" s="153"/>
      <c r="B262" s="153"/>
      <c r="C262" s="153"/>
      <c r="D262" s="153"/>
      <c r="E262" s="153"/>
      <c r="F262" s="153"/>
      <c r="G262" s="153"/>
      <c r="H262" s="153"/>
      <c r="I262" s="153"/>
      <c r="J262" s="153"/>
      <c r="K262" s="153"/>
      <c r="O262" s="153"/>
      <c r="P262" s="153"/>
      <c r="Q262" s="153"/>
      <c r="R262" s="153"/>
      <c r="S262" s="153"/>
      <c r="T262" s="153"/>
      <c r="U262" s="153"/>
      <c r="V262" s="153"/>
      <c r="W262" s="153"/>
      <c r="X262" s="153"/>
      <c r="Y262" s="153"/>
    </row>
    <row r="263" spans="1:25">
      <c r="A263" s="153"/>
      <c r="B263" s="153"/>
      <c r="C263" s="153"/>
      <c r="D263" s="153"/>
      <c r="E263" s="153"/>
      <c r="F263" s="153"/>
      <c r="G263" s="153"/>
      <c r="H263" s="153"/>
      <c r="I263" s="153"/>
      <c r="J263" s="153"/>
      <c r="K263" s="153"/>
      <c r="O263" s="153"/>
      <c r="P263" s="153"/>
      <c r="Q263" s="153"/>
      <c r="R263" s="153"/>
      <c r="S263" s="153"/>
      <c r="T263" s="153"/>
      <c r="U263" s="153"/>
      <c r="V263" s="153"/>
      <c r="W263" s="153"/>
      <c r="X263" s="153"/>
      <c r="Y263" s="153"/>
    </row>
    <row r="264" spans="1:25">
      <c r="H264" s="153"/>
      <c r="I264" s="153"/>
      <c r="J264" s="153"/>
      <c r="K264" s="153"/>
      <c r="L264" s="153"/>
      <c r="M264" s="153"/>
      <c r="N264" s="153"/>
      <c r="O264" s="153"/>
      <c r="P264" s="153"/>
      <c r="Q264" s="153"/>
      <c r="R264" s="153"/>
      <c r="S264" s="153"/>
      <c r="T264" s="153"/>
      <c r="U264" s="153"/>
      <c r="V264" s="153"/>
      <c r="W264" s="153"/>
      <c r="X264" s="153"/>
      <c r="Y264" s="153"/>
    </row>
    <row r="265" spans="1:25">
      <c r="H265" s="153"/>
      <c r="I265" s="153"/>
      <c r="J265" s="153"/>
      <c r="K265" s="153"/>
      <c r="L265" s="153"/>
      <c r="M265" s="153"/>
      <c r="N265" s="153"/>
      <c r="O265" s="153"/>
      <c r="P265" s="153"/>
      <c r="Q265" s="153"/>
      <c r="R265" s="153"/>
      <c r="S265" s="153"/>
      <c r="T265" s="153"/>
      <c r="U265" s="153"/>
      <c r="V265" s="153"/>
      <c r="W265" s="153"/>
      <c r="X265" s="153"/>
      <c r="Y265" s="153"/>
    </row>
    <row r="266" spans="1:25">
      <c r="H266" s="153"/>
      <c r="I266" s="153"/>
      <c r="J266" s="153"/>
      <c r="K266" s="153"/>
      <c r="L266" s="153"/>
      <c r="M266" s="153"/>
      <c r="N266" s="153"/>
      <c r="O266" s="153"/>
      <c r="P266" s="153"/>
      <c r="Q266" s="153"/>
      <c r="R266" s="153"/>
      <c r="S266" s="153"/>
      <c r="T266" s="153"/>
      <c r="U266" s="153"/>
      <c r="V266" s="153"/>
      <c r="W266" s="153"/>
      <c r="X266" s="153"/>
      <c r="Y266" s="153"/>
    </row>
    <row r="267" spans="1:25">
      <c r="H267" s="153"/>
      <c r="I267" s="153"/>
      <c r="J267" s="153"/>
      <c r="K267" s="153"/>
      <c r="L267" s="153"/>
      <c r="M267" s="153"/>
      <c r="N267" s="153"/>
      <c r="O267" s="153"/>
      <c r="P267" s="153"/>
      <c r="Q267" s="153"/>
      <c r="R267" s="153"/>
      <c r="S267" s="153"/>
      <c r="T267" s="153"/>
      <c r="U267" s="153"/>
      <c r="V267" s="153"/>
      <c r="W267" s="153"/>
      <c r="X267" s="153"/>
      <c r="Y267" s="153"/>
    </row>
    <row r="268" spans="1:25">
      <c r="H268" s="153"/>
      <c r="I268" s="153"/>
      <c r="J268" s="153"/>
      <c r="K268" s="153"/>
      <c r="L268" s="153"/>
      <c r="M268" s="153"/>
      <c r="N268" s="153"/>
      <c r="O268" s="153"/>
      <c r="P268" s="153"/>
      <c r="Q268" s="153"/>
      <c r="R268" s="153"/>
      <c r="S268" s="153"/>
      <c r="T268" s="153"/>
      <c r="U268" s="153"/>
      <c r="V268" s="153"/>
      <c r="W268" s="153"/>
      <c r="X268" s="153"/>
      <c r="Y268" s="153"/>
    </row>
    <row r="269" spans="1:25">
      <c r="H269" s="153"/>
      <c r="I269" s="153"/>
      <c r="J269" s="153"/>
      <c r="K269" s="153"/>
      <c r="L269" s="153"/>
      <c r="M269" s="153"/>
      <c r="N269" s="153"/>
      <c r="O269" s="153"/>
      <c r="P269" s="153"/>
      <c r="Q269" s="153"/>
      <c r="R269" s="153"/>
      <c r="S269" s="153"/>
      <c r="T269" s="153"/>
      <c r="U269" s="153"/>
      <c r="V269" s="153"/>
      <c r="W269" s="153"/>
      <c r="X269" s="153"/>
      <c r="Y269" s="153"/>
    </row>
    <row r="270" spans="1:25">
      <c r="A270" s="153"/>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row>
    <row r="271" spans="1:25">
      <c r="A271" s="153"/>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row>
    <row r="272" spans="1:25">
      <c r="A272" s="153"/>
      <c r="B272" s="153"/>
      <c r="C272" s="153"/>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row>
    <row r="273" spans="1:25">
      <c r="A273" s="153"/>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row>
    <row r="274" spans="1:25">
      <c r="A274" s="153"/>
      <c r="B274" s="153"/>
      <c r="C274" s="153"/>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row>
    <row r="275" spans="1:25">
      <c r="A275" s="153"/>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row>
    <row r="276" spans="1:25">
      <c r="A276" s="153"/>
      <c r="B276" s="153"/>
      <c r="C276" s="153"/>
      <c r="D276" s="153"/>
      <c r="E276" s="153"/>
      <c r="F276" s="153"/>
      <c r="G276" s="153"/>
      <c r="H276" s="153"/>
      <c r="I276" s="153"/>
      <c r="J276" s="153"/>
      <c r="K276" s="153"/>
      <c r="L276" s="153"/>
      <c r="M276" s="153"/>
      <c r="N276" s="153"/>
      <c r="O276" s="153"/>
      <c r="P276" s="153"/>
      <c r="Q276" s="153"/>
      <c r="R276" s="153"/>
      <c r="S276" s="153"/>
      <c r="T276" s="153"/>
      <c r="U276" s="153"/>
      <c r="V276" s="153"/>
      <c r="W276" s="153"/>
      <c r="X276" s="153"/>
      <c r="Y276" s="153"/>
    </row>
    <row r="277" spans="1:25">
      <c r="A277" s="153"/>
      <c r="B277" s="153"/>
      <c r="C277" s="153"/>
      <c r="D277" s="153"/>
      <c r="E277" s="153"/>
      <c r="F277" s="153"/>
      <c r="G277" s="153"/>
      <c r="H277" s="153"/>
      <c r="I277" s="153"/>
      <c r="J277" s="153"/>
      <c r="K277" s="153"/>
      <c r="L277" s="153"/>
      <c r="M277" s="153"/>
      <c r="N277" s="153"/>
      <c r="O277" s="153"/>
      <c r="P277" s="153"/>
      <c r="Q277" s="153"/>
      <c r="R277" s="153"/>
      <c r="S277" s="153"/>
      <c r="T277" s="153"/>
      <c r="U277" s="153"/>
      <c r="V277" s="153"/>
      <c r="W277" s="153"/>
      <c r="X277" s="153"/>
      <c r="Y277" s="153"/>
    </row>
    <row r="278" spans="1:25">
      <c r="A278" s="153"/>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row>
    <row r="279" spans="1:25">
      <c r="A279" s="153"/>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row>
    <row r="280" spans="1:25">
      <c r="A280" s="153"/>
      <c r="B280" s="153"/>
      <c r="C280" s="153"/>
      <c r="D280" s="153"/>
      <c r="E280" s="153"/>
      <c r="F280" s="153"/>
      <c r="G280" s="153"/>
      <c r="H280" s="153"/>
      <c r="I280" s="153"/>
      <c r="J280" s="153"/>
      <c r="K280" s="153"/>
      <c r="L280" s="153"/>
      <c r="M280" s="153"/>
      <c r="N280" s="153"/>
      <c r="O280" s="153"/>
      <c r="P280" s="153"/>
      <c r="Q280" s="153"/>
      <c r="R280" s="153"/>
      <c r="S280" s="153"/>
      <c r="T280" s="153"/>
      <c r="U280" s="153"/>
      <c r="V280" s="153"/>
      <c r="W280" s="153"/>
      <c r="X280" s="153"/>
      <c r="Y280" s="153"/>
    </row>
    <row r="281" spans="1:25">
      <c r="A281" s="153"/>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row>
    <row r="282" spans="1:25">
      <c r="A282" s="153"/>
      <c r="B282" s="153"/>
      <c r="C282" s="153"/>
      <c r="D282" s="153"/>
      <c r="E282" s="153"/>
      <c r="F282" s="153"/>
      <c r="G282" s="153"/>
      <c r="H282" s="153"/>
      <c r="I282" s="153"/>
      <c r="J282" s="153"/>
      <c r="K282" s="153"/>
      <c r="L282" s="153"/>
      <c r="M282" s="153"/>
      <c r="N282" s="153"/>
      <c r="O282" s="153"/>
      <c r="P282" s="153"/>
      <c r="Q282" s="153"/>
      <c r="R282" s="153"/>
      <c r="S282" s="153"/>
      <c r="T282" s="153"/>
      <c r="U282" s="153"/>
      <c r="V282" s="153"/>
      <c r="W282" s="153"/>
      <c r="X282" s="153"/>
      <c r="Y282" s="153"/>
    </row>
    <row r="283" spans="1:25">
      <c r="A283" s="153"/>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row>
    <row r="284" spans="1:25">
      <c r="A284" s="153"/>
      <c r="B284" s="153"/>
      <c r="C284" s="153"/>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row>
    <row r="285" spans="1:25">
      <c r="A285" s="153"/>
      <c r="B285" s="153"/>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row>
    <row r="286" spans="1:25">
      <c r="A286" s="153"/>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row>
    <row r="287" spans="1:25">
      <c r="A287" s="153"/>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row>
    <row r="288" spans="1:25">
      <c r="A288" s="153"/>
      <c r="B288" s="153"/>
      <c r="C288" s="153"/>
      <c r="D288" s="153"/>
      <c r="E288" s="153"/>
      <c r="F288" s="153"/>
      <c r="G288" s="153"/>
      <c r="H288" s="153"/>
      <c r="I288" s="153"/>
      <c r="J288" s="153"/>
      <c r="K288" s="153"/>
      <c r="L288" s="153"/>
      <c r="M288" s="153"/>
      <c r="N288" s="153"/>
      <c r="O288" s="153"/>
      <c r="P288" s="153"/>
      <c r="Q288" s="153"/>
      <c r="R288" s="153"/>
      <c r="S288" s="153"/>
      <c r="T288" s="153"/>
      <c r="U288" s="153"/>
      <c r="V288" s="153"/>
      <c r="W288" s="153"/>
      <c r="X288" s="153"/>
      <c r="Y288" s="153"/>
    </row>
    <row r="289" spans="1:25">
      <c r="A289" s="153"/>
      <c r="B289" s="153"/>
      <c r="C289" s="153"/>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row>
    <row r="290" spans="1:25">
      <c r="A290" s="153"/>
      <c r="B290" s="153"/>
      <c r="C290" s="153"/>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row>
    <row r="291" spans="1:25">
      <c r="A291" s="153"/>
      <c r="B291" s="153"/>
      <c r="C291" s="153"/>
      <c r="D291" s="153"/>
      <c r="E291" s="153"/>
      <c r="F291" s="153"/>
      <c r="G291" s="153"/>
      <c r="H291" s="153"/>
      <c r="I291" s="153"/>
      <c r="J291" s="153"/>
      <c r="K291" s="153"/>
      <c r="L291" s="153"/>
      <c r="M291" s="153"/>
      <c r="N291" s="153"/>
      <c r="O291" s="153"/>
      <c r="P291" s="153"/>
      <c r="Q291" s="153"/>
      <c r="R291" s="153"/>
      <c r="S291" s="153"/>
      <c r="T291" s="153"/>
      <c r="U291" s="153"/>
      <c r="V291" s="153"/>
      <c r="W291" s="153"/>
      <c r="X291" s="153"/>
      <c r="Y291" s="153"/>
    </row>
    <row r="292" spans="1:25">
      <c r="A292" s="153"/>
      <c r="B292" s="153"/>
      <c r="C292" s="153"/>
      <c r="D292" s="153"/>
      <c r="E292" s="153"/>
      <c r="F292" s="153"/>
      <c r="G292" s="153"/>
      <c r="H292" s="153"/>
      <c r="I292" s="153"/>
      <c r="J292" s="153"/>
      <c r="K292" s="153"/>
      <c r="L292" s="153"/>
      <c r="M292" s="153"/>
      <c r="N292" s="153"/>
      <c r="O292" s="153"/>
      <c r="P292" s="153"/>
      <c r="Q292" s="153"/>
      <c r="R292" s="153"/>
      <c r="S292" s="153"/>
      <c r="T292" s="153"/>
      <c r="U292" s="153"/>
      <c r="V292" s="153"/>
      <c r="W292" s="153"/>
      <c r="X292" s="153"/>
      <c r="Y292" s="153"/>
    </row>
    <row r="293" spans="1:25">
      <c r="A293" s="153"/>
      <c r="B293" s="153"/>
      <c r="C293" s="153"/>
      <c r="D293" s="153"/>
      <c r="E293" s="153"/>
      <c r="F293" s="153"/>
      <c r="G293" s="153"/>
      <c r="H293" s="153"/>
      <c r="I293" s="153"/>
      <c r="J293" s="153"/>
      <c r="K293" s="153"/>
      <c r="L293" s="153"/>
      <c r="M293" s="153"/>
      <c r="N293" s="153"/>
      <c r="O293" s="153"/>
      <c r="P293" s="153"/>
      <c r="Q293" s="153"/>
      <c r="R293" s="153"/>
      <c r="S293" s="153"/>
      <c r="T293" s="153"/>
      <c r="U293" s="153"/>
      <c r="V293" s="153"/>
      <c r="W293" s="153"/>
      <c r="X293" s="153"/>
      <c r="Y293" s="153"/>
    </row>
    <row r="294" spans="1:25">
      <c r="A294" s="153"/>
      <c r="B294" s="153"/>
      <c r="C294" s="153"/>
      <c r="D294" s="153"/>
      <c r="E294" s="153"/>
      <c r="F294" s="153"/>
      <c r="G294" s="153"/>
      <c r="H294" s="153"/>
      <c r="I294" s="153"/>
      <c r="J294" s="153"/>
      <c r="K294" s="153"/>
      <c r="L294" s="153"/>
      <c r="M294" s="153"/>
      <c r="N294" s="153"/>
      <c r="O294" s="153"/>
      <c r="P294" s="153"/>
      <c r="Q294" s="153"/>
      <c r="R294" s="153"/>
      <c r="S294" s="153"/>
      <c r="T294" s="153"/>
      <c r="U294" s="153"/>
      <c r="V294" s="153"/>
      <c r="W294" s="153"/>
      <c r="X294" s="153"/>
      <c r="Y294" s="153"/>
    </row>
    <row r="295" spans="1:25">
      <c r="A295" s="153"/>
      <c r="B295" s="153"/>
      <c r="C295" s="153"/>
      <c r="D295" s="153"/>
      <c r="E295" s="153"/>
      <c r="F295" s="153"/>
      <c r="G295" s="153"/>
      <c r="H295" s="153"/>
      <c r="I295" s="153"/>
      <c r="J295" s="153"/>
      <c r="K295" s="153"/>
      <c r="L295" s="153"/>
      <c r="M295" s="153"/>
      <c r="N295" s="153"/>
      <c r="O295" s="153"/>
      <c r="P295" s="153"/>
      <c r="Q295" s="153"/>
      <c r="R295" s="153"/>
      <c r="S295" s="153"/>
      <c r="T295" s="153"/>
      <c r="U295" s="153"/>
      <c r="V295" s="153"/>
      <c r="W295" s="153"/>
      <c r="X295" s="153"/>
      <c r="Y295" s="153"/>
    </row>
    <row r="296" spans="1:25">
      <c r="A296" s="153"/>
      <c r="B296" s="153"/>
      <c r="C296" s="153"/>
      <c r="D296" s="153"/>
      <c r="E296" s="153"/>
      <c r="F296" s="153"/>
      <c r="G296" s="153"/>
      <c r="H296" s="153"/>
      <c r="I296" s="153"/>
      <c r="J296" s="153"/>
      <c r="K296" s="153"/>
      <c r="L296" s="153"/>
      <c r="M296" s="153"/>
      <c r="N296" s="153"/>
      <c r="O296" s="153"/>
      <c r="P296" s="153"/>
      <c r="Q296" s="153"/>
      <c r="R296" s="153"/>
      <c r="S296" s="153"/>
      <c r="T296" s="153"/>
      <c r="U296" s="153"/>
      <c r="V296" s="153"/>
      <c r="W296" s="153"/>
      <c r="X296" s="153"/>
      <c r="Y296" s="153"/>
    </row>
    <row r="297" spans="1:25">
      <c r="A297" s="153"/>
      <c r="B297" s="153"/>
      <c r="C297" s="153"/>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row>
  </sheetData>
  <mergeCells count="3">
    <mergeCell ref="AG5:AI5"/>
    <mergeCell ref="AG17:AI17"/>
    <mergeCell ref="AJ17:AL17"/>
  </mergeCells>
  <pageMargins left="0.7" right="0.7" top="0.75" bottom="0.75" header="0.3" footer="0.3"/>
  <pageSetup paperSize="9" orientation="portrait" r:id="rId1"/>
  <ignoredErrors>
    <ignoredError sqref="B32:P32" formulaRange="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82DA7-C8F5-49AA-A510-36DE77203F5B}">
  <sheetPr codeName="Sheet6">
    <tabColor rgb="FF00EAE4"/>
  </sheetPr>
  <dimension ref="A1:AQ155"/>
  <sheetViews>
    <sheetView showGridLines="0" zoomScale="72" zoomScaleNormal="72" workbookViewId="0">
      <pane xSplit="1" ySplit="2" topLeftCell="B3" activePane="bottomRight" state="frozen"/>
      <selection pane="topRight" activeCell="B1" sqref="B1"/>
      <selection pane="bottomLeft" activeCell="A3" sqref="A3"/>
      <selection pane="bottomRight" activeCell="W2" sqref="W2"/>
    </sheetView>
  </sheetViews>
  <sheetFormatPr defaultColWidth="9.140625" defaultRowHeight="15" outlineLevelRow="1"/>
  <cols>
    <col min="1" max="1" width="31.28515625" style="1" bestFit="1" customWidth="1"/>
    <col min="2" max="22" width="11.85546875" style="1" customWidth="1"/>
    <col min="23" max="23" width="7.5703125" style="1" bestFit="1" customWidth="1"/>
    <col min="24" max="24" width="15.5703125" style="1" bestFit="1" customWidth="1"/>
    <col min="25" max="25" width="10.5703125" style="1" bestFit="1" customWidth="1"/>
    <col min="26" max="27" width="9.140625" style="1"/>
    <col min="28" max="28" width="11" style="1" customWidth="1"/>
    <col min="29" max="29" width="7.28515625" style="1" bestFit="1" customWidth="1"/>
    <col min="30" max="16384" width="9.140625" style="1"/>
  </cols>
  <sheetData>
    <row r="1" spans="1:43" ht="15.75">
      <c r="A1" s="360"/>
      <c r="B1" s="164"/>
      <c r="C1" s="164"/>
      <c r="D1" s="164"/>
      <c r="E1" s="164"/>
      <c r="F1" s="164"/>
      <c r="G1" s="164"/>
      <c r="H1" s="164"/>
      <c r="I1" s="164"/>
      <c r="J1" s="164"/>
      <c r="K1" s="164"/>
      <c r="L1" s="433"/>
      <c r="M1" s="433"/>
      <c r="N1" s="433"/>
      <c r="O1" s="433"/>
      <c r="P1" s="433"/>
      <c r="Q1" s="433"/>
      <c r="R1" s="433"/>
      <c r="S1" s="433"/>
      <c r="T1" s="433"/>
      <c r="U1" s="433"/>
      <c r="V1" s="433"/>
      <c r="W1" s="347">
        <f>Valuation!C51</f>
        <v>10.055391618999746</v>
      </c>
      <c r="X1" s="750"/>
      <c r="Y1" s="751"/>
      <c r="Z1" s="751"/>
      <c r="AA1" s="751"/>
      <c r="AB1" s="154"/>
      <c r="AC1" s="154"/>
      <c r="AD1" s="154"/>
      <c r="AE1" s="154"/>
      <c r="AF1" s="154"/>
      <c r="AG1" s="154"/>
      <c r="AH1" s="154"/>
      <c r="AI1" s="154"/>
      <c r="AJ1" s="154"/>
      <c r="AK1" s="154"/>
      <c r="AL1" s="154"/>
      <c r="AM1" s="154"/>
      <c r="AN1" s="154"/>
      <c r="AO1" s="154"/>
      <c r="AP1" s="154"/>
      <c r="AQ1" s="154"/>
    </row>
    <row r="2" spans="1:43" ht="15.75">
      <c r="A2" s="972" t="s">
        <v>274</v>
      </c>
      <c r="B2" s="973">
        <v>2015</v>
      </c>
      <c r="C2" s="973">
        <v>2016</v>
      </c>
      <c r="D2" s="973">
        <v>2017</v>
      </c>
      <c r="E2" s="973">
        <v>2018</v>
      </c>
      <c r="F2" s="973">
        <v>2019</v>
      </c>
      <c r="G2" s="973">
        <v>2020</v>
      </c>
      <c r="H2" s="973">
        <v>2021</v>
      </c>
      <c r="I2" s="973">
        <v>2022</v>
      </c>
      <c r="J2" s="973">
        <v>2023</v>
      </c>
      <c r="K2" s="973">
        <v>2024</v>
      </c>
      <c r="L2" s="552" t="s">
        <v>266</v>
      </c>
      <c r="M2" s="552" t="s">
        <v>267</v>
      </c>
      <c r="N2" s="552" t="s">
        <v>268</v>
      </c>
      <c r="O2" s="552" t="s">
        <v>269</v>
      </c>
      <c r="P2" s="552" t="s">
        <v>270</v>
      </c>
      <c r="Q2" s="552" t="s">
        <v>271</v>
      </c>
      <c r="R2" s="552" t="s">
        <v>1159</v>
      </c>
      <c r="S2" s="552" t="s">
        <v>1160</v>
      </c>
      <c r="T2" s="552" t="s">
        <v>1161</v>
      </c>
      <c r="U2" s="552" t="s">
        <v>1162</v>
      </c>
      <c r="V2" s="552" t="s">
        <v>1163</v>
      </c>
      <c r="W2" s="154"/>
      <c r="X2" s="750"/>
      <c r="Y2" s="751"/>
      <c r="Z2" s="652"/>
      <c r="AA2" s="652"/>
      <c r="AB2" s="154"/>
      <c r="AC2" s="154"/>
      <c r="AD2" s="154"/>
      <c r="AE2" s="154"/>
      <c r="AF2" s="154"/>
      <c r="AG2" s="154"/>
      <c r="AH2" s="154"/>
      <c r="AI2" s="154"/>
      <c r="AJ2" s="154"/>
      <c r="AK2" s="154"/>
      <c r="AL2" s="154"/>
      <c r="AM2" s="154"/>
      <c r="AN2" s="154"/>
      <c r="AO2" s="154"/>
      <c r="AP2" s="154"/>
      <c r="AQ2" s="154"/>
    </row>
    <row r="3" spans="1:43" ht="15.75">
      <c r="A3" s="154"/>
      <c r="B3" s="155"/>
      <c r="C3" s="155"/>
      <c r="D3" s="155"/>
      <c r="E3" s="155"/>
      <c r="F3" s="155"/>
      <c r="G3" s="155"/>
      <c r="H3" s="155"/>
      <c r="I3" s="155"/>
      <c r="J3" s="155"/>
      <c r="K3" s="155"/>
      <c r="L3" s="155"/>
      <c r="M3" s="155"/>
      <c r="N3" s="155"/>
      <c r="O3" s="155"/>
      <c r="P3" s="155"/>
      <c r="Q3" s="155"/>
      <c r="R3" s="155"/>
      <c r="S3" s="155"/>
      <c r="T3" s="155"/>
      <c r="U3" s="155"/>
      <c r="V3" s="155"/>
      <c r="W3" s="154"/>
      <c r="X3" s="154"/>
      <c r="Y3" s="154"/>
      <c r="Z3" s="154"/>
      <c r="AA3" s="154"/>
      <c r="AB3" s="154"/>
      <c r="AC3" s="154"/>
      <c r="AD3" s="154"/>
      <c r="AE3" s="154"/>
      <c r="AF3" s="154"/>
      <c r="AG3" s="154"/>
      <c r="AH3" s="154"/>
      <c r="AI3" s="154"/>
      <c r="AJ3" s="154"/>
      <c r="AK3" s="154"/>
      <c r="AL3" s="154"/>
      <c r="AM3" s="154"/>
      <c r="AN3" s="154"/>
      <c r="AO3" s="154"/>
      <c r="AP3" s="154"/>
      <c r="AQ3" s="154"/>
    </row>
    <row r="4" spans="1:43" ht="15.75">
      <c r="A4" s="154"/>
      <c r="B4" s="155"/>
      <c r="C4" s="155"/>
      <c r="D4" s="155"/>
      <c r="E4" s="155"/>
      <c r="F4" s="155"/>
      <c r="G4" s="155"/>
      <c r="H4" s="155"/>
      <c r="I4" s="155"/>
      <c r="J4" s="155"/>
      <c r="K4" s="155"/>
      <c r="L4" s="155"/>
      <c r="M4" s="155"/>
      <c r="N4" s="155"/>
      <c r="O4" s="155"/>
      <c r="P4" s="155"/>
      <c r="Q4" s="155"/>
      <c r="R4" s="155"/>
      <c r="S4" s="155"/>
      <c r="T4" s="155"/>
      <c r="U4" s="155"/>
      <c r="V4" s="155"/>
      <c r="W4" s="154"/>
      <c r="X4" s="154"/>
      <c r="Y4" s="154"/>
      <c r="Z4" s="154"/>
      <c r="AA4" s="154"/>
      <c r="AB4" s="154"/>
      <c r="AC4" s="154"/>
      <c r="AD4" s="154"/>
      <c r="AE4" s="154"/>
      <c r="AF4" s="154"/>
      <c r="AG4" s="154"/>
      <c r="AH4" s="154"/>
      <c r="AI4" s="154"/>
      <c r="AJ4" s="154"/>
      <c r="AK4" s="154"/>
      <c r="AL4" s="154"/>
      <c r="AM4" s="154"/>
      <c r="AN4" s="154"/>
      <c r="AO4" s="154"/>
      <c r="AP4" s="154"/>
      <c r="AQ4" s="154"/>
    </row>
    <row r="5" spans="1:43" ht="22.5" customHeight="1">
      <c r="A5" s="163" t="s">
        <v>623</v>
      </c>
      <c r="B5" s="164"/>
      <c r="C5" s="164"/>
      <c r="D5" s="164"/>
      <c r="E5" s="164"/>
      <c r="F5" s="164"/>
      <c r="G5" s="164"/>
      <c r="H5" s="164"/>
      <c r="I5" s="164"/>
      <c r="J5" s="164"/>
      <c r="K5" s="164"/>
      <c r="L5" s="164"/>
      <c r="M5" s="164"/>
      <c r="N5" s="164"/>
      <c r="O5" s="164"/>
      <c r="P5" s="164"/>
      <c r="Q5" s="164"/>
      <c r="R5" s="164"/>
      <c r="S5" s="164"/>
      <c r="T5" s="164"/>
      <c r="U5" s="164"/>
      <c r="V5" s="164"/>
      <c r="W5" s="154"/>
      <c r="X5" s="154"/>
      <c r="Y5" s="154"/>
      <c r="Z5" s="154"/>
      <c r="AA5" s="154"/>
      <c r="AB5" s="154"/>
      <c r="AC5" s="154"/>
      <c r="AD5" s="154"/>
      <c r="AE5" s="154"/>
      <c r="AF5" s="154"/>
      <c r="AG5" s="154"/>
      <c r="AH5" s="154"/>
      <c r="AI5" s="154"/>
      <c r="AJ5" s="154"/>
      <c r="AK5" s="154"/>
      <c r="AL5" s="154"/>
      <c r="AM5" s="154"/>
      <c r="AN5" s="154"/>
      <c r="AO5" s="154"/>
      <c r="AP5" s="154"/>
      <c r="AQ5" s="154"/>
    </row>
    <row r="6" spans="1:43" ht="15.75">
      <c r="A6" s="154"/>
      <c r="B6" s="155"/>
      <c r="C6" s="155"/>
      <c r="D6" s="155"/>
      <c r="E6" s="155"/>
      <c r="F6" s="155"/>
      <c r="G6" s="155"/>
      <c r="H6" s="155"/>
      <c r="I6" s="155"/>
      <c r="J6" s="155"/>
      <c r="K6" s="155"/>
      <c r="L6" s="155"/>
      <c r="M6" s="155"/>
      <c r="N6" s="155"/>
      <c r="O6" s="155"/>
      <c r="P6" s="155"/>
      <c r="Q6" s="155"/>
      <c r="R6" s="155"/>
      <c r="S6" s="155"/>
      <c r="T6" s="155"/>
      <c r="U6" s="155"/>
      <c r="V6" s="155"/>
      <c r="W6" s="154"/>
      <c r="X6" s="154"/>
      <c r="Y6" s="154"/>
      <c r="Z6" s="154"/>
      <c r="AA6" s="154"/>
      <c r="AB6" s="154"/>
      <c r="AC6" s="154"/>
      <c r="AD6" s="154"/>
      <c r="AE6" s="154"/>
      <c r="AF6" s="154"/>
      <c r="AG6" s="154"/>
      <c r="AH6" s="154"/>
      <c r="AI6" s="154"/>
      <c r="AJ6" s="154"/>
      <c r="AK6" s="154"/>
      <c r="AL6" s="154"/>
      <c r="AM6" s="154"/>
      <c r="AN6" s="154"/>
      <c r="AO6" s="154"/>
      <c r="AP6" s="154"/>
      <c r="AQ6" s="154"/>
    </row>
    <row r="7" spans="1:43" ht="15.75">
      <c r="A7" s="154" t="s">
        <v>275</v>
      </c>
      <c r="B7" s="556">
        <v>190.67187799999999</v>
      </c>
      <c r="C7" s="556">
        <v>195.44370000000001</v>
      </c>
      <c r="D7" s="556">
        <v>200.25457900000001</v>
      </c>
      <c r="E7" s="556">
        <v>204.93875499999999</v>
      </c>
      <c r="F7" s="556">
        <v>209.48564099999999</v>
      </c>
      <c r="G7" s="556">
        <v>213.99618100000001</v>
      </c>
      <c r="H7" s="556">
        <v>218.52928600000001</v>
      </c>
      <c r="I7" s="556">
        <v>223.15089599999999</v>
      </c>
      <c r="J7" s="556">
        <v>227.88294500000001</v>
      </c>
      <c r="K7" s="554">
        <f t="shared" ref="K7:O7" si="0">J7*(1+K8)</f>
        <v>232.71533994590382</v>
      </c>
      <c r="L7" s="554">
        <f t="shared" si="0"/>
        <v>238.0677927646596</v>
      </c>
      <c r="M7" s="554">
        <f t="shared" si="0"/>
        <v>243.54335199824675</v>
      </c>
      <c r="N7" s="554">
        <f t="shared" si="0"/>
        <v>248.90130574220819</v>
      </c>
      <c r="O7" s="554">
        <f t="shared" si="0"/>
        <v>254.37713446853678</v>
      </c>
      <c r="P7" s="554">
        <f t="shared" ref="P7:V7" si="1">O7*(1+P8)</f>
        <v>259.71905429237603</v>
      </c>
      <c r="Q7" s="554">
        <f t="shared" si="1"/>
        <v>265.1731544325159</v>
      </c>
      <c r="R7" s="554">
        <f t="shared" si="1"/>
        <v>270.74179067559874</v>
      </c>
      <c r="S7" s="554">
        <f t="shared" si="1"/>
        <v>276.42736827978626</v>
      </c>
      <c r="T7" s="554">
        <f t="shared" si="1"/>
        <v>282.23234301366176</v>
      </c>
      <c r="U7" s="554">
        <f t="shared" si="1"/>
        <v>288.15922221694865</v>
      </c>
      <c r="V7" s="554">
        <f t="shared" si="1"/>
        <v>294.21056588350456</v>
      </c>
      <c r="W7" s="154"/>
      <c r="X7" s="154"/>
      <c r="Y7" s="154"/>
      <c r="Z7" s="154"/>
      <c r="AB7" s="154"/>
      <c r="AC7" s="154"/>
      <c r="AD7" s="154"/>
      <c r="AE7" s="154"/>
      <c r="AF7" s="154"/>
      <c r="AG7" s="154"/>
      <c r="AH7" s="154"/>
      <c r="AI7" s="154"/>
      <c r="AJ7" s="154"/>
      <c r="AK7" s="154"/>
      <c r="AL7" s="154"/>
      <c r="AM7" s="154"/>
      <c r="AN7" s="154"/>
      <c r="AO7" s="154"/>
      <c r="AP7" s="154"/>
      <c r="AQ7" s="154"/>
    </row>
    <row r="8" spans="1:43" ht="15.75">
      <c r="A8" s="154" t="s">
        <v>633</v>
      </c>
      <c r="B8" s="155"/>
      <c r="C8" s="446">
        <f t="shared" ref="C8:J8" si="2">C7/B7-1</f>
        <v>2.5026354437018838E-2</v>
      </c>
      <c r="D8" s="446">
        <f t="shared" si="2"/>
        <v>2.4615165390339921E-2</v>
      </c>
      <c r="E8" s="446">
        <f t="shared" si="2"/>
        <v>2.3391105578664417E-2</v>
      </c>
      <c r="F8" s="446">
        <f t="shared" si="2"/>
        <v>2.2186560077424033E-2</v>
      </c>
      <c r="G8" s="446">
        <f t="shared" si="2"/>
        <v>2.1531499621971761E-2</v>
      </c>
      <c r="H8" s="446">
        <f t="shared" si="2"/>
        <v>2.1183111674315303E-2</v>
      </c>
      <c r="I8" s="446">
        <f t="shared" si="2"/>
        <v>2.1148698577635905E-2</v>
      </c>
      <c r="J8" s="446">
        <f t="shared" si="2"/>
        <v>2.120560161228302E-2</v>
      </c>
      <c r="K8" s="555">
        <f>J8</f>
        <v>2.120560161228302E-2</v>
      </c>
      <c r="L8" s="555">
        <v>2.3E-2</v>
      </c>
      <c r="M8" s="555">
        <v>2.3E-2</v>
      </c>
      <c r="N8" s="555">
        <v>2.1999999999999999E-2</v>
      </c>
      <c r="O8" s="555">
        <v>2.1999999999999999E-2</v>
      </c>
      <c r="P8" s="555">
        <v>2.1000000000000001E-2</v>
      </c>
      <c r="Q8" s="555">
        <v>2.1000000000000001E-2</v>
      </c>
      <c r="R8" s="555">
        <v>2.1000000000000001E-2</v>
      </c>
      <c r="S8" s="555">
        <v>2.1000000000000001E-2</v>
      </c>
      <c r="T8" s="555">
        <v>2.1000000000000001E-2</v>
      </c>
      <c r="U8" s="555">
        <v>2.1000000000000001E-2</v>
      </c>
      <c r="V8" s="555">
        <v>2.1000000000000001E-2</v>
      </c>
      <c r="W8" s="154"/>
      <c r="X8" s="154"/>
      <c r="Y8" s="154"/>
      <c r="Z8" s="154"/>
      <c r="AB8" s="154"/>
      <c r="AC8" s="154"/>
      <c r="AD8" s="154"/>
      <c r="AE8" s="154"/>
      <c r="AF8" s="154"/>
      <c r="AG8" s="154"/>
      <c r="AH8" s="154"/>
      <c r="AI8" s="154"/>
      <c r="AJ8" s="154"/>
      <c r="AK8" s="154"/>
      <c r="AL8" s="154"/>
      <c r="AM8" s="154"/>
      <c r="AN8" s="154"/>
      <c r="AO8" s="154"/>
      <c r="AP8" s="154"/>
      <c r="AQ8" s="154"/>
    </row>
    <row r="9" spans="1:43" ht="15.75">
      <c r="A9" s="154"/>
      <c r="B9" s="155"/>
      <c r="C9" s="155"/>
      <c r="D9" s="155"/>
      <c r="E9" s="155"/>
      <c r="F9" s="155"/>
      <c r="G9" s="155"/>
      <c r="H9" s="155"/>
      <c r="I9" s="155"/>
      <c r="J9" s="571"/>
      <c r="K9" s="571"/>
      <c r="L9" s="571"/>
      <c r="M9" s="155"/>
      <c r="N9" s="155"/>
      <c r="O9" s="155"/>
      <c r="P9" s="155"/>
      <c r="Q9" s="155"/>
      <c r="R9" s="155"/>
      <c r="S9" s="155"/>
      <c r="T9" s="155"/>
      <c r="U9" s="155"/>
      <c r="V9" s="155"/>
      <c r="W9" s="154"/>
      <c r="X9" s="154"/>
      <c r="Y9" s="154"/>
      <c r="Z9" s="154"/>
      <c r="AB9" s="154"/>
      <c r="AC9" s="154"/>
      <c r="AD9" s="154"/>
      <c r="AE9" s="154"/>
      <c r="AF9" s="154"/>
      <c r="AG9" s="154"/>
      <c r="AH9" s="154"/>
      <c r="AI9" s="154"/>
      <c r="AJ9" s="154"/>
      <c r="AK9" s="154"/>
      <c r="AL9" s="154"/>
      <c r="AM9" s="154"/>
      <c r="AN9" s="154"/>
      <c r="AO9" s="154"/>
      <c r="AP9" s="154"/>
      <c r="AQ9" s="154"/>
    </row>
    <row r="10" spans="1:43" ht="15.75">
      <c r="A10" s="154" t="s">
        <v>962</v>
      </c>
      <c r="B10" s="553"/>
      <c r="C10" s="553"/>
      <c r="D10" s="553"/>
      <c r="E10" s="556">
        <v>360.29</v>
      </c>
      <c r="F10" s="556">
        <v>359.62</v>
      </c>
      <c r="G10" s="556">
        <v>377.42349999999999</v>
      </c>
      <c r="H10" s="556">
        <v>399.61</v>
      </c>
      <c r="I10" s="556">
        <v>423.125</v>
      </c>
      <c r="J10" s="556">
        <v>637.66999999999996</v>
      </c>
      <c r="K10" s="158">
        <v>1260</v>
      </c>
      <c r="L10" s="158">
        <f>K10*1.176</f>
        <v>1481.76</v>
      </c>
      <c r="M10" s="158">
        <f>L10*1.053</f>
        <v>1560.2932799999999</v>
      </c>
      <c r="N10" s="158">
        <f t="shared" ref="N10:V10" si="3">M10*1.053</f>
        <v>1642.9888238399997</v>
      </c>
      <c r="O10" s="158">
        <f t="shared" si="3"/>
        <v>1730.0672315035195</v>
      </c>
      <c r="P10" s="158">
        <f t="shared" si="3"/>
        <v>1821.7607947732058</v>
      </c>
      <c r="Q10" s="158">
        <f t="shared" si="3"/>
        <v>1918.3141168961856</v>
      </c>
      <c r="R10" s="158">
        <f t="shared" si="3"/>
        <v>2019.9847650916834</v>
      </c>
      <c r="S10" s="158">
        <f t="shared" si="3"/>
        <v>2127.0439576415424</v>
      </c>
      <c r="T10" s="158">
        <f t="shared" si="3"/>
        <v>2239.7772873965441</v>
      </c>
      <c r="U10" s="158">
        <f t="shared" si="3"/>
        <v>2358.4854836285608</v>
      </c>
      <c r="V10" s="158">
        <f t="shared" si="3"/>
        <v>2483.4852142608743</v>
      </c>
      <c r="W10" s="154"/>
      <c r="X10" s="154"/>
      <c r="Y10" s="154"/>
      <c r="Z10" s="154"/>
      <c r="AB10" s="154"/>
      <c r="AC10" s="154"/>
      <c r="AD10" s="154"/>
      <c r="AE10" s="154"/>
      <c r="AF10" s="154"/>
      <c r="AG10" s="154"/>
      <c r="AH10" s="154"/>
      <c r="AI10" s="154"/>
      <c r="AJ10" s="154"/>
      <c r="AK10" s="154"/>
      <c r="AL10" s="154"/>
      <c r="AM10" s="154"/>
      <c r="AN10" s="154"/>
      <c r="AO10" s="154"/>
      <c r="AP10" s="154"/>
      <c r="AQ10" s="154"/>
    </row>
    <row r="11" spans="1:43" ht="15.75">
      <c r="A11" s="154" t="s">
        <v>87</v>
      </c>
      <c r="B11" s="155"/>
      <c r="C11" s="155"/>
      <c r="D11" s="155"/>
      <c r="E11" s="155"/>
      <c r="F11" s="446">
        <f t="shared" ref="F11:I11" si="4">E10/F10-1</f>
        <v>1.8630776931205517E-3</v>
      </c>
      <c r="G11" s="446">
        <f t="shared" si="4"/>
        <v>-4.7171148590376522E-2</v>
      </c>
      <c r="H11" s="446">
        <f t="shared" si="4"/>
        <v>-5.5520382372813537E-2</v>
      </c>
      <c r="I11" s="446">
        <f t="shared" si="4"/>
        <v>-5.5574593796159477E-2</v>
      </c>
      <c r="J11" s="446">
        <f>I10/J10-1</f>
        <v>-0.33645145608229954</v>
      </c>
      <c r="K11" s="446">
        <f t="shared" ref="K11:V11" si="5">J10/K10-1</f>
        <v>-0.49391269841269847</v>
      </c>
      <c r="L11" s="446">
        <f t="shared" si="5"/>
        <v>-0.14965986394557818</v>
      </c>
      <c r="M11" s="446">
        <f t="shared" si="5"/>
        <v>-5.0332383665716907E-2</v>
      </c>
      <c r="N11" s="446">
        <f t="shared" si="5"/>
        <v>-5.0332383665716907E-2</v>
      </c>
      <c r="O11" s="446">
        <f t="shared" si="5"/>
        <v>-5.0332383665716907E-2</v>
      </c>
      <c r="P11" s="446">
        <f t="shared" si="5"/>
        <v>-5.0332383665716907E-2</v>
      </c>
      <c r="Q11" s="446">
        <f t="shared" si="5"/>
        <v>-5.0332383665716907E-2</v>
      </c>
      <c r="R11" s="446">
        <f t="shared" si="5"/>
        <v>-5.0332383665716907E-2</v>
      </c>
      <c r="S11" s="446">
        <f t="shared" si="5"/>
        <v>-5.0332383665716907E-2</v>
      </c>
      <c r="T11" s="446">
        <f t="shared" si="5"/>
        <v>-5.0332383665717018E-2</v>
      </c>
      <c r="U11" s="446">
        <f t="shared" si="5"/>
        <v>-5.0332383665716907E-2</v>
      </c>
      <c r="V11" s="446">
        <f t="shared" si="5"/>
        <v>-5.0332383665716907E-2</v>
      </c>
      <c r="W11" s="154"/>
      <c r="X11" s="154"/>
      <c r="Y11" s="154"/>
      <c r="Z11" s="154"/>
      <c r="AA11" s="154"/>
      <c r="AB11" s="154"/>
      <c r="AC11" s="744"/>
      <c r="AD11" s="154"/>
      <c r="AE11" s="154"/>
      <c r="AF11" s="154"/>
      <c r="AG11" s="154"/>
      <c r="AH11" s="154"/>
      <c r="AI11" s="154"/>
      <c r="AJ11" s="154"/>
      <c r="AK11" s="154"/>
      <c r="AL11" s="154"/>
      <c r="AM11" s="154"/>
      <c r="AN11" s="154"/>
      <c r="AO11" s="154"/>
      <c r="AP11" s="154"/>
      <c r="AQ11" s="154"/>
    </row>
    <row r="12" spans="1:43" ht="15.75">
      <c r="A12" s="154"/>
      <c r="B12" s="155"/>
      <c r="C12" s="155"/>
      <c r="D12" s="155"/>
      <c r="E12" s="155"/>
      <c r="F12" s="155"/>
      <c r="G12" s="155"/>
      <c r="H12" s="155"/>
      <c r="I12" s="155"/>
      <c r="J12" s="155"/>
      <c r="K12" s="155"/>
      <c r="L12" s="155"/>
      <c r="M12" s="155"/>
      <c r="N12" s="155"/>
      <c r="O12" s="155"/>
      <c r="P12" s="155"/>
      <c r="Q12" s="155"/>
      <c r="R12" s="155"/>
      <c r="S12" s="155"/>
      <c r="T12" s="155"/>
      <c r="U12" s="155"/>
      <c r="V12" s="155"/>
      <c r="W12" s="154"/>
      <c r="X12" s="154"/>
      <c r="Y12" s="154"/>
      <c r="Z12" s="154"/>
      <c r="AA12" s="154"/>
      <c r="AB12" s="154"/>
      <c r="AC12" s="154"/>
      <c r="AD12" s="154"/>
      <c r="AE12" s="154"/>
      <c r="AF12" s="154"/>
      <c r="AG12" s="154"/>
      <c r="AH12" s="154"/>
      <c r="AI12" s="154"/>
      <c r="AJ12" s="154"/>
      <c r="AK12" s="154"/>
      <c r="AL12" s="154"/>
      <c r="AM12" s="154"/>
      <c r="AN12" s="154"/>
      <c r="AO12" s="154"/>
      <c r="AP12" s="154"/>
      <c r="AQ12" s="154"/>
    </row>
    <row r="13" spans="1:43" ht="15.75">
      <c r="A13" s="154" t="s">
        <v>954</v>
      </c>
      <c r="B13" s="155"/>
      <c r="C13" s="155"/>
      <c r="D13" s="461">
        <v>0.16500000000000001</v>
      </c>
      <c r="E13" s="461">
        <v>0.121</v>
      </c>
      <c r="F13" s="461">
        <v>0.114</v>
      </c>
      <c r="G13" s="461">
        <v>0.13200000000000001</v>
      </c>
      <c r="H13" s="461">
        <v>0.17</v>
      </c>
      <c r="I13" s="461">
        <v>0.188</v>
      </c>
      <c r="J13" s="461">
        <v>0.251</v>
      </c>
      <c r="K13" s="557">
        <v>0.32500000000000001</v>
      </c>
      <c r="L13" s="557">
        <v>0.15</v>
      </c>
      <c r="M13" s="557">
        <v>0.15</v>
      </c>
      <c r="N13" s="557">
        <v>0.15</v>
      </c>
      <c r="O13" s="557">
        <v>0.15</v>
      </c>
      <c r="P13" s="557">
        <v>0.15</v>
      </c>
      <c r="Q13" s="557">
        <v>0.15</v>
      </c>
      <c r="R13" s="557">
        <v>0.15</v>
      </c>
      <c r="S13" s="557">
        <v>0.15</v>
      </c>
      <c r="T13" s="557">
        <v>0.15</v>
      </c>
      <c r="U13" s="557">
        <v>0.15</v>
      </c>
      <c r="V13" s="557">
        <v>0.15</v>
      </c>
      <c r="W13" s="154"/>
      <c r="X13" s="154"/>
      <c r="Y13" s="154"/>
      <c r="Z13" s="154"/>
      <c r="AA13" s="154"/>
      <c r="AE13" s="154"/>
      <c r="AF13" s="154"/>
      <c r="AG13" s="154"/>
      <c r="AH13" s="154"/>
      <c r="AI13" s="154"/>
      <c r="AJ13" s="154"/>
      <c r="AK13" s="154"/>
      <c r="AL13" s="154"/>
      <c r="AM13" s="154"/>
      <c r="AN13" s="154"/>
      <c r="AO13" s="154"/>
      <c r="AP13" s="154"/>
      <c r="AQ13" s="154"/>
    </row>
    <row r="14" spans="1:43" ht="15.75">
      <c r="A14" s="154"/>
      <c r="B14" s="155"/>
      <c r="C14" s="155"/>
      <c r="D14" s="155"/>
      <c r="E14" s="155"/>
      <c r="F14" s="571"/>
      <c r="G14" s="571"/>
      <c r="H14" s="571"/>
      <c r="I14" s="571"/>
      <c r="J14" s="571"/>
      <c r="K14" s="571"/>
      <c r="L14" s="571"/>
      <c r="M14" s="571"/>
      <c r="N14" s="571"/>
      <c r="O14" s="571"/>
      <c r="P14" s="571"/>
      <c r="Q14" s="571"/>
      <c r="R14" s="571"/>
      <c r="S14" s="571"/>
      <c r="T14" s="571"/>
      <c r="U14" s="571"/>
      <c r="V14" s="571"/>
      <c r="W14" s="154"/>
      <c r="X14" s="154"/>
      <c r="Y14" s="154"/>
      <c r="Z14" s="154"/>
      <c r="AA14" s="154"/>
      <c r="AE14" s="154"/>
      <c r="AF14" s="154"/>
      <c r="AG14" s="154"/>
      <c r="AH14" s="154"/>
      <c r="AI14" s="154"/>
      <c r="AJ14" s="154"/>
      <c r="AK14" s="154"/>
      <c r="AL14" s="154"/>
      <c r="AM14" s="154"/>
      <c r="AN14" s="154"/>
      <c r="AO14" s="154"/>
      <c r="AP14" s="154"/>
      <c r="AQ14" s="154"/>
    </row>
    <row r="15" spans="1:43" ht="15.75">
      <c r="A15" s="154" t="s">
        <v>276</v>
      </c>
      <c r="B15" s="155"/>
      <c r="C15" s="155"/>
      <c r="D15" s="155"/>
      <c r="E15" s="158">
        <f>F15/(1+F16)</f>
        <v>35465.171081157503</v>
      </c>
      <c r="F15" s="158">
        <f>G15/(1+G16)</f>
        <v>36529.12621359223</v>
      </c>
      <c r="G15" s="553">
        <v>37625</v>
      </c>
      <c r="H15" s="556">
        <v>39829</v>
      </c>
      <c r="I15" s="556">
        <v>41008</v>
      </c>
      <c r="J15" s="556">
        <v>41579</v>
      </c>
      <c r="K15" s="554">
        <f t="shared" ref="K15:O15" si="6">J15*(1+K16)</f>
        <v>42618.474999999999</v>
      </c>
      <c r="L15" s="554">
        <f t="shared" si="6"/>
        <v>43577.390687499996</v>
      </c>
      <c r="M15" s="554">
        <f t="shared" si="6"/>
        <v>44448.938501249999</v>
      </c>
      <c r="N15" s="554">
        <f t="shared" si="6"/>
        <v>45226.794925021873</v>
      </c>
      <c r="O15" s="554">
        <f t="shared" si="6"/>
        <v>46018.263836209757</v>
      </c>
      <c r="P15" s="554">
        <f t="shared" ref="P15:V15" si="7">O15*(1+P16)</f>
        <v>46823.583453343432</v>
      </c>
      <c r="Q15" s="554">
        <f t="shared" si="7"/>
        <v>47642.996163776945</v>
      </c>
      <c r="R15" s="554">
        <f t="shared" si="7"/>
        <v>48476.748596643047</v>
      </c>
      <c r="S15" s="554">
        <f t="shared" si="7"/>
        <v>49325.091697084303</v>
      </c>
      <c r="T15" s="554">
        <f t="shared" si="7"/>
        <v>50188.280801783279</v>
      </c>
      <c r="U15" s="554">
        <f t="shared" si="7"/>
        <v>51066.575715814492</v>
      </c>
      <c r="V15" s="554">
        <f t="shared" si="7"/>
        <v>51960.24079084125</v>
      </c>
      <c r="W15" s="154"/>
      <c r="X15" s="540"/>
      <c r="Y15" s="540"/>
      <c r="Z15" s="154"/>
      <c r="AA15" s="154"/>
      <c r="AE15" s="154"/>
      <c r="AF15" s="154"/>
      <c r="AG15" s="154"/>
      <c r="AH15" s="154"/>
      <c r="AI15" s="154"/>
      <c r="AJ15" s="154"/>
      <c r="AK15" s="154"/>
      <c r="AL15" s="154"/>
      <c r="AM15" s="154"/>
      <c r="AN15" s="154"/>
      <c r="AO15" s="154"/>
      <c r="AP15" s="154"/>
      <c r="AQ15" s="154"/>
    </row>
    <row r="16" spans="1:43" ht="15.75">
      <c r="A16" s="154" t="s">
        <v>633</v>
      </c>
      <c r="B16" s="155"/>
      <c r="C16" s="155"/>
      <c r="D16" s="155"/>
      <c r="E16" s="155"/>
      <c r="F16" s="557">
        <v>0.03</v>
      </c>
      <c r="G16" s="557">
        <v>0.03</v>
      </c>
      <c r="H16" s="446">
        <f>H15/G15-1</f>
        <v>5.8578073089700977E-2</v>
      </c>
      <c r="I16" s="446">
        <f>I15/H15-1</f>
        <v>2.9601546611765395E-2</v>
      </c>
      <c r="J16" s="446">
        <f>J15/I15-1</f>
        <v>1.3924112368318475E-2</v>
      </c>
      <c r="K16" s="555">
        <v>2.5000000000000001E-2</v>
      </c>
      <c r="L16" s="555">
        <v>2.2499999999999999E-2</v>
      </c>
      <c r="M16" s="555">
        <v>0.02</v>
      </c>
      <c r="N16" s="555">
        <v>1.7500000000000002E-2</v>
      </c>
      <c r="O16" s="555">
        <v>1.7500000000000002E-2</v>
      </c>
      <c r="P16" s="555">
        <f t="shared" ref="P16:V16" si="8">O16</f>
        <v>1.7500000000000002E-2</v>
      </c>
      <c r="Q16" s="555">
        <f t="shared" si="8"/>
        <v>1.7500000000000002E-2</v>
      </c>
      <c r="R16" s="555">
        <f t="shared" si="8"/>
        <v>1.7500000000000002E-2</v>
      </c>
      <c r="S16" s="555">
        <f t="shared" si="8"/>
        <v>1.7500000000000002E-2</v>
      </c>
      <c r="T16" s="555">
        <f t="shared" si="8"/>
        <v>1.7500000000000002E-2</v>
      </c>
      <c r="U16" s="555">
        <f t="shared" si="8"/>
        <v>1.7500000000000002E-2</v>
      </c>
      <c r="V16" s="555">
        <f t="shared" si="8"/>
        <v>1.7500000000000002E-2</v>
      </c>
      <c r="W16" s="154"/>
      <c r="X16" s="159"/>
      <c r="Y16" s="159"/>
      <c r="Z16" s="154"/>
      <c r="AE16" s="154"/>
      <c r="AF16" s="154"/>
      <c r="AG16" s="154"/>
      <c r="AH16" s="154"/>
      <c r="AI16" s="154"/>
      <c r="AJ16" s="154"/>
      <c r="AK16" s="154"/>
      <c r="AL16" s="154"/>
      <c r="AM16" s="154"/>
      <c r="AN16" s="154"/>
      <c r="AO16" s="154"/>
      <c r="AP16" s="154"/>
      <c r="AQ16" s="154"/>
    </row>
    <row r="17" spans="1:43" ht="15.75">
      <c r="A17" s="154" t="s">
        <v>963</v>
      </c>
      <c r="B17" s="554"/>
      <c r="C17" s="554"/>
      <c r="D17" s="554"/>
      <c r="E17" s="554">
        <f>E7*1000000/E15</f>
        <v>5778.5920313488377</v>
      </c>
      <c r="F17" s="554">
        <f t="shared" ref="F17:Q17" si="9">F7*1000000/F15</f>
        <v>5734.7564180730906</v>
      </c>
      <c r="G17" s="554">
        <f t="shared" si="9"/>
        <v>5687.6061395348834</v>
      </c>
      <c r="H17" s="554">
        <f t="shared" si="9"/>
        <v>5486.6877400888798</v>
      </c>
      <c r="I17" s="554">
        <f t="shared" si="9"/>
        <v>5441.6429964884901</v>
      </c>
      <c r="J17" s="554">
        <f t="shared" si="9"/>
        <v>5480.7221193390897</v>
      </c>
      <c r="K17" s="554">
        <f t="shared" si="9"/>
        <v>5460.4332967311429</v>
      </c>
      <c r="L17" s="554">
        <f t="shared" si="9"/>
        <v>5463.1034352625529</v>
      </c>
      <c r="M17" s="554">
        <f t="shared" si="9"/>
        <v>5479.1713865427364</v>
      </c>
      <c r="N17" s="554">
        <f t="shared" si="9"/>
        <v>5503.4035941490674</v>
      </c>
      <c r="O17" s="554">
        <f t="shared" si="9"/>
        <v>5527.7429712239291</v>
      </c>
      <c r="P17" s="554">
        <f t="shared" si="9"/>
        <v>5546.7573205106928</v>
      </c>
      <c r="Q17" s="554">
        <f t="shared" si="9"/>
        <v>5565.8370754215393</v>
      </c>
      <c r="R17" s="554">
        <f t="shared" ref="R17:V17" si="10">R7*1000000/R15</f>
        <v>5584.9824609389598</v>
      </c>
      <c r="S17" s="554">
        <f t="shared" si="10"/>
        <v>5604.1937028193388</v>
      </c>
      <c r="T17" s="554">
        <f t="shared" si="10"/>
        <v>5623.4710275956195</v>
      </c>
      <c r="U17" s="554">
        <f t="shared" si="10"/>
        <v>5642.8146625799773</v>
      </c>
      <c r="V17" s="554">
        <f t="shared" si="10"/>
        <v>5662.2248358664938</v>
      </c>
      <c r="W17" s="154"/>
      <c r="X17" s="154"/>
      <c r="Y17" s="154"/>
      <c r="Z17" s="154"/>
      <c r="AE17" s="154"/>
      <c r="AF17" s="154"/>
      <c r="AG17" s="154"/>
      <c r="AH17" s="154"/>
      <c r="AI17" s="154"/>
      <c r="AJ17" s="154"/>
      <c r="AK17" s="154"/>
      <c r="AL17" s="154"/>
      <c r="AM17" s="154"/>
      <c r="AN17" s="154"/>
      <c r="AO17" s="154"/>
      <c r="AP17" s="154"/>
      <c r="AQ17" s="154"/>
    </row>
    <row r="18" spans="1:43" ht="15.75">
      <c r="A18" s="154" t="s">
        <v>633</v>
      </c>
      <c r="B18" s="155"/>
      <c r="C18" s="155"/>
      <c r="D18" s="155"/>
      <c r="E18" s="554"/>
      <c r="F18" s="446">
        <f>F17/E17-1</f>
        <v>-7.5858640025008306E-3</v>
      </c>
      <c r="G18" s="446">
        <f t="shared" ref="G18:V18" si="11">G17/F17-1</f>
        <v>-8.2218450272121268E-3</v>
      </c>
      <c r="H18" s="446">
        <f t="shared" si="11"/>
        <v>-3.5325652746839853E-2</v>
      </c>
      <c r="I18" s="446">
        <f t="shared" si="11"/>
        <v>-8.20982453061192E-3</v>
      </c>
      <c r="J18" s="446">
        <f t="shared" si="11"/>
        <v>7.1814933239495726E-3</v>
      </c>
      <c r="K18" s="446">
        <f t="shared" si="11"/>
        <v>-3.701852085577606E-3</v>
      </c>
      <c r="L18" s="446">
        <f t="shared" si="11"/>
        <v>4.8899755501241593E-4</v>
      </c>
      <c r="M18" s="446">
        <f t="shared" si="11"/>
        <v>2.9411764705882248E-3</v>
      </c>
      <c r="N18" s="446">
        <f t="shared" si="11"/>
        <v>4.4226044226043371E-3</v>
      </c>
      <c r="O18" s="446">
        <f t="shared" si="11"/>
        <v>4.4226044226045591E-3</v>
      </c>
      <c r="P18" s="446">
        <f t="shared" si="11"/>
        <v>3.4398034398031019E-3</v>
      </c>
      <c r="Q18" s="446">
        <f t="shared" si="11"/>
        <v>3.4398034398033239E-3</v>
      </c>
      <c r="R18" s="446">
        <f t="shared" si="11"/>
        <v>3.4398034398033239E-3</v>
      </c>
      <c r="S18" s="446">
        <f t="shared" si="11"/>
        <v>3.4398034398033239E-3</v>
      </c>
      <c r="T18" s="446">
        <f t="shared" si="11"/>
        <v>3.4398034398031019E-3</v>
      </c>
      <c r="U18" s="446">
        <f t="shared" si="11"/>
        <v>3.4398034398033239E-3</v>
      </c>
      <c r="V18" s="446">
        <f t="shared" si="11"/>
        <v>3.439803439803546E-3</v>
      </c>
      <c r="W18" s="154"/>
      <c r="X18" s="154"/>
      <c r="Y18" s="154"/>
      <c r="Z18" s="154"/>
      <c r="AB18" s="154"/>
      <c r="AC18" s="154"/>
      <c r="AD18" s="154"/>
      <c r="AE18" s="154"/>
      <c r="AF18" s="154"/>
      <c r="AG18" s="154"/>
      <c r="AH18" s="154"/>
      <c r="AI18" s="154"/>
      <c r="AJ18" s="154"/>
      <c r="AK18" s="154"/>
      <c r="AL18" s="154"/>
      <c r="AM18" s="154"/>
      <c r="AN18" s="154"/>
      <c r="AO18" s="154"/>
      <c r="AP18" s="154"/>
      <c r="AQ18" s="154"/>
    </row>
    <row r="19" spans="1:43" ht="15.75">
      <c r="A19" s="154"/>
      <c r="B19" s="155"/>
      <c r="C19" s="155"/>
      <c r="D19" s="155"/>
      <c r="E19" s="155"/>
      <c r="F19" s="155"/>
      <c r="G19" s="155"/>
      <c r="H19" s="155"/>
      <c r="I19" s="155"/>
      <c r="J19" s="155"/>
      <c r="K19" s="155"/>
      <c r="L19" s="155"/>
      <c r="M19" s="155"/>
      <c r="N19" s="155"/>
      <c r="O19" s="155"/>
      <c r="P19" s="155"/>
      <c r="Q19" s="155"/>
      <c r="R19" s="155"/>
      <c r="S19" s="155"/>
      <c r="T19" s="155"/>
      <c r="U19" s="155"/>
      <c r="V19" s="155"/>
      <c r="W19" s="154"/>
      <c r="X19" s="154"/>
      <c r="Y19" s="154"/>
      <c r="Z19" s="154"/>
      <c r="AB19" s="154"/>
      <c r="AC19" s="154"/>
      <c r="AD19" s="154"/>
      <c r="AE19" s="154"/>
      <c r="AF19" s="154"/>
      <c r="AG19" s="154"/>
      <c r="AH19" s="154"/>
      <c r="AI19" s="154"/>
      <c r="AJ19" s="154"/>
      <c r="AK19" s="154"/>
      <c r="AL19" s="154"/>
      <c r="AM19" s="154"/>
      <c r="AN19" s="154"/>
      <c r="AO19" s="154"/>
      <c r="AP19" s="154"/>
      <c r="AQ19" s="154"/>
    </row>
    <row r="20" spans="1:43" ht="15.75">
      <c r="A20" s="160" t="s">
        <v>776</v>
      </c>
      <c r="B20" s="558"/>
      <c r="C20" s="558"/>
      <c r="D20" s="559">
        <v>16250</v>
      </c>
      <c r="E20" s="572">
        <v>16390</v>
      </c>
      <c r="F20" s="572">
        <v>16499</v>
      </c>
      <c r="G20" s="572">
        <v>16537</v>
      </c>
      <c r="H20" s="572">
        <v>16854</v>
      </c>
      <c r="I20" s="572">
        <v>16995</v>
      </c>
      <c r="J20" s="572">
        <f>16395</f>
        <v>16395</v>
      </c>
      <c r="K20" s="572">
        <v>16495</v>
      </c>
      <c r="L20" s="558">
        <f t="shared" ref="L20:O20" si="12">K20*(1+L21)</f>
        <v>16536.237499999999</v>
      </c>
      <c r="M20" s="558">
        <f t="shared" si="12"/>
        <v>16618.918687499998</v>
      </c>
      <c r="N20" s="558">
        <f t="shared" si="12"/>
        <v>16718.632199624997</v>
      </c>
      <c r="O20" s="558">
        <f t="shared" si="12"/>
        <v>16835.662625022371</v>
      </c>
      <c r="P20" s="558">
        <f t="shared" ref="P20:V20" si="13">O20*(1+P21)</f>
        <v>16953.512263397526</v>
      </c>
      <c r="Q20" s="558">
        <f t="shared" si="13"/>
        <v>17072.186849241309</v>
      </c>
      <c r="R20" s="558">
        <f t="shared" si="13"/>
        <v>17191.692157185997</v>
      </c>
      <c r="S20" s="558">
        <f t="shared" si="13"/>
        <v>17312.034002286298</v>
      </c>
      <c r="T20" s="558">
        <f t="shared" si="13"/>
        <v>17433.2182403023</v>
      </c>
      <c r="U20" s="558">
        <f t="shared" si="13"/>
        <v>17555.250767984413</v>
      </c>
      <c r="V20" s="558">
        <f t="shared" si="13"/>
        <v>17678.137523360303</v>
      </c>
      <c r="W20" s="154"/>
      <c r="X20" s="154"/>
      <c r="Y20" s="154"/>
      <c r="Z20" s="154"/>
      <c r="AB20" s="154"/>
      <c r="AC20" s="154"/>
      <c r="AD20" s="154"/>
      <c r="AE20" s="154"/>
      <c r="AF20" s="154"/>
      <c r="AG20" s="154"/>
      <c r="AH20" s="154"/>
      <c r="AI20" s="154"/>
      <c r="AJ20" s="154"/>
      <c r="AK20" s="154"/>
      <c r="AL20" s="154"/>
      <c r="AM20" s="154"/>
      <c r="AN20" s="154"/>
      <c r="AO20" s="154"/>
      <c r="AP20" s="154"/>
      <c r="AQ20" s="154"/>
    </row>
    <row r="21" spans="1:43" ht="15.75">
      <c r="A21" s="154" t="s">
        <v>633</v>
      </c>
      <c r="B21" s="155"/>
      <c r="C21" s="560"/>
      <c r="D21" s="560"/>
      <c r="E21" s="560"/>
      <c r="F21" s="455">
        <f t="shared" ref="F21:K21" si="14">F20/E20-1</f>
        <v>6.6503965832824807E-3</v>
      </c>
      <c r="G21" s="455">
        <f t="shared" si="14"/>
        <v>2.3031698890840779E-3</v>
      </c>
      <c r="H21" s="455">
        <f t="shared" si="14"/>
        <v>1.9169135877123988E-2</v>
      </c>
      <c r="I21" s="455">
        <f t="shared" si="14"/>
        <v>8.365966536133751E-3</v>
      </c>
      <c r="J21" s="455">
        <f t="shared" si="14"/>
        <v>-3.5304501323918824E-2</v>
      </c>
      <c r="K21" s="455">
        <f t="shared" si="14"/>
        <v>6.099420555047308E-3</v>
      </c>
      <c r="L21" s="555">
        <v>2.5000000000000001E-3</v>
      </c>
      <c r="M21" s="555">
        <v>5.0000000000000001E-3</v>
      </c>
      <c r="N21" s="555">
        <v>6.0000000000000001E-3</v>
      </c>
      <c r="O21" s="555">
        <v>7.0000000000000001E-3</v>
      </c>
      <c r="P21" s="555">
        <v>7.0000000000000001E-3</v>
      </c>
      <c r="Q21" s="555">
        <v>7.0000000000000001E-3</v>
      </c>
      <c r="R21" s="555">
        <v>7.0000000000000001E-3</v>
      </c>
      <c r="S21" s="555">
        <v>7.0000000000000001E-3</v>
      </c>
      <c r="T21" s="555">
        <v>7.0000000000000001E-3</v>
      </c>
      <c r="U21" s="555">
        <v>7.0000000000000001E-3</v>
      </c>
      <c r="V21" s="555">
        <v>7.0000000000000001E-3</v>
      </c>
      <c r="W21" s="154"/>
      <c r="X21" s="154"/>
      <c r="Y21" s="154"/>
      <c r="Z21" s="154"/>
      <c r="AB21" s="154"/>
      <c r="AC21" s="154"/>
      <c r="AD21" s="154"/>
      <c r="AE21" s="154"/>
      <c r="AF21" s="154"/>
      <c r="AG21" s="154"/>
      <c r="AH21" s="154"/>
      <c r="AI21" s="154"/>
      <c r="AJ21" s="154"/>
      <c r="AK21" s="154"/>
      <c r="AL21" s="154"/>
      <c r="AM21" s="154"/>
      <c r="AN21" s="154"/>
      <c r="AO21" s="154"/>
      <c r="AP21" s="154"/>
      <c r="AQ21" s="154"/>
    </row>
    <row r="22" spans="1:43" ht="15.75">
      <c r="A22" s="154" t="s">
        <v>641</v>
      </c>
      <c r="B22" s="554"/>
      <c r="C22" s="554"/>
      <c r="D22" s="554"/>
      <c r="E22" s="554"/>
      <c r="F22" s="554">
        <f t="shared" ref="F22:L22" si="15">F20-E20</f>
        <v>109</v>
      </c>
      <c r="G22" s="554">
        <f t="shared" si="15"/>
        <v>38</v>
      </c>
      <c r="H22" s="554">
        <f t="shared" si="15"/>
        <v>317</v>
      </c>
      <c r="I22" s="554">
        <f t="shared" si="15"/>
        <v>141</v>
      </c>
      <c r="J22" s="554">
        <f t="shared" si="15"/>
        <v>-600</v>
      </c>
      <c r="K22" s="554">
        <f t="shared" si="15"/>
        <v>100</v>
      </c>
      <c r="L22" s="554">
        <f t="shared" si="15"/>
        <v>41.237499999999272</v>
      </c>
      <c r="M22" s="554">
        <f t="shared" ref="M22:V22" si="16">M20-L20</f>
        <v>82.681187499998487</v>
      </c>
      <c r="N22" s="554">
        <f t="shared" si="16"/>
        <v>99.713512124999397</v>
      </c>
      <c r="O22" s="554">
        <f t="shared" si="16"/>
        <v>117.03042539737362</v>
      </c>
      <c r="P22" s="554">
        <f t="shared" si="16"/>
        <v>117.84963837515534</v>
      </c>
      <c r="Q22" s="554">
        <f t="shared" si="16"/>
        <v>118.67458584378255</v>
      </c>
      <c r="R22" s="554">
        <f t="shared" si="16"/>
        <v>119.50530794468796</v>
      </c>
      <c r="S22" s="554">
        <f t="shared" si="16"/>
        <v>120.34184510030173</v>
      </c>
      <c r="T22" s="554">
        <f t="shared" si="16"/>
        <v>121.18423801600147</v>
      </c>
      <c r="U22" s="554">
        <f t="shared" si="16"/>
        <v>122.03252768211314</v>
      </c>
      <c r="V22" s="554">
        <f t="shared" si="16"/>
        <v>122.88675537589006</v>
      </c>
      <c r="W22" s="154"/>
      <c r="X22" s="154"/>
      <c r="Y22" s="154"/>
      <c r="Z22" s="154"/>
      <c r="AB22" s="154"/>
      <c r="AC22" s="154"/>
      <c r="AD22" s="154"/>
      <c r="AE22" s="154"/>
      <c r="AF22" s="154"/>
      <c r="AG22" s="154"/>
      <c r="AH22" s="154"/>
      <c r="AI22" s="154"/>
      <c r="AJ22" s="154"/>
      <c r="AK22" s="154"/>
      <c r="AL22" s="154"/>
      <c r="AM22" s="154"/>
      <c r="AN22" s="154"/>
      <c r="AO22" s="154"/>
      <c r="AP22" s="154"/>
      <c r="AQ22" s="154"/>
    </row>
    <row r="23" spans="1:43" ht="15.75" hidden="1">
      <c r="A23" s="154" t="s">
        <v>145</v>
      </c>
      <c r="B23" s="155"/>
      <c r="C23" s="571"/>
      <c r="D23" s="571"/>
      <c r="E23" s="571"/>
      <c r="F23" s="571">
        <f t="shared" ref="F23:V23" si="17">F20-E20</f>
        <v>109</v>
      </c>
      <c r="G23" s="571">
        <f t="shared" si="17"/>
        <v>38</v>
      </c>
      <c r="H23" s="571">
        <f t="shared" si="17"/>
        <v>317</v>
      </c>
      <c r="I23" s="571">
        <f t="shared" si="17"/>
        <v>141</v>
      </c>
      <c r="J23" s="571">
        <f t="shared" si="17"/>
        <v>-600</v>
      </c>
      <c r="K23" s="571">
        <f t="shared" si="17"/>
        <v>100</v>
      </c>
      <c r="L23" s="571">
        <f t="shared" si="17"/>
        <v>41.237499999999272</v>
      </c>
      <c r="M23" s="571">
        <f t="shared" si="17"/>
        <v>82.681187499998487</v>
      </c>
      <c r="N23" s="571">
        <f t="shared" si="17"/>
        <v>99.713512124999397</v>
      </c>
      <c r="O23" s="571">
        <f t="shared" si="17"/>
        <v>117.03042539737362</v>
      </c>
      <c r="P23" s="571">
        <f t="shared" si="17"/>
        <v>117.84963837515534</v>
      </c>
      <c r="Q23" s="571">
        <f t="shared" si="17"/>
        <v>118.67458584378255</v>
      </c>
      <c r="R23" s="571">
        <f t="shared" si="17"/>
        <v>119.50530794468796</v>
      </c>
      <c r="S23" s="571">
        <f t="shared" si="17"/>
        <v>120.34184510030173</v>
      </c>
      <c r="T23" s="571">
        <f t="shared" si="17"/>
        <v>121.18423801600147</v>
      </c>
      <c r="U23" s="571">
        <f t="shared" si="17"/>
        <v>122.03252768211314</v>
      </c>
      <c r="V23" s="571">
        <f t="shared" si="17"/>
        <v>122.88675537589006</v>
      </c>
      <c r="W23" s="154"/>
      <c r="X23" s="154"/>
      <c r="Y23" s="154"/>
      <c r="Z23" s="154"/>
      <c r="AA23" s="154"/>
      <c r="AB23" s="154"/>
      <c r="AC23" s="154"/>
      <c r="AD23" s="154"/>
      <c r="AE23" s="154"/>
      <c r="AF23" s="154"/>
      <c r="AG23" s="154"/>
      <c r="AH23" s="154"/>
      <c r="AI23" s="154"/>
      <c r="AJ23" s="154"/>
      <c r="AK23" s="154"/>
      <c r="AL23" s="154"/>
      <c r="AM23" s="154"/>
      <c r="AN23" s="154"/>
      <c r="AO23" s="154"/>
      <c r="AP23" s="154"/>
      <c r="AQ23" s="154"/>
    </row>
    <row r="24" spans="1:43" ht="15.75">
      <c r="A24" s="154" t="s">
        <v>146</v>
      </c>
      <c r="B24" s="155"/>
      <c r="C24" s="571"/>
      <c r="D24" s="571"/>
      <c r="E24" s="571"/>
      <c r="F24" s="571">
        <f>F41-F22</f>
        <v>997</v>
      </c>
      <c r="G24" s="571">
        <f t="shared" ref="G24:Q24" si="18">G41-G22</f>
        <v>600</v>
      </c>
      <c r="H24" s="571">
        <f t="shared" si="18"/>
        <v>470</v>
      </c>
      <c r="I24" s="571">
        <f t="shared" si="18"/>
        <v>448</v>
      </c>
      <c r="J24" s="571">
        <f t="shared" si="18"/>
        <v>399</v>
      </c>
      <c r="K24" s="571">
        <f t="shared" si="18"/>
        <v>-369</v>
      </c>
      <c r="L24" s="571">
        <f t="shared" si="18"/>
        <v>346.01774999999907</v>
      </c>
      <c r="M24" s="571">
        <f t="shared" si="18"/>
        <v>1045.0902099999985</v>
      </c>
      <c r="N24" s="571">
        <f t="shared" si="18"/>
        <v>398.18929175250014</v>
      </c>
      <c r="O24" s="571">
        <f t="shared" si="18"/>
        <v>413.9533332627143</v>
      </c>
      <c r="P24" s="571">
        <f t="shared" si="18"/>
        <v>419.20799936305411</v>
      </c>
      <c r="Q24" s="571">
        <f t="shared" si="18"/>
        <v>253.79407858306149</v>
      </c>
      <c r="R24" s="571">
        <f t="shared" ref="R24:V24" si="19">R41-R22</f>
        <v>84.84876864072794</v>
      </c>
      <c r="S24" s="571">
        <f t="shared" si="19"/>
        <v>85.442710021216044</v>
      </c>
      <c r="T24" s="571">
        <f t="shared" si="19"/>
        <v>86.0408089913617</v>
      </c>
      <c r="U24" s="571">
        <f t="shared" si="19"/>
        <v>86.643094654300512</v>
      </c>
      <c r="V24" s="571">
        <f t="shared" si="19"/>
        <v>87.249596316880343</v>
      </c>
      <c r="W24" s="154"/>
      <c r="X24" s="154"/>
      <c r="Y24" s="154"/>
      <c r="Z24" s="154"/>
      <c r="AA24" s="154"/>
      <c r="AB24" s="154"/>
      <c r="AC24" s="154"/>
      <c r="AD24" s="154"/>
      <c r="AE24" s="154"/>
      <c r="AF24" s="154"/>
      <c r="AG24" s="154"/>
      <c r="AH24" s="154"/>
      <c r="AI24" s="154"/>
      <c r="AJ24" s="154"/>
      <c r="AK24" s="154"/>
      <c r="AL24" s="154"/>
      <c r="AM24" s="154"/>
      <c r="AN24" s="154"/>
      <c r="AO24" s="154"/>
      <c r="AP24" s="154"/>
      <c r="AQ24" s="154"/>
    </row>
    <row r="25" spans="1:43" ht="15.75">
      <c r="A25" s="530" t="s">
        <v>637</v>
      </c>
      <c r="B25" s="561"/>
      <c r="C25" s="561"/>
      <c r="D25" s="561"/>
      <c r="E25" s="561"/>
      <c r="F25" s="561"/>
      <c r="G25" s="561"/>
      <c r="H25" s="562"/>
      <c r="I25" s="562"/>
      <c r="J25" s="562"/>
      <c r="K25" s="562"/>
      <c r="L25" s="562" cm="1">
        <f t="array" ref="L25">_xll.VAData("IHS_US", "FY-2025", "Towers - Nigeria", "Consensus", "CD", "","","")</f>
        <v>15613.344864000001</v>
      </c>
      <c r="M25" s="562" cm="1">
        <f t="array" ref="M25">_xll.VAData("IHS_US", "FY-2026", "Towers - Nigeria", "Consensus", "CD", "","","")</f>
        <v>15753.864967776</v>
      </c>
      <c r="N25" s="562" cm="1">
        <f t="array" ref="N25">_xll.VAData("IHS_US", "FY-2027", "Towers - Nigeria", "Consensus", "CD", "","","")</f>
        <v>15895.649752486001</v>
      </c>
      <c r="O25" s="554"/>
      <c r="P25" s="554"/>
      <c r="Q25" s="554"/>
      <c r="R25" s="554"/>
      <c r="S25" s="554"/>
      <c r="T25" s="554"/>
      <c r="U25" s="554"/>
      <c r="V25" s="554"/>
      <c r="W25" s="154"/>
      <c r="X25" s="154"/>
      <c r="Y25" s="154"/>
      <c r="Z25" s="154"/>
      <c r="AA25" s="154"/>
      <c r="AB25" s="154"/>
      <c r="AC25" s="154"/>
      <c r="AD25" s="154"/>
      <c r="AE25" s="154"/>
      <c r="AF25" s="154"/>
      <c r="AG25" s="154"/>
      <c r="AH25" s="154"/>
      <c r="AI25" s="154"/>
      <c r="AJ25" s="154"/>
      <c r="AK25" s="154"/>
      <c r="AL25" s="154"/>
      <c r="AM25" s="154"/>
      <c r="AN25" s="154"/>
      <c r="AO25" s="154"/>
      <c r="AP25" s="154"/>
      <c r="AQ25" s="154"/>
    </row>
    <row r="26" spans="1:43" ht="15.75">
      <c r="A26" s="154"/>
      <c r="B26" s="554"/>
      <c r="C26" s="554"/>
      <c r="D26" s="554"/>
      <c r="E26" s="554"/>
      <c r="F26" s="554"/>
      <c r="G26" s="554"/>
      <c r="H26" s="554"/>
      <c r="I26" s="554"/>
      <c r="J26" s="554"/>
      <c r="K26" s="554"/>
      <c r="L26" s="554"/>
      <c r="M26" s="554"/>
      <c r="N26" s="554"/>
      <c r="O26" s="554"/>
      <c r="P26" s="554"/>
      <c r="Q26" s="554"/>
      <c r="R26" s="554"/>
      <c r="S26" s="554"/>
      <c r="T26" s="554"/>
      <c r="U26" s="554"/>
      <c r="V26" s="554"/>
      <c r="W26" s="154"/>
      <c r="X26" s="154"/>
      <c r="Y26" s="154"/>
      <c r="Z26" s="154"/>
      <c r="AA26" s="154"/>
      <c r="AB26" s="154"/>
      <c r="AC26" s="154"/>
      <c r="AD26" s="154"/>
      <c r="AE26" s="154"/>
      <c r="AF26" s="154"/>
      <c r="AG26" s="154"/>
      <c r="AH26" s="154"/>
      <c r="AI26" s="154"/>
      <c r="AJ26" s="154"/>
      <c r="AK26" s="154"/>
      <c r="AL26" s="154"/>
      <c r="AM26" s="154"/>
      <c r="AN26" s="154"/>
      <c r="AO26" s="154"/>
      <c r="AP26" s="154"/>
      <c r="AQ26" s="154"/>
    </row>
    <row r="27" spans="1:43" ht="15.75">
      <c r="A27" s="154" t="s">
        <v>215</v>
      </c>
      <c r="B27" s="554"/>
      <c r="C27" s="554"/>
      <c r="D27" s="554"/>
      <c r="E27" s="563">
        <f t="shared" ref="E27:Q27" si="20">E20/E15</f>
        <v>0.46214354817275755</v>
      </c>
      <c r="F27" s="563">
        <f t="shared" si="20"/>
        <v>0.4516669767441861</v>
      </c>
      <c r="G27" s="563">
        <f t="shared" si="20"/>
        <v>0.4395215946843854</v>
      </c>
      <c r="H27" s="564">
        <f t="shared" si="20"/>
        <v>0.42315900474528612</v>
      </c>
      <c r="I27" s="564">
        <f t="shared" si="20"/>
        <v>0.41443133047210301</v>
      </c>
      <c r="J27" s="564">
        <f t="shared" si="20"/>
        <v>0.39430962745616777</v>
      </c>
      <c r="K27" s="564">
        <f t="shared" si="20"/>
        <v>0.38703871971017267</v>
      </c>
      <c r="L27" s="564">
        <f t="shared" si="20"/>
        <v>0.37946828020483919</v>
      </c>
      <c r="M27" s="564">
        <f t="shared" si="20"/>
        <v>0.37388786431947385</v>
      </c>
      <c r="N27" s="564">
        <f t="shared" si="20"/>
        <v>0.36966210467360267</v>
      </c>
      <c r="O27" s="564">
        <f t="shared" si="20"/>
        <v>0.36584740973593893</v>
      </c>
      <c r="P27" s="564">
        <f t="shared" si="20"/>
        <v>0.36207208020058029</v>
      </c>
      <c r="Q27" s="564">
        <f t="shared" si="20"/>
        <v>0.35833570983978802</v>
      </c>
      <c r="R27" s="564">
        <f t="shared" ref="R27:V27" si="21">R20/R15</f>
        <v>0.354637896617854</v>
      </c>
      <c r="S27" s="564">
        <f t="shared" si="21"/>
        <v>0.35097824264784172</v>
      </c>
      <c r="T27" s="564">
        <f t="shared" si="21"/>
        <v>0.34735635414877303</v>
      </c>
      <c r="U27" s="564">
        <f t="shared" si="21"/>
        <v>0.34377184140325734</v>
      </c>
      <c r="V27" s="564">
        <f t="shared" si="21"/>
        <v>0.34022431871555786</v>
      </c>
      <c r="W27" s="154"/>
      <c r="X27" s="154"/>
      <c r="Y27" s="154"/>
      <c r="Z27" s="154"/>
      <c r="AA27" s="154"/>
      <c r="AB27" s="154"/>
      <c r="AC27" s="154"/>
      <c r="AD27" s="154"/>
      <c r="AE27" s="154"/>
      <c r="AF27" s="154"/>
      <c r="AG27" s="154"/>
      <c r="AH27" s="154"/>
      <c r="AI27" s="154"/>
      <c r="AJ27" s="154"/>
      <c r="AK27" s="154"/>
      <c r="AL27" s="154"/>
      <c r="AM27" s="154"/>
      <c r="AN27" s="154"/>
      <c r="AO27" s="154"/>
      <c r="AP27" s="154"/>
      <c r="AQ27" s="154"/>
    </row>
    <row r="28" spans="1:43" ht="15.75" hidden="1">
      <c r="A28" s="154" t="s">
        <v>216</v>
      </c>
      <c r="B28" s="554"/>
      <c r="C28" s="554"/>
      <c r="D28" s="554"/>
      <c r="E28" s="554">
        <f>E20/E27</f>
        <v>35465.171081157503</v>
      </c>
      <c r="F28" s="554">
        <f>F20/F27</f>
        <v>36529.12621359223</v>
      </c>
      <c r="G28" s="554">
        <f>G20/G27</f>
        <v>37625</v>
      </c>
      <c r="H28" s="554">
        <f>H15</f>
        <v>39829</v>
      </c>
      <c r="I28" s="554">
        <f t="shared" ref="I28:Q28" si="22">I15</f>
        <v>41008</v>
      </c>
      <c r="J28" s="554">
        <f t="shared" si="22"/>
        <v>41579</v>
      </c>
      <c r="K28" s="554">
        <f t="shared" si="22"/>
        <v>42618.474999999999</v>
      </c>
      <c r="L28" s="554">
        <f t="shared" si="22"/>
        <v>43577.390687499996</v>
      </c>
      <c r="M28" s="554">
        <f t="shared" si="22"/>
        <v>44448.938501249999</v>
      </c>
      <c r="N28" s="554">
        <f t="shared" si="22"/>
        <v>45226.794925021873</v>
      </c>
      <c r="O28" s="554">
        <f t="shared" si="22"/>
        <v>46018.263836209757</v>
      </c>
      <c r="P28" s="554">
        <f t="shared" si="22"/>
        <v>46823.583453343432</v>
      </c>
      <c r="Q28" s="554">
        <f t="shared" si="22"/>
        <v>47642.996163776945</v>
      </c>
      <c r="R28" s="554">
        <f t="shared" ref="R28:V28" si="23">R15</f>
        <v>48476.748596643047</v>
      </c>
      <c r="S28" s="554">
        <f t="shared" si="23"/>
        <v>49325.091697084303</v>
      </c>
      <c r="T28" s="554">
        <f t="shared" si="23"/>
        <v>50188.280801783279</v>
      </c>
      <c r="U28" s="554">
        <f t="shared" si="23"/>
        <v>51066.575715814492</v>
      </c>
      <c r="V28" s="554">
        <f t="shared" si="23"/>
        <v>51960.24079084125</v>
      </c>
      <c r="W28" s="154"/>
      <c r="X28" s="154"/>
      <c r="Y28" s="154"/>
      <c r="Z28" s="154"/>
      <c r="AA28" s="154"/>
      <c r="AB28" s="154"/>
      <c r="AC28" s="154"/>
      <c r="AD28" s="154"/>
      <c r="AE28" s="154"/>
      <c r="AF28" s="154"/>
      <c r="AG28" s="154"/>
      <c r="AH28" s="154"/>
      <c r="AI28" s="154"/>
      <c r="AJ28" s="154"/>
      <c r="AK28" s="154"/>
      <c r="AL28" s="154"/>
      <c r="AM28" s="154"/>
      <c r="AN28" s="154"/>
      <c r="AO28" s="154"/>
      <c r="AP28" s="154"/>
      <c r="AQ28" s="154"/>
    </row>
    <row r="29" spans="1:43">
      <c r="AB29" s="115"/>
      <c r="AC29" s="115">
        <v>2024</v>
      </c>
      <c r="AD29" s="115">
        <v>2025</v>
      </c>
      <c r="AE29" s="115">
        <v>2026</v>
      </c>
      <c r="AF29" s="115">
        <v>2027</v>
      </c>
      <c r="AG29" s="115">
        <v>2028</v>
      </c>
    </row>
    <row r="30" spans="1:43" ht="15.75">
      <c r="A30" s="160" t="s">
        <v>1</v>
      </c>
      <c r="B30" s="565"/>
      <c r="C30" s="565"/>
      <c r="D30" s="566">
        <v>1.4</v>
      </c>
      <c r="E30" s="565">
        <f t="shared" ref="E30:K30" si="24">E39/E20</f>
        <v>1.4087858450274557</v>
      </c>
      <c r="F30" s="565">
        <f t="shared" si="24"/>
        <v>1.4665131220073944</v>
      </c>
      <c r="G30" s="565">
        <f t="shared" si="24"/>
        <v>1.5017234081151358</v>
      </c>
      <c r="H30" s="565">
        <f t="shared" si="24"/>
        <v>1.5201732526403229</v>
      </c>
      <c r="I30" s="565">
        <f t="shared" si="24"/>
        <v>1.542218299499853</v>
      </c>
      <c r="J30" s="565">
        <f t="shared" si="24"/>
        <v>1.5863982921622446</v>
      </c>
      <c r="K30" s="565">
        <f t="shared" si="24"/>
        <v>1.5604728705668385</v>
      </c>
      <c r="L30" s="567">
        <v>1.58</v>
      </c>
      <c r="M30" s="567">
        <v>1.64</v>
      </c>
      <c r="N30" s="567">
        <v>1.66</v>
      </c>
      <c r="O30" s="567">
        <v>1.68</v>
      </c>
      <c r="P30" s="567">
        <v>1.7</v>
      </c>
      <c r="Q30" s="567">
        <v>1.71</v>
      </c>
      <c r="R30" s="567">
        <v>1.71</v>
      </c>
      <c r="S30" s="567">
        <v>1.71</v>
      </c>
      <c r="T30" s="567">
        <v>1.71</v>
      </c>
      <c r="U30" s="567">
        <v>1.71</v>
      </c>
      <c r="V30" s="567">
        <v>1.71</v>
      </c>
      <c r="W30" s="154"/>
      <c r="X30" s="154"/>
      <c r="Y30" s="154"/>
      <c r="Z30" s="154"/>
      <c r="AA30" s="154"/>
      <c r="AB30" s="1" t="s">
        <v>1048</v>
      </c>
      <c r="AC30" s="154">
        <v>-2000</v>
      </c>
      <c r="AD30" s="154">
        <v>-500</v>
      </c>
      <c r="AE30" s="154"/>
      <c r="AF30" s="154"/>
      <c r="AG30" s="154"/>
      <c r="AH30" s="154"/>
      <c r="AI30" s="154"/>
      <c r="AJ30" s="154"/>
      <c r="AK30" s="154"/>
      <c r="AL30" s="154"/>
      <c r="AM30" s="154"/>
      <c r="AN30" s="154"/>
      <c r="AO30" s="154"/>
      <c r="AP30" s="154"/>
      <c r="AQ30" s="154"/>
    </row>
    <row r="31" spans="1:43" ht="15.75">
      <c r="A31" s="530" t="s">
        <v>637</v>
      </c>
      <c r="B31" s="561"/>
      <c r="C31" s="561"/>
      <c r="D31" s="561"/>
      <c r="E31" s="561"/>
      <c r="F31" s="561"/>
      <c r="G31" s="561"/>
      <c r="H31" s="562"/>
      <c r="I31" s="568"/>
      <c r="J31" s="568"/>
      <c r="K31" s="568"/>
      <c r="L31" s="568" cm="1">
        <f t="array" ref="L31">_xll.VAData("IHS_US", "FY-2025", "Tenancy ratio - Nigeria", "Consensus", "CD", "","","")</f>
        <v>1.5703535547679299</v>
      </c>
      <c r="M31" s="568" cm="1">
        <f t="array" ref="M31">_xll.VAData("IHS_US", "FY-2026", "Tenancy ratio - Nigeria", "Consensus", "CD", "","","")</f>
        <v>1.5886113558864701</v>
      </c>
      <c r="N31" s="568" cm="1">
        <f t="array" ref="N31">_xll.VAData("IHS_US", "FY-2027", "Tenancy ratio - Nigeria", "Consensus", "CD", "","","")</f>
        <v>1.6069777266846099</v>
      </c>
      <c r="O31" s="155"/>
      <c r="P31" s="155"/>
      <c r="Q31" s="155"/>
      <c r="R31" s="155"/>
      <c r="S31" s="155"/>
      <c r="T31" s="155"/>
      <c r="U31" s="155"/>
      <c r="V31" s="155"/>
      <c r="W31" s="154"/>
      <c r="X31" s="154"/>
      <c r="Y31" s="154"/>
      <c r="Z31" s="154"/>
      <c r="AA31" s="154"/>
      <c r="AB31" s="1" t="s">
        <v>1049</v>
      </c>
      <c r="AC31" s="154">
        <v>500</v>
      </c>
      <c r="AD31" s="154">
        <v>500</v>
      </c>
      <c r="AE31" s="154">
        <v>400</v>
      </c>
      <c r="AF31" s="154"/>
      <c r="AG31" s="154"/>
      <c r="AH31" s="154"/>
      <c r="AI31" s="154"/>
      <c r="AJ31" s="154"/>
      <c r="AK31" s="154"/>
      <c r="AL31" s="154"/>
      <c r="AM31" s="154"/>
      <c r="AN31" s="154"/>
      <c r="AO31" s="154"/>
      <c r="AP31" s="154"/>
      <c r="AQ31" s="154"/>
    </row>
    <row r="32" spans="1:43" ht="15.75" hidden="1">
      <c r="A32" s="154"/>
      <c r="B32" s="155"/>
      <c r="C32" s="155"/>
      <c r="D32" s="155"/>
      <c r="E32" s="155"/>
      <c r="F32" s="155"/>
      <c r="G32" s="155"/>
      <c r="H32" s="155"/>
      <c r="I32" s="155"/>
      <c r="J32" s="155"/>
      <c r="K32" s="673">
        <f>J39</f>
        <v>26009</v>
      </c>
      <c r="L32" s="673">
        <f>K37</f>
        <v>25417.639829216223</v>
      </c>
      <c r="M32" s="673">
        <f t="shared" ref="M32:V32" si="25">L37</f>
        <v>26231.989829216222</v>
      </c>
      <c r="N32" s="673">
        <f t="shared" si="25"/>
        <v>26562.626105466221</v>
      </c>
      <c r="O32" s="673">
        <f t="shared" si="25"/>
        <v>26976.156265351219</v>
      </c>
      <c r="P32" s="673">
        <f t="shared" si="25"/>
        <v>27170.426771510858</v>
      </c>
      <c r="Q32" s="673">
        <f t="shared" si="25"/>
        <v>27368.414163981121</v>
      </c>
      <c r="R32" s="673">
        <f t="shared" si="25"/>
        <v>27570.160959915549</v>
      </c>
      <c r="S32" s="673">
        <f t="shared" si="25"/>
        <v>27774.515036500965</v>
      </c>
      <c r="T32" s="673">
        <f t="shared" si="25"/>
        <v>27980.299591622483</v>
      </c>
      <c r="U32" s="673">
        <f t="shared" si="25"/>
        <v>28187.524638629846</v>
      </c>
      <c r="V32" s="673">
        <f t="shared" si="25"/>
        <v>28396.20026096626</v>
      </c>
      <c r="W32" s="154"/>
      <c r="X32" s="154"/>
      <c r="Y32" s="154"/>
      <c r="Z32" s="154"/>
      <c r="AA32" s="154"/>
      <c r="AC32" s="154"/>
      <c r="AD32" s="154"/>
      <c r="AE32" s="154"/>
      <c r="AF32" s="154"/>
      <c r="AG32" s="154"/>
      <c r="AH32" s="154"/>
      <c r="AI32" s="154"/>
      <c r="AJ32" s="154"/>
      <c r="AK32" s="154"/>
      <c r="AL32" s="154"/>
      <c r="AM32" s="154"/>
      <c r="AN32" s="154"/>
      <c r="AO32" s="154"/>
      <c r="AP32" s="154"/>
      <c r="AQ32" s="154"/>
    </row>
    <row r="33" spans="1:43" ht="15.75" hidden="1">
      <c r="A33" s="154"/>
      <c r="B33" s="155"/>
      <c r="C33" s="155"/>
      <c r="D33" s="155"/>
      <c r="E33" s="155"/>
      <c r="F33" s="155"/>
      <c r="G33" s="155"/>
      <c r="H33" s="155"/>
      <c r="I33" s="155"/>
      <c r="J33" s="155"/>
      <c r="K33" s="673">
        <v>-2000</v>
      </c>
      <c r="L33" s="673">
        <v>-500</v>
      </c>
      <c r="W33" s="154"/>
      <c r="X33" s="154"/>
      <c r="Y33" s="154"/>
      <c r="Z33" s="154"/>
      <c r="AA33" s="154"/>
      <c r="AC33" s="154"/>
      <c r="AD33" s="154"/>
      <c r="AE33" s="154"/>
      <c r="AF33" s="154"/>
      <c r="AG33" s="154"/>
      <c r="AH33" s="154"/>
      <c r="AI33" s="154"/>
      <c r="AJ33" s="154"/>
      <c r="AK33" s="154"/>
      <c r="AL33" s="154"/>
      <c r="AM33" s="154"/>
      <c r="AN33" s="154"/>
      <c r="AO33" s="154"/>
      <c r="AP33" s="154"/>
      <c r="AQ33" s="154"/>
    </row>
    <row r="34" spans="1:43" ht="15.75" hidden="1">
      <c r="A34" s="154"/>
      <c r="B34" s="155"/>
      <c r="C34" s="155"/>
      <c r="D34" s="155"/>
      <c r="E34" s="155"/>
      <c r="F34" s="155"/>
      <c r="G34" s="155"/>
      <c r="H34" s="155"/>
      <c r="I34" s="155"/>
      <c r="J34" s="155"/>
      <c r="K34" s="673">
        <v>1250</v>
      </c>
      <c r="L34" s="673">
        <v>1250</v>
      </c>
      <c r="M34" s="673">
        <v>200</v>
      </c>
      <c r="N34" s="673">
        <v>250</v>
      </c>
      <c r="W34" s="154"/>
      <c r="X34" s="154"/>
      <c r="Y34" s="154"/>
      <c r="Z34" s="154"/>
      <c r="AA34" s="154"/>
      <c r="AC34" s="154"/>
      <c r="AD34" s="154"/>
      <c r="AE34" s="154"/>
      <c r="AF34" s="154"/>
      <c r="AG34" s="154"/>
      <c r="AH34" s="154"/>
      <c r="AI34" s="154"/>
      <c r="AJ34" s="154"/>
      <c r="AK34" s="154"/>
      <c r="AL34" s="154"/>
      <c r="AM34" s="154"/>
      <c r="AN34" s="154"/>
      <c r="AO34" s="154"/>
      <c r="AP34" s="154"/>
      <c r="AQ34" s="154"/>
    </row>
    <row r="35" spans="1:43" ht="15.75" hidden="1">
      <c r="A35" s="154"/>
      <c r="B35" s="155"/>
      <c r="C35" s="155"/>
      <c r="D35" s="673"/>
      <c r="E35" s="673"/>
      <c r="F35" s="673">
        <f>F22*E30</f>
        <v>153.55765710799267</v>
      </c>
      <c r="G35" s="673">
        <f t="shared" ref="G35:V35" si="26">G22*F30</f>
        <v>55.727498636280984</v>
      </c>
      <c r="H35" s="673">
        <f t="shared" si="26"/>
        <v>476.04632037249803</v>
      </c>
      <c r="I35" s="673">
        <f t="shared" si="26"/>
        <v>214.34442862228553</v>
      </c>
      <c r="J35" s="673">
        <f t="shared" si="26"/>
        <v>-925.33097969991184</v>
      </c>
      <c r="K35" s="673">
        <f t="shared" si="26"/>
        <v>158.63982921622446</v>
      </c>
      <c r="L35" s="673">
        <f t="shared" si="26"/>
        <v>64.349999999998872</v>
      </c>
      <c r="M35" s="673">
        <f t="shared" si="26"/>
        <v>130.63627624999762</v>
      </c>
      <c r="N35" s="673">
        <f t="shared" si="26"/>
        <v>163.53015988499899</v>
      </c>
      <c r="O35" s="673">
        <f t="shared" si="26"/>
        <v>194.27050615964021</v>
      </c>
      <c r="P35" s="673">
        <f t="shared" si="26"/>
        <v>197.98739247026097</v>
      </c>
      <c r="Q35" s="673">
        <f t="shared" si="26"/>
        <v>201.74679593443034</v>
      </c>
      <c r="R35" s="673">
        <f t="shared" si="26"/>
        <v>204.35407658541641</v>
      </c>
      <c r="S35" s="673">
        <f t="shared" si="26"/>
        <v>205.78455512151595</v>
      </c>
      <c r="T35" s="673">
        <f t="shared" si="26"/>
        <v>207.22504700736252</v>
      </c>
      <c r="U35" s="673">
        <f t="shared" si="26"/>
        <v>208.67562233641345</v>
      </c>
      <c r="V35" s="673">
        <f t="shared" si="26"/>
        <v>210.136351692772</v>
      </c>
      <c r="W35" s="154"/>
      <c r="X35" s="154"/>
      <c r="Y35" s="154"/>
      <c r="Z35" s="154"/>
      <c r="AA35" s="154"/>
      <c r="AC35" s="154"/>
      <c r="AD35" s="154"/>
      <c r="AE35" s="154"/>
      <c r="AF35" s="154"/>
      <c r="AG35" s="154"/>
      <c r="AH35" s="154"/>
      <c r="AI35" s="154"/>
      <c r="AJ35" s="154"/>
      <c r="AK35" s="154"/>
      <c r="AL35" s="154"/>
      <c r="AM35" s="154"/>
      <c r="AN35" s="154"/>
      <c r="AO35" s="154"/>
      <c r="AP35" s="154"/>
      <c r="AQ35" s="154"/>
    </row>
    <row r="36" spans="1:43" ht="15.75" hidden="1">
      <c r="A36" s="154"/>
      <c r="B36" s="155"/>
      <c r="C36" s="155"/>
      <c r="D36" s="155"/>
      <c r="E36" s="155"/>
      <c r="F36" s="155"/>
      <c r="G36" s="155"/>
      <c r="H36" s="155"/>
      <c r="I36" s="155"/>
      <c r="J36" s="155"/>
      <c r="K36" s="673"/>
      <c r="L36" s="673"/>
      <c r="M36" s="673"/>
      <c r="N36" s="673"/>
      <c r="O36" s="673"/>
      <c r="P36" s="673"/>
      <c r="Q36" s="673"/>
      <c r="R36" s="673"/>
      <c r="S36" s="673"/>
      <c r="T36" s="673"/>
      <c r="U36" s="673"/>
      <c r="V36" s="673"/>
      <c r="W36" s="154"/>
      <c r="X36" s="154"/>
      <c r="Y36" s="154"/>
      <c r="Z36" s="154"/>
      <c r="AA36" s="154"/>
      <c r="AC36" s="154"/>
      <c r="AD36" s="154"/>
      <c r="AE36" s="154"/>
      <c r="AF36" s="154"/>
      <c r="AG36" s="154"/>
      <c r="AH36" s="154"/>
      <c r="AI36" s="154"/>
      <c r="AJ36" s="154"/>
      <c r="AK36" s="154"/>
      <c r="AL36" s="154"/>
      <c r="AM36" s="154"/>
      <c r="AN36" s="154"/>
      <c r="AO36" s="154"/>
      <c r="AP36" s="154"/>
      <c r="AQ36" s="154"/>
    </row>
    <row r="37" spans="1:43" ht="15.75" hidden="1">
      <c r="A37" s="154"/>
      <c r="B37" s="155"/>
      <c r="C37" s="155"/>
      <c r="D37" s="155"/>
      <c r="E37" s="155"/>
      <c r="F37" s="155"/>
      <c r="G37" s="155"/>
      <c r="H37" s="155"/>
      <c r="I37" s="155"/>
      <c r="J37" s="155"/>
      <c r="K37" s="732">
        <f>K32+K33+K34+K35+K36</f>
        <v>25417.639829216223</v>
      </c>
      <c r="L37" s="732">
        <f t="shared" ref="L37:Q37" si="27">L32+L33+L34+L35+L36</f>
        <v>26231.989829216222</v>
      </c>
      <c r="M37" s="732">
        <f t="shared" si="27"/>
        <v>26562.626105466221</v>
      </c>
      <c r="N37" s="732">
        <f t="shared" si="27"/>
        <v>26976.156265351219</v>
      </c>
      <c r="O37" s="732">
        <f t="shared" si="27"/>
        <v>27170.426771510858</v>
      </c>
      <c r="P37" s="732">
        <f t="shared" si="27"/>
        <v>27368.414163981121</v>
      </c>
      <c r="Q37" s="732">
        <f t="shared" si="27"/>
        <v>27570.160959915549</v>
      </c>
      <c r="R37" s="732">
        <f t="shared" ref="R37:V37" si="28">R32+R33+R34+R35+R36</f>
        <v>27774.515036500965</v>
      </c>
      <c r="S37" s="732">
        <f t="shared" si="28"/>
        <v>27980.299591622483</v>
      </c>
      <c r="T37" s="732">
        <f t="shared" si="28"/>
        <v>28187.524638629846</v>
      </c>
      <c r="U37" s="732">
        <f t="shared" si="28"/>
        <v>28396.20026096626</v>
      </c>
      <c r="V37" s="732">
        <f t="shared" si="28"/>
        <v>28606.33661265903</v>
      </c>
      <c r="W37" s="154"/>
      <c r="X37" s="154"/>
      <c r="Y37" s="154"/>
      <c r="Z37" s="154"/>
      <c r="AA37" s="154"/>
      <c r="AC37" s="154"/>
      <c r="AD37" s="154"/>
      <c r="AE37" s="154"/>
      <c r="AF37" s="154"/>
      <c r="AG37" s="154"/>
      <c r="AH37" s="154"/>
      <c r="AI37" s="154"/>
      <c r="AJ37" s="154"/>
      <c r="AK37" s="154"/>
      <c r="AL37" s="154"/>
      <c r="AM37" s="154"/>
      <c r="AN37" s="154"/>
      <c r="AO37" s="154"/>
      <c r="AP37" s="154"/>
      <c r="AQ37" s="154"/>
    </row>
    <row r="38" spans="1:43" ht="15.75">
      <c r="A38" s="154"/>
      <c r="B38" s="155"/>
      <c r="C38" s="155"/>
      <c r="D38" s="155"/>
      <c r="E38" s="155"/>
      <c r="F38" s="155"/>
      <c r="G38" s="155"/>
      <c r="H38" s="155"/>
      <c r="I38" s="155"/>
      <c r="J38" s="155"/>
      <c r="K38" s="155"/>
      <c r="L38" s="1128"/>
      <c r="M38" s="155"/>
      <c r="N38" s="155"/>
      <c r="O38" s="155"/>
      <c r="P38" s="155"/>
      <c r="Q38" s="155"/>
      <c r="R38" s="155"/>
      <c r="S38" s="155"/>
      <c r="T38" s="155"/>
      <c r="U38" s="155"/>
      <c r="V38" s="155"/>
      <c r="W38" s="154"/>
      <c r="X38" s="154"/>
      <c r="Y38" s="154"/>
      <c r="Z38" s="154"/>
      <c r="AA38" s="154"/>
      <c r="AB38" s="1" t="s">
        <v>1050</v>
      </c>
      <c r="AC38" s="154">
        <v>500</v>
      </c>
      <c r="AD38" s="154">
        <v>1000</v>
      </c>
      <c r="AE38" s="154">
        <v>333</v>
      </c>
      <c r="AF38" s="154">
        <v>333</v>
      </c>
      <c r="AG38" s="154">
        <f>2500-AC38-AD38-AE38-AF38</f>
        <v>334</v>
      </c>
      <c r="AH38" s="154"/>
      <c r="AI38" s="154"/>
      <c r="AJ38" s="154"/>
      <c r="AK38" s="154"/>
      <c r="AL38" s="154"/>
      <c r="AM38" s="154"/>
      <c r="AN38" s="154"/>
      <c r="AO38" s="154"/>
      <c r="AP38" s="154"/>
      <c r="AQ38" s="154"/>
    </row>
    <row r="39" spans="1:43" ht="15.75">
      <c r="A39" s="160" t="s">
        <v>2</v>
      </c>
      <c r="B39" s="558"/>
      <c r="C39" s="558"/>
      <c r="D39" s="558">
        <f>D20*D30</f>
        <v>22750</v>
      </c>
      <c r="E39" s="572">
        <v>23090</v>
      </c>
      <c r="F39" s="572">
        <v>24196</v>
      </c>
      <c r="G39" s="572">
        <v>24834</v>
      </c>
      <c r="H39" s="572">
        <v>25621</v>
      </c>
      <c r="I39" s="572">
        <v>26210</v>
      </c>
      <c r="J39" s="572">
        <v>26009</v>
      </c>
      <c r="K39" s="572">
        <v>25740</v>
      </c>
      <c r="L39" s="558">
        <f t="shared" ref="L39:Q39" si="29">L20*L30</f>
        <v>26127.255249999998</v>
      </c>
      <c r="M39" s="558">
        <f t="shared" si="29"/>
        <v>27255.026647499995</v>
      </c>
      <c r="N39" s="558">
        <f t="shared" si="29"/>
        <v>27752.929451377495</v>
      </c>
      <c r="O39" s="558">
        <f t="shared" si="29"/>
        <v>28283.913210037583</v>
      </c>
      <c r="P39" s="558">
        <f t="shared" si="29"/>
        <v>28820.970847775792</v>
      </c>
      <c r="Q39" s="558">
        <f t="shared" si="29"/>
        <v>29193.439512202636</v>
      </c>
      <c r="R39" s="558">
        <f t="shared" ref="R39:V39" si="30">R20*R30</f>
        <v>29397.793588788052</v>
      </c>
      <c r="S39" s="558">
        <f t="shared" si="30"/>
        <v>29603.57814390957</v>
      </c>
      <c r="T39" s="558">
        <f t="shared" si="30"/>
        <v>29810.803190916933</v>
      </c>
      <c r="U39" s="558">
        <f t="shared" si="30"/>
        <v>30019.478813253347</v>
      </c>
      <c r="V39" s="558">
        <f t="shared" si="30"/>
        <v>30229.615164946117</v>
      </c>
      <c r="W39" s="154"/>
      <c r="X39" s="154"/>
      <c r="Y39" s="154"/>
      <c r="Z39" s="154"/>
      <c r="AA39" s="154"/>
      <c r="AB39" s="154"/>
      <c r="AC39" s="154"/>
      <c r="AD39" s="154"/>
      <c r="AE39" s="154"/>
      <c r="AF39" s="154"/>
      <c r="AG39" s="154"/>
      <c r="AH39" s="154"/>
      <c r="AI39" s="154"/>
      <c r="AJ39" s="154"/>
      <c r="AK39" s="154"/>
      <c r="AL39" s="154"/>
      <c r="AM39" s="154"/>
      <c r="AN39" s="154"/>
      <c r="AO39" s="154"/>
      <c r="AP39" s="154"/>
      <c r="AQ39" s="154"/>
    </row>
    <row r="40" spans="1:43" ht="15.75">
      <c r="A40" s="154" t="s">
        <v>633</v>
      </c>
      <c r="B40" s="155"/>
      <c r="C40" s="560"/>
      <c r="D40" s="560"/>
      <c r="E40" s="560"/>
      <c r="F40" s="455">
        <f t="shared" ref="F40:O40" si="31">F39/E39-1</f>
        <v>4.7899523603291527E-2</v>
      </c>
      <c r="G40" s="455">
        <f t="shared" si="31"/>
        <v>2.6367994709869391E-2</v>
      </c>
      <c r="H40" s="455">
        <f t="shared" si="31"/>
        <v>3.1690424418136409E-2</v>
      </c>
      <c r="I40" s="455">
        <f t="shared" si="31"/>
        <v>2.2988954373365678E-2</v>
      </c>
      <c r="J40" s="455">
        <f t="shared" si="31"/>
        <v>-7.6688286913392245E-3</v>
      </c>
      <c r="K40" s="455">
        <f t="shared" si="31"/>
        <v>-1.0342573724479998E-2</v>
      </c>
      <c r="L40" s="455">
        <f t="shared" si="31"/>
        <v>1.5044881507381369E-2</v>
      </c>
      <c r="M40" s="455">
        <f t="shared" si="31"/>
        <v>4.3164556962025147E-2</v>
      </c>
      <c r="N40" s="455">
        <f t="shared" si="31"/>
        <v>1.8268292682926734E-2</v>
      </c>
      <c r="O40" s="455">
        <f t="shared" si="31"/>
        <v>1.9132530120481883E-2</v>
      </c>
      <c r="P40" s="455">
        <f t="shared" ref="P40:V40" si="32">P39/O39-1</f>
        <v>1.8988095238095193E-2</v>
      </c>
      <c r="Q40" s="455">
        <f t="shared" si="32"/>
        <v>1.2923529411764667E-2</v>
      </c>
      <c r="R40" s="455">
        <f t="shared" si="32"/>
        <v>6.9999999999998952E-3</v>
      </c>
      <c r="S40" s="455">
        <f t="shared" si="32"/>
        <v>7.0000000000001172E-3</v>
      </c>
      <c r="T40" s="455">
        <f t="shared" si="32"/>
        <v>6.9999999999998952E-3</v>
      </c>
      <c r="U40" s="455">
        <f t="shared" si="32"/>
        <v>6.9999999999998952E-3</v>
      </c>
      <c r="V40" s="455">
        <f t="shared" si="32"/>
        <v>6.9999999999998952E-3</v>
      </c>
      <c r="W40" s="154"/>
      <c r="X40" s="154"/>
      <c r="Y40" s="154"/>
      <c r="Z40" s="154"/>
      <c r="AA40" s="154"/>
      <c r="AB40" s="154"/>
      <c r="AC40" s="154"/>
      <c r="AD40" s="154"/>
      <c r="AE40" s="154"/>
      <c r="AF40" s="154"/>
      <c r="AG40" s="154"/>
      <c r="AH40" s="154"/>
      <c r="AI40" s="154"/>
      <c r="AJ40" s="154"/>
      <c r="AK40" s="154"/>
      <c r="AL40" s="154"/>
      <c r="AM40" s="154"/>
      <c r="AN40" s="154"/>
      <c r="AO40" s="154"/>
      <c r="AP40" s="154"/>
      <c r="AQ40" s="154"/>
    </row>
    <row r="41" spans="1:43" ht="15.75">
      <c r="A41" s="154" t="s">
        <v>4</v>
      </c>
      <c r="B41" s="554"/>
      <c r="C41" s="554"/>
      <c r="D41" s="554"/>
      <c r="E41" s="554">
        <f>E39-D39</f>
        <v>340</v>
      </c>
      <c r="F41" s="554">
        <f t="shared" ref="F41:L41" si="33">F39-E39</f>
        <v>1106</v>
      </c>
      <c r="G41" s="554">
        <f t="shared" si="33"/>
        <v>638</v>
      </c>
      <c r="H41" s="554">
        <f t="shared" si="33"/>
        <v>787</v>
      </c>
      <c r="I41" s="554">
        <f t="shared" si="33"/>
        <v>589</v>
      </c>
      <c r="J41" s="554">
        <f t="shared" si="33"/>
        <v>-201</v>
      </c>
      <c r="K41" s="554">
        <f t="shared" si="33"/>
        <v>-269</v>
      </c>
      <c r="L41" s="554">
        <f t="shared" si="33"/>
        <v>387.25524999999834</v>
      </c>
      <c r="M41" s="554">
        <f t="shared" ref="M41:V41" si="34">M39-L39</f>
        <v>1127.771397499997</v>
      </c>
      <c r="N41" s="554">
        <f t="shared" si="34"/>
        <v>497.90280387749954</v>
      </c>
      <c r="O41" s="554">
        <f t="shared" si="34"/>
        <v>530.98375866008791</v>
      </c>
      <c r="P41" s="554">
        <f t="shared" si="34"/>
        <v>537.05763773820945</v>
      </c>
      <c r="Q41" s="554">
        <f t="shared" si="34"/>
        <v>372.46866442684404</v>
      </c>
      <c r="R41" s="554">
        <f t="shared" si="34"/>
        <v>204.3540765854159</v>
      </c>
      <c r="S41" s="554">
        <f t="shared" si="34"/>
        <v>205.78455512151777</v>
      </c>
      <c r="T41" s="554">
        <f t="shared" si="34"/>
        <v>207.22504700736317</v>
      </c>
      <c r="U41" s="554">
        <f t="shared" si="34"/>
        <v>208.67562233641365</v>
      </c>
      <c r="V41" s="554">
        <f t="shared" si="34"/>
        <v>210.1363516927704</v>
      </c>
      <c r="W41" s="154"/>
      <c r="X41" s="154"/>
      <c r="Y41" s="529"/>
      <c r="Z41" s="154"/>
      <c r="AA41" s="154"/>
      <c r="AB41" s="154"/>
      <c r="AC41" s="154"/>
      <c r="AD41" s="154"/>
      <c r="AE41" s="154"/>
      <c r="AF41" s="154"/>
      <c r="AG41" s="154"/>
      <c r="AH41" s="154"/>
      <c r="AI41" s="154"/>
      <c r="AJ41" s="154"/>
      <c r="AK41" s="154"/>
      <c r="AL41" s="154"/>
      <c r="AM41" s="154"/>
      <c r="AN41" s="154"/>
      <c r="AO41" s="154"/>
      <c r="AP41" s="154"/>
      <c r="AQ41" s="154"/>
    </row>
    <row r="42" spans="1:43" ht="15.75">
      <c r="A42" s="154"/>
      <c r="B42" s="155"/>
      <c r="C42" s="155"/>
      <c r="D42" s="155"/>
      <c r="E42" s="155"/>
      <c r="F42" s="155"/>
      <c r="G42" s="155"/>
      <c r="H42" s="155"/>
      <c r="I42" s="155"/>
      <c r="J42" s="155"/>
      <c r="K42" s="571"/>
      <c r="L42" s="733"/>
      <c r="M42" s="733"/>
      <c r="N42" s="155"/>
      <c r="O42" s="155"/>
      <c r="P42" s="155"/>
      <c r="Q42" s="155"/>
      <c r="R42" s="155"/>
      <c r="S42" s="155"/>
      <c r="T42" s="155"/>
      <c r="U42" s="155"/>
      <c r="V42" s="155"/>
      <c r="W42" s="155"/>
      <c r="X42" s="155"/>
      <c r="Y42" s="155"/>
      <c r="Z42" s="154"/>
      <c r="AA42" s="154"/>
      <c r="AB42" s="154"/>
      <c r="AC42" s="154"/>
      <c r="AD42" s="154"/>
      <c r="AE42" s="154"/>
      <c r="AF42" s="154"/>
      <c r="AG42" s="154"/>
      <c r="AH42" s="154"/>
      <c r="AI42" s="154"/>
      <c r="AJ42" s="154"/>
      <c r="AK42" s="154"/>
      <c r="AL42" s="154"/>
      <c r="AM42" s="154"/>
      <c r="AN42" s="154"/>
      <c r="AO42" s="154"/>
      <c r="AP42" s="154"/>
      <c r="AQ42" s="154"/>
    </row>
    <row r="43" spans="1:43" ht="15.75">
      <c r="A43" s="160" t="s">
        <v>6</v>
      </c>
      <c r="B43" s="161"/>
      <c r="C43" s="558"/>
      <c r="D43" s="558"/>
      <c r="E43" s="558">
        <f t="shared" ref="E43:K43" si="35">E54/AVERAGE(D39:E39)/12*1000000</f>
        <v>3100.2763234438626</v>
      </c>
      <c r="F43" s="558">
        <f t="shared" si="35"/>
        <v>3262.7839106712345</v>
      </c>
      <c r="G43" s="558">
        <f t="shared" si="35"/>
        <v>3527.8944863688898</v>
      </c>
      <c r="H43" s="558">
        <f t="shared" si="35"/>
        <v>3787.9694777524528</v>
      </c>
      <c r="I43" s="558">
        <f t="shared" si="35"/>
        <v>4348.7552494324509</v>
      </c>
      <c r="J43" s="558">
        <f t="shared" si="35"/>
        <v>4409.7199614444298</v>
      </c>
      <c r="K43" s="558">
        <f t="shared" si="35"/>
        <v>3215.7336373649732</v>
      </c>
      <c r="L43" s="558">
        <f t="shared" ref="L43:O43" si="36">K43*(1+L44)</f>
        <v>3386.1675201453168</v>
      </c>
      <c r="M43" s="558">
        <f t="shared" si="36"/>
        <v>3541.9312260720017</v>
      </c>
      <c r="N43" s="558">
        <f t="shared" si="36"/>
        <v>3722.5697186016737</v>
      </c>
      <c r="O43" s="558">
        <f t="shared" si="36"/>
        <v>3893.807925657351</v>
      </c>
      <c r="P43" s="558">
        <f t="shared" ref="P43:V43" si="37">O43*(1+P44)</f>
        <v>4072.9230902375893</v>
      </c>
      <c r="Q43" s="558">
        <f t="shared" si="37"/>
        <v>4262.3140139336374</v>
      </c>
      <c r="R43" s="558">
        <f t="shared" si="37"/>
        <v>4460.5116155815513</v>
      </c>
      <c r="S43" s="558">
        <f t="shared" si="37"/>
        <v>4667.9254057060934</v>
      </c>
      <c r="T43" s="558">
        <f t="shared" si="37"/>
        <v>4884.9839370714271</v>
      </c>
      <c r="U43" s="558">
        <f t="shared" si="37"/>
        <v>5112.1356901452482</v>
      </c>
      <c r="V43" s="558">
        <f t="shared" si="37"/>
        <v>5349.8499997370018</v>
      </c>
      <c r="W43" s="154"/>
      <c r="X43" s="154"/>
      <c r="Y43" s="154"/>
      <c r="Z43" s="154"/>
      <c r="AA43" s="154"/>
      <c r="AB43" s="154"/>
      <c r="AC43" s="154"/>
      <c r="AD43" s="154"/>
      <c r="AE43" s="154"/>
      <c r="AF43" s="154"/>
      <c r="AG43" s="154"/>
      <c r="AH43" s="154"/>
      <c r="AI43" s="154"/>
      <c r="AJ43" s="154"/>
      <c r="AK43" s="154"/>
      <c r="AL43" s="154"/>
      <c r="AM43" s="154"/>
      <c r="AN43" s="154"/>
      <c r="AO43" s="154"/>
      <c r="AP43" s="154"/>
      <c r="AQ43" s="154"/>
    </row>
    <row r="44" spans="1:43" ht="15.75">
      <c r="A44" s="154" t="s">
        <v>3</v>
      </c>
      <c r="B44" s="155"/>
      <c r="C44" s="155"/>
      <c r="D44" s="455"/>
      <c r="E44" s="455"/>
      <c r="F44" s="455">
        <f t="shared" ref="F44:K44" si="38">F43/E43-1</f>
        <v>5.2417130046928939E-2</v>
      </c>
      <c r="G44" s="455">
        <f t="shared" si="38"/>
        <v>8.1252875751467002E-2</v>
      </c>
      <c r="H44" s="455">
        <f t="shared" si="38"/>
        <v>7.3719605954328582E-2</v>
      </c>
      <c r="I44" s="455">
        <f t="shared" si="38"/>
        <v>0.14804389923773464</v>
      </c>
      <c r="J44" s="455">
        <f t="shared" si="38"/>
        <v>1.4018887823115556E-2</v>
      </c>
      <c r="K44" s="455">
        <f t="shared" si="38"/>
        <v>-0.27076239183414252</v>
      </c>
      <c r="L44" s="569">
        <v>5.2999999999999999E-2</v>
      </c>
      <c r="M44" s="569">
        <v>4.5999999999999999E-2</v>
      </c>
      <c r="N44" s="569">
        <v>5.0999999999999997E-2</v>
      </c>
      <c r="O44" s="569">
        <v>4.5999999999999999E-2</v>
      </c>
      <c r="P44" s="569">
        <v>4.5999999999999999E-2</v>
      </c>
      <c r="Q44" s="569">
        <v>4.65E-2</v>
      </c>
      <c r="R44" s="569">
        <v>4.65E-2</v>
      </c>
      <c r="S44" s="569">
        <v>4.65E-2</v>
      </c>
      <c r="T44" s="569">
        <v>4.65E-2</v>
      </c>
      <c r="U44" s="569">
        <v>4.65E-2</v>
      </c>
      <c r="V44" s="569">
        <v>4.65E-2</v>
      </c>
      <c r="W44" s="154"/>
      <c r="X44" s="154"/>
      <c r="Y44" s="159"/>
      <c r="Z44" s="154"/>
      <c r="AA44" s="154"/>
      <c r="AB44" s="154"/>
      <c r="AC44" s="154"/>
      <c r="AD44" s="154"/>
      <c r="AE44" s="154"/>
      <c r="AF44" s="154"/>
      <c r="AG44" s="154"/>
      <c r="AH44" s="154"/>
      <c r="AI44" s="154"/>
      <c r="AJ44" s="154"/>
      <c r="AK44" s="154"/>
      <c r="AL44" s="154"/>
      <c r="AM44" s="154"/>
      <c r="AN44" s="154"/>
      <c r="AO44" s="154"/>
      <c r="AP44" s="154"/>
      <c r="AQ44" s="154"/>
    </row>
    <row r="45" spans="1:43" ht="15.75">
      <c r="A45" s="154"/>
      <c r="B45" s="155"/>
      <c r="C45" s="155"/>
      <c r="D45" s="570"/>
      <c r="E45" s="570"/>
      <c r="F45" s="570"/>
      <c r="G45" s="570"/>
      <c r="H45" s="570"/>
      <c r="I45" s="570"/>
      <c r="J45" s="570"/>
      <c r="K45" s="570"/>
      <c r="L45" s="570"/>
      <c r="M45" s="570"/>
      <c r="N45" s="570"/>
      <c r="O45" s="570"/>
      <c r="P45" s="570"/>
      <c r="Q45" s="570"/>
      <c r="R45" s="570"/>
      <c r="S45" s="570"/>
      <c r="T45" s="570"/>
      <c r="U45" s="570"/>
      <c r="V45" s="570"/>
      <c r="W45" s="154"/>
      <c r="X45" s="154"/>
      <c r="Y45" s="529"/>
      <c r="Z45" s="154"/>
      <c r="AA45" s="154"/>
      <c r="AB45" s="154"/>
      <c r="AC45" s="154"/>
      <c r="AD45" s="154"/>
      <c r="AE45" s="154"/>
      <c r="AF45" s="154"/>
      <c r="AG45" s="154"/>
      <c r="AH45" s="154"/>
      <c r="AI45" s="154"/>
      <c r="AJ45" s="154"/>
      <c r="AK45" s="154"/>
      <c r="AL45" s="154"/>
      <c r="AM45" s="154"/>
      <c r="AN45" s="154"/>
      <c r="AO45" s="154"/>
      <c r="AP45" s="154"/>
      <c r="AQ45" s="154"/>
    </row>
    <row r="46" spans="1:43" ht="15.75">
      <c r="A46" s="154" t="s">
        <v>7</v>
      </c>
      <c r="B46" s="155"/>
      <c r="C46" s="554"/>
      <c r="D46" s="554"/>
      <c r="E46" s="554">
        <f t="shared" ref="E46:V46" si="39">E54/AVERAGE(D20:E20)/12*1000000</f>
        <v>4354.0645424836612</v>
      </c>
      <c r="F46" s="554">
        <f t="shared" si="39"/>
        <v>4691.0517194198665</v>
      </c>
      <c r="G46" s="554">
        <f t="shared" si="39"/>
        <v>5235.8840860475439</v>
      </c>
      <c r="H46" s="554">
        <f t="shared" si="39"/>
        <v>5723.7578988350151</v>
      </c>
      <c r="I46" s="554">
        <f t="shared" si="39"/>
        <v>6658.995342058357</v>
      </c>
      <c r="J46" s="554">
        <f t="shared" si="39"/>
        <v>6896.411101128082</v>
      </c>
      <c r="K46" s="554">
        <f t="shared" si="39"/>
        <v>5059.6229857099424</v>
      </c>
      <c r="L46" s="554">
        <f t="shared" si="39"/>
        <v>5317.1248908442076</v>
      </c>
      <c r="M46" s="554">
        <f t="shared" si="39"/>
        <v>5702.7742563619122</v>
      </c>
      <c r="N46" s="554">
        <f t="shared" si="39"/>
        <v>6142.3513787551328</v>
      </c>
      <c r="O46" s="554">
        <f t="shared" si="39"/>
        <v>6502.7950437973495</v>
      </c>
      <c r="P46" s="554">
        <f t="shared" si="39"/>
        <v>6883.3820776167813</v>
      </c>
      <c r="Q46" s="554">
        <f t="shared" si="39"/>
        <v>7267.3197240959098</v>
      </c>
      <c r="R46" s="554">
        <f t="shared" si="39"/>
        <v>7627.4748626444534</v>
      </c>
      <c r="S46" s="554">
        <f t="shared" si="39"/>
        <v>7982.152443757419</v>
      </c>
      <c r="T46" s="554">
        <f t="shared" si="39"/>
        <v>8353.3225323921415</v>
      </c>
      <c r="U46" s="554">
        <f t="shared" si="39"/>
        <v>8741.752030148371</v>
      </c>
      <c r="V46" s="554">
        <f t="shared" si="39"/>
        <v>9148.2434995502754</v>
      </c>
      <c r="W46" s="154"/>
      <c r="X46" s="154"/>
      <c r="Y46" s="460"/>
      <c r="Z46" s="154"/>
      <c r="AA46" s="154"/>
      <c r="AB46" s="154"/>
      <c r="AC46" s="154"/>
      <c r="AD46" s="154"/>
      <c r="AE46" s="154"/>
      <c r="AF46" s="154"/>
      <c r="AG46" s="154"/>
      <c r="AH46" s="154"/>
      <c r="AI46" s="154"/>
      <c r="AJ46" s="154"/>
      <c r="AK46" s="154"/>
      <c r="AL46" s="154"/>
      <c r="AM46" s="154"/>
      <c r="AN46" s="154"/>
      <c r="AO46" s="154"/>
      <c r="AP46" s="154"/>
      <c r="AQ46" s="154"/>
    </row>
    <row r="47" spans="1:43" ht="15.75">
      <c r="A47" s="154" t="s">
        <v>3</v>
      </c>
      <c r="B47" s="155"/>
      <c r="C47" s="155"/>
      <c r="D47" s="455"/>
      <c r="E47" s="455"/>
      <c r="F47" s="455">
        <f t="shared" ref="F47:O47" si="40">F46/E46-1</f>
        <v>7.7395999450201147E-2</v>
      </c>
      <c r="G47" s="455">
        <f t="shared" si="40"/>
        <v>0.11614290338607813</v>
      </c>
      <c r="H47" s="455">
        <f t="shared" si="40"/>
        <v>9.3178879587412E-2</v>
      </c>
      <c r="I47" s="455">
        <f t="shared" si="40"/>
        <v>0.16339570257045555</v>
      </c>
      <c r="J47" s="455">
        <f t="shared" si="40"/>
        <v>3.5653390169865684E-2</v>
      </c>
      <c r="K47" s="455">
        <f t="shared" si="40"/>
        <v>-0.26633970749187019</v>
      </c>
      <c r="L47" s="455">
        <f t="shared" si="40"/>
        <v>5.0893496582954167E-2</v>
      </c>
      <c r="M47" s="455">
        <f t="shared" si="40"/>
        <v>7.2529679748875475E-2</v>
      </c>
      <c r="N47" s="455">
        <f t="shared" si="40"/>
        <v>7.7081277047366337E-2</v>
      </c>
      <c r="O47" s="455">
        <f t="shared" si="40"/>
        <v>5.8681707186095222E-2</v>
      </c>
      <c r="P47" s="455">
        <f t="shared" ref="P47:V47" si="41">P46/O46-1</f>
        <v>5.8526684488149794E-2</v>
      </c>
      <c r="Q47" s="455">
        <f t="shared" si="41"/>
        <v>5.5777471328753991E-2</v>
      </c>
      <c r="R47" s="455">
        <f t="shared" si="41"/>
        <v>4.9558179937287505E-2</v>
      </c>
      <c r="S47" s="455">
        <f t="shared" si="41"/>
        <v>4.6499999999999764E-2</v>
      </c>
      <c r="T47" s="455">
        <f t="shared" si="41"/>
        <v>4.650000000000043E-2</v>
      </c>
      <c r="U47" s="455">
        <f t="shared" si="41"/>
        <v>4.649999999999932E-2</v>
      </c>
      <c r="V47" s="455">
        <f t="shared" si="41"/>
        <v>4.6500000000000652E-2</v>
      </c>
      <c r="W47" s="154"/>
      <c r="X47" s="154"/>
      <c r="Y47" s="460"/>
      <c r="Z47" s="154"/>
      <c r="AA47" s="154"/>
      <c r="AB47" s="154"/>
      <c r="AC47" s="154"/>
      <c r="AD47" s="154"/>
      <c r="AE47" s="154"/>
      <c r="AF47" s="154"/>
      <c r="AG47" s="154"/>
      <c r="AH47" s="154"/>
      <c r="AI47" s="154"/>
      <c r="AJ47" s="154"/>
      <c r="AK47" s="154"/>
      <c r="AL47" s="154"/>
      <c r="AM47" s="154"/>
      <c r="AN47" s="154"/>
      <c r="AO47" s="154"/>
      <c r="AP47" s="154"/>
      <c r="AQ47" s="154"/>
    </row>
    <row r="48" spans="1:43" ht="15.75">
      <c r="A48" s="154"/>
      <c r="B48" s="155"/>
      <c r="C48" s="155"/>
      <c r="D48" s="455"/>
      <c r="E48" s="455"/>
      <c r="F48" s="455"/>
      <c r="G48" s="455"/>
      <c r="H48" s="455"/>
      <c r="I48" s="455"/>
      <c r="J48" s="455"/>
      <c r="K48" s="455"/>
      <c r="L48" s="455"/>
      <c r="M48" s="455"/>
      <c r="N48" s="455"/>
      <c r="O48" s="455"/>
      <c r="P48" s="455"/>
      <c r="Q48" s="455"/>
      <c r="R48" s="455"/>
      <c r="S48" s="455"/>
      <c r="T48" s="455"/>
      <c r="U48" s="455"/>
      <c r="V48" s="455"/>
      <c r="W48" s="154"/>
      <c r="X48" s="154"/>
      <c r="Y48" s="154"/>
      <c r="Z48" s="154"/>
      <c r="AA48" s="154"/>
      <c r="AB48" s="154"/>
      <c r="AC48" s="154"/>
      <c r="AD48" s="154"/>
      <c r="AE48" s="154"/>
      <c r="AF48" s="154"/>
      <c r="AG48" s="154"/>
      <c r="AH48" s="154"/>
      <c r="AI48" s="154"/>
      <c r="AJ48" s="154"/>
      <c r="AK48" s="154"/>
      <c r="AL48" s="154"/>
      <c r="AM48" s="154"/>
      <c r="AN48" s="154"/>
      <c r="AO48" s="154"/>
      <c r="AP48" s="154"/>
      <c r="AQ48" s="154"/>
    </row>
    <row r="49" spans="1:43" ht="15.75">
      <c r="A49" s="154"/>
      <c r="B49" s="155"/>
      <c r="C49" s="155"/>
      <c r="D49" s="155"/>
      <c r="E49" s="155"/>
      <c r="F49" s="155"/>
      <c r="G49" s="155"/>
      <c r="H49" s="571"/>
      <c r="I49" s="155"/>
      <c r="J49" s="155"/>
      <c r="K49" s="155"/>
      <c r="L49" s="155"/>
      <c r="M49" s="155"/>
      <c r="N49" s="155"/>
      <c r="O49" s="155"/>
      <c r="P49" s="155"/>
      <c r="Q49" s="155"/>
      <c r="R49" s="155"/>
      <c r="S49" s="155"/>
      <c r="T49" s="155"/>
      <c r="U49" s="155"/>
      <c r="V49" s="155"/>
      <c r="W49" s="154"/>
      <c r="X49" s="154"/>
      <c r="Y49" s="154"/>
      <c r="Z49" s="154"/>
      <c r="AA49" s="154"/>
      <c r="AB49" s="154"/>
      <c r="AC49" s="154"/>
      <c r="AD49" s="154"/>
      <c r="AE49" s="154"/>
      <c r="AF49" s="154"/>
      <c r="AG49" s="154"/>
      <c r="AH49" s="154"/>
      <c r="AI49" s="154"/>
      <c r="AJ49" s="154"/>
      <c r="AK49" s="154"/>
      <c r="AL49" s="154"/>
      <c r="AM49" s="154"/>
      <c r="AN49" s="154"/>
      <c r="AO49" s="154"/>
      <c r="AP49" s="154"/>
      <c r="AQ49" s="154"/>
    </row>
    <row r="50" spans="1:43" ht="15.75">
      <c r="A50" s="154"/>
      <c r="B50" s="155"/>
      <c r="C50" s="155"/>
      <c r="D50" s="155"/>
      <c r="E50" s="155"/>
      <c r="F50" s="155"/>
      <c r="G50" s="155"/>
      <c r="H50" s="571"/>
      <c r="I50" s="155"/>
      <c r="J50" s="155"/>
      <c r="K50" s="155"/>
      <c r="L50" s="155"/>
      <c r="M50" s="155"/>
      <c r="N50" s="155"/>
      <c r="O50" s="155"/>
      <c r="P50" s="155"/>
      <c r="Q50" s="155"/>
      <c r="R50" s="155"/>
      <c r="S50" s="155"/>
      <c r="T50" s="155"/>
      <c r="U50" s="155"/>
      <c r="V50" s="155"/>
      <c r="W50" s="154"/>
      <c r="X50" s="154"/>
      <c r="Y50" s="154"/>
      <c r="Z50" s="154"/>
      <c r="AA50" s="154"/>
      <c r="AB50" s="154"/>
      <c r="AC50" s="154"/>
      <c r="AD50" s="154"/>
      <c r="AE50" s="154"/>
      <c r="AF50" s="154"/>
      <c r="AG50" s="154"/>
      <c r="AH50" s="154"/>
      <c r="AI50" s="154"/>
      <c r="AJ50" s="154"/>
      <c r="AK50" s="154"/>
      <c r="AL50" s="154"/>
      <c r="AM50" s="154"/>
      <c r="AN50" s="154"/>
      <c r="AO50" s="154"/>
      <c r="AP50" s="154"/>
      <c r="AQ50" s="154"/>
    </row>
    <row r="51" spans="1:43" ht="15.75">
      <c r="A51" s="154"/>
      <c r="B51" s="155"/>
      <c r="C51" s="155"/>
      <c r="D51" s="571"/>
      <c r="E51" s="571"/>
      <c r="F51" s="571"/>
      <c r="G51" s="571"/>
      <c r="H51" s="571"/>
      <c r="I51" s="571"/>
      <c r="J51" s="571"/>
      <c r="K51" s="571"/>
      <c r="L51" s="571"/>
      <c r="M51" s="571"/>
      <c r="N51" s="571"/>
      <c r="O51" s="571"/>
      <c r="P51" s="571"/>
      <c r="Q51" s="571"/>
      <c r="R51" s="571"/>
      <c r="S51" s="571"/>
      <c r="T51" s="571"/>
      <c r="U51" s="571"/>
      <c r="V51" s="571"/>
      <c r="W51" s="571"/>
      <c r="X51" s="571"/>
      <c r="Y51" s="154"/>
      <c r="Z51" s="154"/>
      <c r="AA51" s="154"/>
      <c r="AB51" s="154"/>
      <c r="AC51" s="154"/>
      <c r="AD51" s="154"/>
      <c r="AE51" s="154"/>
      <c r="AF51" s="154"/>
      <c r="AG51" s="154"/>
      <c r="AH51" s="154"/>
      <c r="AI51" s="154"/>
      <c r="AJ51" s="154"/>
      <c r="AK51" s="154"/>
      <c r="AL51" s="154"/>
      <c r="AM51" s="154"/>
      <c r="AN51" s="154"/>
      <c r="AO51" s="154"/>
      <c r="AP51" s="154"/>
      <c r="AQ51" s="154"/>
    </row>
    <row r="52" spans="1:43" ht="22.5" customHeight="1">
      <c r="A52" s="163" t="s">
        <v>673</v>
      </c>
      <c r="B52" s="164"/>
      <c r="C52" s="164"/>
      <c r="D52" s="164"/>
      <c r="E52" s="164"/>
      <c r="F52" s="164"/>
      <c r="G52" s="164"/>
      <c r="H52" s="164"/>
      <c r="I52" s="164"/>
      <c r="J52" s="164"/>
      <c r="K52" s="164"/>
      <c r="L52" s="164"/>
      <c r="M52" s="164"/>
      <c r="N52" s="164"/>
      <c r="O52" s="164"/>
      <c r="P52" s="164"/>
      <c r="Q52" s="164"/>
      <c r="R52" s="164"/>
      <c r="S52" s="164"/>
      <c r="T52" s="164"/>
      <c r="U52" s="164"/>
      <c r="V52" s="164"/>
      <c r="W52" s="154"/>
      <c r="X52" s="154"/>
      <c r="Y52" s="154"/>
      <c r="Z52" s="154"/>
      <c r="AA52" s="154"/>
      <c r="AB52" s="154"/>
      <c r="AC52" s="154"/>
      <c r="AD52" s="154"/>
      <c r="AE52" s="154"/>
      <c r="AF52" s="154"/>
      <c r="AG52" s="154"/>
      <c r="AH52" s="154"/>
      <c r="AI52" s="154"/>
      <c r="AJ52" s="154"/>
      <c r="AK52" s="154"/>
      <c r="AL52" s="154"/>
      <c r="AM52" s="154"/>
      <c r="AN52" s="154"/>
      <c r="AO52" s="154"/>
      <c r="AP52" s="154"/>
      <c r="AQ52" s="154"/>
    </row>
    <row r="53" spans="1:43" ht="15.75">
      <c r="A53" s="154"/>
      <c r="B53" s="155"/>
      <c r="C53" s="155"/>
      <c r="D53" s="155"/>
      <c r="E53" s="155"/>
      <c r="F53" s="155"/>
      <c r="G53" s="155"/>
      <c r="H53" s="155"/>
      <c r="I53" s="155"/>
      <c r="J53" s="155"/>
      <c r="K53" s="155"/>
      <c r="L53" s="155"/>
      <c r="M53" s="155"/>
      <c r="N53" s="155"/>
      <c r="O53" s="155"/>
      <c r="P53" s="155"/>
      <c r="Q53" s="155"/>
      <c r="R53" s="155"/>
      <c r="S53" s="155"/>
      <c r="T53" s="155"/>
      <c r="U53" s="155"/>
      <c r="V53" s="155"/>
      <c r="W53" s="154"/>
      <c r="X53" s="460"/>
      <c r="Y53" s="154"/>
      <c r="Z53" s="154"/>
      <c r="AA53" s="154"/>
      <c r="AB53" s="154"/>
      <c r="AC53" s="154"/>
      <c r="AD53" s="154"/>
      <c r="AE53" s="154"/>
      <c r="AF53" s="154"/>
      <c r="AG53" s="154"/>
      <c r="AH53" s="154"/>
      <c r="AI53" s="154"/>
      <c r="AJ53" s="154"/>
      <c r="AK53" s="154"/>
      <c r="AL53" s="154"/>
      <c r="AM53" s="154"/>
      <c r="AN53" s="154"/>
      <c r="AO53" s="154"/>
      <c r="AP53" s="154"/>
      <c r="AQ53" s="154"/>
    </row>
    <row r="54" spans="1:43" ht="15.75">
      <c r="A54" s="160" t="s">
        <v>5</v>
      </c>
      <c r="B54" s="558"/>
      <c r="C54" s="572">
        <v>652</v>
      </c>
      <c r="D54" s="572">
        <v>821</v>
      </c>
      <c r="E54" s="572">
        <v>852.7</v>
      </c>
      <c r="F54" s="572">
        <v>925.70399999999995</v>
      </c>
      <c r="G54" s="572">
        <v>1037.836</v>
      </c>
      <c r="H54" s="572">
        <v>1146.732</v>
      </c>
      <c r="I54" s="572">
        <v>1352.402</v>
      </c>
      <c r="J54" s="572">
        <v>1381.627</v>
      </c>
      <c r="K54" s="572">
        <v>998.46600000000001</v>
      </c>
      <c r="L54" s="738">
        <f>L43*AVERAGE(K39,L39)*12/1000000</f>
        <v>1053.7872905198199</v>
      </c>
      <c r="M54" s="738">
        <f t="shared" ref="M54:V54" si="42">M43*AVERAGE(L39,M39)*12/1000000</f>
        <v>1134.4582270304002</v>
      </c>
      <c r="N54" s="738">
        <f t="shared" si="42"/>
        <v>1228.6257099351096</v>
      </c>
      <c r="O54" s="738">
        <f t="shared" si="42"/>
        <v>1309.1802125029919</v>
      </c>
      <c r="P54" s="738">
        <f t="shared" si="42"/>
        <v>1395.5028050664512</v>
      </c>
      <c r="Q54" s="738">
        <f t="shared" si="42"/>
        <v>1483.6538057245971</v>
      </c>
      <c r="R54" s="738">
        <f t="shared" si="42"/>
        <v>1568.0812549092916</v>
      </c>
      <c r="S54" s="738">
        <f t="shared" si="42"/>
        <v>1652.4840124954114</v>
      </c>
      <c r="T54" s="738">
        <f t="shared" si="42"/>
        <v>1741.4297907099833</v>
      </c>
      <c r="U54" s="738">
        <f t="shared" si="42"/>
        <v>1835.1631199098429</v>
      </c>
      <c r="V54" s="738">
        <f t="shared" si="42"/>
        <v>1933.9416924205505</v>
      </c>
      <c r="W54" s="154"/>
      <c r="X54" s="154"/>
      <c r="Y54" s="154"/>
      <c r="Z54" s="154"/>
      <c r="AA54" s="540"/>
      <c r="AB54" s="154"/>
      <c r="AC54" s="154"/>
      <c r="AD54" s="154"/>
      <c r="AE54" s="154"/>
      <c r="AF54" s="154"/>
      <c r="AG54" s="154"/>
      <c r="AH54" s="154"/>
      <c r="AI54" s="154"/>
      <c r="AJ54" s="154"/>
      <c r="AK54" s="154"/>
      <c r="AL54" s="154"/>
      <c r="AM54" s="154"/>
      <c r="AN54" s="154"/>
      <c r="AO54" s="154"/>
      <c r="AP54" s="154"/>
      <c r="AQ54" s="154"/>
    </row>
    <row r="55" spans="1:43" ht="15.75">
      <c r="A55" s="154" t="s">
        <v>633</v>
      </c>
      <c r="B55" s="155"/>
      <c r="C55" s="560"/>
      <c r="D55" s="455">
        <f>D54/C54-1</f>
        <v>0.25920245398773001</v>
      </c>
      <c r="E55" s="455">
        <f>E54/D54-1</f>
        <v>3.8611449451888102E-2</v>
      </c>
      <c r="F55" s="455">
        <f t="shared" ref="F55:O55" si="43">F54/E54-1</f>
        <v>8.5615104960713007E-2</v>
      </c>
      <c r="G55" s="455">
        <f t="shared" si="43"/>
        <v>0.12113159282016728</v>
      </c>
      <c r="H55" s="455">
        <f t="shared" si="43"/>
        <v>0.10492601913982558</v>
      </c>
      <c r="I55" s="455">
        <f t="shared" si="43"/>
        <v>0.17935315313429823</v>
      </c>
      <c r="J55" s="455">
        <f t="shared" si="43"/>
        <v>2.1609698891305928E-2</v>
      </c>
      <c r="K55" s="455">
        <f t="shared" si="43"/>
        <v>-0.27732593529223148</v>
      </c>
      <c r="L55" s="455">
        <f t="shared" si="43"/>
        <v>5.5406283759106278E-2</v>
      </c>
      <c r="M55" s="455">
        <f t="shared" si="43"/>
        <v>7.655333978338863E-2</v>
      </c>
      <c r="N55" s="455">
        <f t="shared" si="43"/>
        <v>8.3006567065237569E-2</v>
      </c>
      <c r="O55" s="455">
        <f t="shared" si="43"/>
        <v>6.5564721555547489E-2</v>
      </c>
      <c r="P55" s="455">
        <f t="shared" ref="P55:V55" si="44">P54/O54-1</f>
        <v>6.5936371279566641E-2</v>
      </c>
      <c r="Q55" s="455">
        <f t="shared" si="44"/>
        <v>6.3167913628054961E-2</v>
      </c>
      <c r="R55" s="455">
        <f t="shared" si="44"/>
        <v>5.6905087196848614E-2</v>
      </c>
      <c r="S55" s="455">
        <f t="shared" si="44"/>
        <v>5.382549999999986E-2</v>
      </c>
      <c r="T55" s="455">
        <f t="shared" si="44"/>
        <v>5.3825500000000082E-2</v>
      </c>
      <c r="U55" s="455">
        <f t="shared" si="44"/>
        <v>5.3825499999999638E-2</v>
      </c>
      <c r="V55" s="455">
        <f t="shared" si="44"/>
        <v>5.3825500000000082E-2</v>
      </c>
      <c r="W55" s="154"/>
      <c r="X55" s="154"/>
      <c r="Y55" s="154"/>
      <c r="Z55" s="154"/>
      <c r="AA55" s="154"/>
      <c r="AB55" s="154"/>
      <c r="AC55" s="154"/>
      <c r="AD55" s="154"/>
      <c r="AE55" s="154"/>
      <c r="AF55" s="154"/>
      <c r="AG55" s="154"/>
      <c r="AH55" s="154"/>
      <c r="AI55" s="154"/>
      <c r="AJ55" s="154"/>
      <c r="AK55" s="154"/>
      <c r="AL55" s="154"/>
      <c r="AM55" s="154"/>
      <c r="AN55" s="154"/>
      <c r="AO55" s="154"/>
      <c r="AP55" s="154"/>
      <c r="AQ55" s="154"/>
    </row>
    <row r="56" spans="1:43" ht="15.75">
      <c r="A56" s="154" t="s">
        <v>1121</v>
      </c>
      <c r="B56" s="155"/>
      <c r="C56" s="560"/>
      <c r="D56" s="560"/>
      <c r="E56" s="560"/>
      <c r="F56" s="455"/>
      <c r="G56" s="455"/>
      <c r="H56" s="573">
        <v>0.186</v>
      </c>
      <c r="I56" s="574">
        <v>0.23200000000000001</v>
      </c>
      <c r="J56" s="574">
        <v>0.46500000000000002</v>
      </c>
      <c r="K56" s="574">
        <v>0.73199999999999998</v>
      </c>
      <c r="L56" s="455"/>
      <c r="M56" s="455"/>
      <c r="N56" s="455"/>
      <c r="O56" s="455"/>
      <c r="P56" s="455"/>
      <c r="Q56" s="455"/>
      <c r="R56" s="455"/>
      <c r="S56" s="455"/>
      <c r="T56" s="455"/>
      <c r="U56" s="455"/>
      <c r="V56" s="455"/>
      <c r="W56" s="154"/>
      <c r="X56" s="529"/>
      <c r="Y56" s="154"/>
      <c r="Z56" s="154"/>
      <c r="AA56" s="154"/>
      <c r="AB56" s="154"/>
      <c r="AC56" s="154"/>
      <c r="AD56" s="154"/>
      <c r="AE56" s="154"/>
      <c r="AF56" s="154"/>
      <c r="AG56" s="154"/>
      <c r="AH56" s="154"/>
      <c r="AI56" s="154"/>
      <c r="AJ56" s="154"/>
      <c r="AK56" s="154"/>
      <c r="AL56" s="154"/>
      <c r="AM56" s="154"/>
      <c r="AN56" s="154"/>
      <c r="AO56" s="154"/>
      <c r="AP56" s="154"/>
      <c r="AQ56" s="154"/>
    </row>
    <row r="57" spans="1:43" ht="15.75">
      <c r="A57" s="530" t="s">
        <v>637</v>
      </c>
      <c r="B57" s="561"/>
      <c r="C57" s="561"/>
      <c r="D57" s="561"/>
      <c r="E57" s="561"/>
      <c r="F57" s="561"/>
      <c r="G57" s="561"/>
      <c r="H57" s="562"/>
      <c r="I57" s="562"/>
      <c r="J57" s="562"/>
      <c r="K57" s="562"/>
      <c r="L57" s="562" cm="1">
        <f t="array" ref="L57">_xll.VAData("IHS_US", "FY-2025", "Revenue - Nigeria", "Consensus", "CD", "","","")</f>
        <v>1061.4883215034099</v>
      </c>
      <c r="M57" s="562" cm="1">
        <f t="array" ref="M57">_xll.VAData("IHS_US", "FY-2026", "Revenue - Nigeria", "Consensus", "CD", "","","")</f>
        <v>1137.5897733837501</v>
      </c>
      <c r="N57" s="562" cm="1">
        <f t="array" ref="N57">_xll.VAData("IHS_US", "FY-2027", "Revenue - Nigeria", "Consensus", "CD", "","","")</f>
        <v>1231.70754949513</v>
      </c>
      <c r="O57" s="155"/>
      <c r="P57" s="155"/>
      <c r="Q57" s="155"/>
      <c r="R57" s="155"/>
      <c r="S57" s="155"/>
      <c r="T57" s="155"/>
      <c r="U57" s="155"/>
      <c r="V57" s="155"/>
      <c r="W57" s="154"/>
      <c r="X57" s="540"/>
      <c r="Y57" s="154"/>
      <c r="Z57" s="154"/>
      <c r="AA57" s="154"/>
      <c r="AB57" s="154"/>
      <c r="AC57" s="154"/>
      <c r="AD57" s="154"/>
      <c r="AE57" s="154"/>
      <c r="AF57" s="154"/>
      <c r="AG57" s="154"/>
      <c r="AH57" s="154"/>
      <c r="AI57" s="154"/>
      <c r="AJ57" s="154"/>
      <c r="AK57" s="154"/>
      <c r="AL57" s="154"/>
      <c r="AM57" s="154"/>
      <c r="AN57" s="154"/>
      <c r="AO57" s="154"/>
      <c r="AP57" s="154"/>
      <c r="AQ57" s="154"/>
    </row>
    <row r="58" spans="1:43" ht="15.75">
      <c r="A58" s="530" t="s">
        <v>638</v>
      </c>
      <c r="B58" s="561"/>
      <c r="C58" s="561"/>
      <c r="D58" s="561"/>
      <c r="E58" s="561"/>
      <c r="F58" s="561"/>
      <c r="G58" s="561"/>
      <c r="H58" s="561"/>
      <c r="I58" s="575"/>
      <c r="J58" s="575"/>
      <c r="K58" s="575"/>
      <c r="L58" s="575">
        <f>L54/L57-1</f>
        <v>-7.2549370799321888E-3</v>
      </c>
      <c r="M58" s="575">
        <f>M54/M57-1</f>
        <v>-2.7527905283775134E-3</v>
      </c>
      <c r="N58" s="575">
        <f>N54/N57-1</f>
        <v>-2.5020870914395088E-3</v>
      </c>
      <c r="O58" s="155"/>
      <c r="P58" s="155"/>
      <c r="Q58" s="155"/>
      <c r="R58" s="155"/>
      <c r="S58" s="155"/>
      <c r="T58" s="155"/>
      <c r="U58" s="155"/>
      <c r="V58" s="155"/>
      <c r="W58" s="154"/>
      <c r="X58" s="540"/>
      <c r="Y58" s="154"/>
      <c r="Z58" s="154"/>
      <c r="AA58" s="154"/>
      <c r="AB58" s="154"/>
      <c r="AC58" s="154"/>
      <c r="AD58" s="154"/>
      <c r="AE58" s="154"/>
      <c r="AF58" s="154"/>
      <c r="AG58" s="154"/>
      <c r="AH58" s="154"/>
      <c r="AI58" s="154"/>
      <c r="AJ58" s="154"/>
      <c r="AK58" s="154"/>
      <c r="AL58" s="154"/>
      <c r="AM58" s="154"/>
      <c r="AN58" s="154"/>
      <c r="AO58" s="154"/>
      <c r="AP58" s="154"/>
      <c r="AQ58" s="154"/>
    </row>
    <row r="59" spans="1:43" ht="15.75">
      <c r="A59" s="154"/>
      <c r="B59" s="155"/>
      <c r="C59" s="155"/>
      <c r="D59" s="155"/>
      <c r="E59" s="155"/>
      <c r="F59" s="155"/>
      <c r="G59" s="155"/>
      <c r="H59" s="155"/>
      <c r="I59" s="155"/>
      <c r="J59" s="155"/>
      <c r="K59" s="155"/>
      <c r="L59" s="554"/>
      <c r="M59" s="554"/>
      <c r="N59" s="554"/>
      <c r="O59" s="554"/>
      <c r="P59" s="554"/>
      <c r="Q59" s="554"/>
      <c r="R59" s="554"/>
      <c r="S59" s="554"/>
      <c r="T59" s="554"/>
      <c r="U59" s="554"/>
      <c r="V59" s="554"/>
      <c r="W59" s="154"/>
      <c r="X59" s="540"/>
      <c r="Y59" s="154"/>
      <c r="Z59" s="154"/>
      <c r="AA59" s="154"/>
      <c r="AB59" s="154"/>
      <c r="AC59" s="154"/>
      <c r="AD59" s="154"/>
      <c r="AE59" s="154"/>
      <c r="AF59" s="154"/>
      <c r="AG59" s="154"/>
      <c r="AH59" s="154"/>
      <c r="AI59" s="154"/>
      <c r="AJ59" s="154"/>
      <c r="AK59" s="154"/>
      <c r="AL59" s="154"/>
      <c r="AM59" s="154"/>
      <c r="AN59" s="154"/>
      <c r="AO59" s="154"/>
      <c r="AP59" s="154"/>
      <c r="AQ59" s="154"/>
    </row>
    <row r="60" spans="1:43" ht="15.75">
      <c r="A60" s="154"/>
      <c r="B60" s="155"/>
      <c r="C60" s="155"/>
      <c r="D60" s="155"/>
      <c r="E60" s="155"/>
      <c r="F60" s="162"/>
      <c r="G60" s="162"/>
      <c r="H60" s="529"/>
      <c r="I60" s="529"/>
      <c r="J60" s="529"/>
      <c r="K60" s="529"/>
      <c r="L60" s="529"/>
      <c r="M60" s="529"/>
      <c r="N60" s="529"/>
      <c r="O60" s="529"/>
      <c r="P60" s="529"/>
      <c r="Q60" s="529"/>
      <c r="R60" s="529"/>
      <c r="S60" s="529"/>
      <c r="T60" s="529"/>
      <c r="U60" s="529"/>
      <c r="V60" s="529"/>
      <c r="W60" s="154"/>
      <c r="X60" s="540"/>
      <c r="Y60" s="154"/>
      <c r="AG60" s="154"/>
      <c r="AH60" s="154"/>
      <c r="AI60" s="154"/>
      <c r="AJ60" s="154"/>
      <c r="AK60" s="154"/>
      <c r="AL60" s="154"/>
      <c r="AM60" s="154"/>
      <c r="AN60" s="154"/>
      <c r="AO60" s="154"/>
      <c r="AP60" s="154"/>
      <c r="AQ60" s="154"/>
    </row>
    <row r="61" spans="1:43" ht="15.75">
      <c r="A61" s="154" t="s">
        <v>956</v>
      </c>
      <c r="B61" s="155"/>
      <c r="C61" s="155"/>
      <c r="D61" s="155"/>
      <c r="E61" s="155"/>
      <c r="F61" s="162"/>
      <c r="G61" s="162"/>
      <c r="H61" s="725">
        <v>0</v>
      </c>
      <c r="I61" s="725">
        <v>0</v>
      </c>
      <c r="J61" s="725">
        <v>0</v>
      </c>
      <c r="K61" s="725">
        <v>0</v>
      </c>
      <c r="L61" s="739">
        <v>0</v>
      </c>
      <c r="M61" s="739">
        <v>0</v>
      </c>
      <c r="N61" s="739">
        <v>0</v>
      </c>
      <c r="O61" s="739">
        <v>0</v>
      </c>
      <c r="P61" s="739">
        <v>0</v>
      </c>
      <c r="Q61" s="739">
        <v>0</v>
      </c>
      <c r="R61" s="739">
        <v>0</v>
      </c>
      <c r="S61" s="739">
        <v>0</v>
      </c>
      <c r="T61" s="739">
        <v>0</v>
      </c>
      <c r="U61" s="739">
        <v>0</v>
      </c>
      <c r="V61" s="739">
        <v>0</v>
      </c>
      <c r="W61" s="154"/>
      <c r="X61" s="540">
        <f>Latam!X75</f>
        <v>1725.2777405198199</v>
      </c>
      <c r="Y61" s="540">
        <f>Latam!Y75</f>
        <v>1700</v>
      </c>
      <c r="Z61" s="540">
        <f>Latam!Z75</f>
        <v>1730</v>
      </c>
      <c r="AA61" s="540"/>
      <c r="AE61" s="154"/>
      <c r="AF61" s="154"/>
      <c r="AG61" s="154"/>
      <c r="AH61" s="154"/>
      <c r="AI61" s="154"/>
      <c r="AJ61" s="154"/>
      <c r="AK61" s="154"/>
      <c r="AL61" s="154"/>
      <c r="AM61" s="154"/>
      <c r="AN61" s="154"/>
      <c r="AO61" s="154"/>
      <c r="AP61" s="154"/>
      <c r="AQ61" s="154"/>
    </row>
    <row r="62" spans="1:43" ht="15.75">
      <c r="A62" s="154" t="s">
        <v>957</v>
      </c>
      <c r="B62" s="155"/>
      <c r="C62" s="155"/>
      <c r="D62" s="155"/>
      <c r="E62" s="155"/>
      <c r="F62" s="162"/>
      <c r="G62" s="162"/>
      <c r="H62" s="725">
        <v>-84.1</v>
      </c>
      <c r="I62" s="725">
        <v>-60.7</v>
      </c>
      <c r="J62" s="725">
        <v>-600.1</v>
      </c>
      <c r="K62" s="725">
        <v>-1394</v>
      </c>
      <c r="L62" s="741">
        <f t="shared" ref="L62:Q62" si="45">L54-L63</f>
        <v>-94.448609480180039</v>
      </c>
      <c r="M62" s="741">
        <f t="shared" si="45"/>
        <v>-77.397157067392527</v>
      </c>
      <c r="N62" s="741">
        <f t="shared" si="45"/>
        <v>-76.001251149850532</v>
      </c>
      <c r="O62" s="741">
        <f t="shared" si="45"/>
        <v>-103.739353922384</v>
      </c>
      <c r="P62" s="741">
        <f t="shared" si="45"/>
        <v>-110.05443931198943</v>
      </c>
      <c r="Q62" s="741">
        <f t="shared" si="45"/>
        <v>-121.17442010182162</v>
      </c>
      <c r="R62" s="741">
        <f t="shared" ref="R62:V62" si="46">R54-R63</f>
        <v>-138.12062167399495</v>
      </c>
      <c r="S62" s="741">
        <f t="shared" si="46"/>
        <v>-150.80943065027373</v>
      </c>
      <c r="T62" s="741">
        <f t="shared" si="46"/>
        <v>-158.92682365973974</v>
      </c>
      <c r="U62" s="741">
        <f t="shared" si="46"/>
        <v>-167.48113940663779</v>
      </c>
      <c r="V62" s="741">
        <f t="shared" si="46"/>
        <v>-176.49589547576875</v>
      </c>
      <c r="W62" s="154"/>
      <c r="X62" s="540">
        <f>Latam!X76</f>
        <v>998.65849699308114</v>
      </c>
      <c r="Y62" s="540">
        <f>Latam!Y76</f>
        <v>985</v>
      </c>
      <c r="Z62" s="540">
        <f>Latam!Z76</f>
        <v>1005</v>
      </c>
      <c r="AA62" s="540"/>
      <c r="AE62" s="154"/>
      <c r="AF62" s="154"/>
      <c r="AG62" s="154"/>
      <c r="AH62" s="154"/>
      <c r="AI62" s="154"/>
      <c r="AJ62" s="154"/>
      <c r="AK62" s="154"/>
      <c r="AL62" s="154"/>
      <c r="AM62" s="154"/>
      <c r="AN62" s="154"/>
      <c r="AO62" s="154"/>
      <c r="AP62" s="154"/>
      <c r="AQ62" s="154"/>
    </row>
    <row r="63" spans="1:43" ht="15.75">
      <c r="A63" s="154" t="s">
        <v>958</v>
      </c>
      <c r="B63" s="155"/>
      <c r="C63" s="155"/>
      <c r="D63" s="155"/>
      <c r="E63" s="155"/>
      <c r="F63" s="162"/>
      <c r="G63" s="162"/>
      <c r="H63" s="529">
        <f>H54-H61-H62</f>
        <v>1230.8319999999999</v>
      </c>
      <c r="I63" s="529">
        <f>I54-I61-I62</f>
        <v>1413.1020000000001</v>
      </c>
      <c r="J63" s="529">
        <f>J54-J61-J62</f>
        <v>1981.7269999999999</v>
      </c>
      <c r="K63" s="529">
        <f>K54-K61-K62</f>
        <v>2392.4659999999999</v>
      </c>
      <c r="L63" s="529">
        <f t="shared" ref="L63:V63" si="47">K54*(1+L64)</f>
        <v>1148.2358999999999</v>
      </c>
      <c r="M63" s="529">
        <f t="shared" si="47"/>
        <v>1211.8553840977927</v>
      </c>
      <c r="N63" s="529">
        <f t="shared" si="47"/>
        <v>1304.6269610849602</v>
      </c>
      <c r="O63" s="529">
        <f t="shared" si="47"/>
        <v>1412.9195664253759</v>
      </c>
      <c r="P63" s="529">
        <f t="shared" si="47"/>
        <v>1505.5572443784406</v>
      </c>
      <c r="Q63" s="529">
        <f t="shared" si="47"/>
        <v>1604.8282258264187</v>
      </c>
      <c r="R63" s="529">
        <f t="shared" si="47"/>
        <v>1706.2018765832865</v>
      </c>
      <c r="S63" s="529">
        <f t="shared" si="47"/>
        <v>1803.2934431456852</v>
      </c>
      <c r="T63" s="529">
        <f t="shared" si="47"/>
        <v>1900.356614369723</v>
      </c>
      <c r="U63" s="529">
        <f t="shared" si="47"/>
        <v>2002.6442593164807</v>
      </c>
      <c r="V63" s="529">
        <f t="shared" si="47"/>
        <v>2110.4375878963192</v>
      </c>
      <c r="W63" s="154"/>
      <c r="X63" s="540">
        <f>Latam!X77</f>
        <v>258.79166107797295</v>
      </c>
      <c r="Y63" s="540">
        <f>Latam!Y77</f>
        <v>240</v>
      </c>
      <c r="Z63" s="540">
        <f>Latam!Z77</f>
        <v>270</v>
      </c>
      <c r="AE63" s="154"/>
      <c r="AF63" s="154"/>
      <c r="AG63" s="154"/>
      <c r="AH63" s="154"/>
      <c r="AI63" s="154"/>
      <c r="AJ63" s="154"/>
      <c r="AK63" s="154"/>
      <c r="AL63" s="154"/>
      <c r="AM63" s="154"/>
      <c r="AN63" s="154"/>
      <c r="AO63" s="154"/>
      <c r="AP63" s="154"/>
      <c r="AQ63" s="154"/>
    </row>
    <row r="64" spans="1:43" ht="15.75">
      <c r="A64" s="154" t="s">
        <v>633</v>
      </c>
      <c r="B64" s="155"/>
      <c r="C64" s="155"/>
      <c r="D64" s="155"/>
      <c r="E64" s="155"/>
      <c r="F64" s="162"/>
      <c r="G64" s="162"/>
      <c r="H64" s="157">
        <f>H63/G54-1</f>
        <v>0.18596001680419638</v>
      </c>
      <c r="I64" s="157">
        <f>I63/H54-1</f>
        <v>0.23228618369418497</v>
      </c>
      <c r="J64" s="157">
        <f>J63/I54-1</f>
        <v>0.46533870846094572</v>
      </c>
      <c r="K64" s="157">
        <f>K63/J54-1</f>
        <v>0.73162944846908751</v>
      </c>
      <c r="L64" s="721">
        <v>0.15</v>
      </c>
      <c r="M64" s="721">
        <v>0.15</v>
      </c>
      <c r="N64" s="721">
        <v>0.15</v>
      </c>
      <c r="O64" s="721">
        <v>0.15</v>
      </c>
      <c r="P64" s="721">
        <v>0.15</v>
      </c>
      <c r="Q64" s="721">
        <v>0.15</v>
      </c>
      <c r="R64" s="721">
        <v>0.15</v>
      </c>
      <c r="S64" s="721">
        <v>0.15</v>
      </c>
      <c r="T64" s="721">
        <v>0.15</v>
      </c>
      <c r="U64" s="721">
        <v>0.15</v>
      </c>
      <c r="V64" s="721">
        <v>0.15</v>
      </c>
      <c r="W64" s="154"/>
      <c r="X64" s="540">
        <f>Latam!X78</f>
        <v>400.40542278029807</v>
      </c>
      <c r="Y64" s="540">
        <f>Latam!Y78</f>
        <v>390</v>
      </c>
      <c r="Z64" s="540">
        <f>Latam!Z78</f>
        <v>410</v>
      </c>
      <c r="AE64" s="154"/>
      <c r="AF64" s="154"/>
      <c r="AG64" s="154"/>
      <c r="AH64" s="154"/>
      <c r="AI64" s="154"/>
      <c r="AJ64" s="154"/>
      <c r="AK64" s="154"/>
      <c r="AL64" s="154"/>
      <c r="AM64" s="154"/>
      <c r="AN64" s="154"/>
      <c r="AO64" s="154"/>
      <c r="AP64" s="154"/>
      <c r="AQ64" s="154"/>
    </row>
    <row r="65" spans="1:43" ht="15.75">
      <c r="A65" s="154"/>
      <c r="B65" s="155"/>
      <c r="C65" s="155"/>
      <c r="D65" s="155"/>
      <c r="E65" s="155"/>
      <c r="F65" s="162"/>
      <c r="G65" s="162"/>
      <c r="H65" s="155"/>
      <c r="I65" s="155"/>
      <c r="J65" s="155"/>
      <c r="K65" s="162"/>
      <c r="L65" s="162"/>
      <c r="M65" s="155"/>
      <c r="N65" s="155"/>
      <c r="O65" s="155"/>
      <c r="P65" s="155"/>
      <c r="Q65" s="155"/>
      <c r="R65" s="155"/>
      <c r="S65" s="155"/>
      <c r="T65" s="155"/>
      <c r="U65" s="155"/>
      <c r="V65" s="155"/>
      <c r="W65" s="154"/>
      <c r="X65" s="540"/>
      <c r="Y65" s="540"/>
      <c r="AE65" s="154"/>
      <c r="AF65" s="154"/>
      <c r="AG65" s="154"/>
      <c r="AH65" s="154"/>
      <c r="AI65" s="154"/>
      <c r="AJ65" s="154"/>
      <c r="AK65" s="154"/>
      <c r="AL65" s="154"/>
      <c r="AM65" s="154"/>
      <c r="AN65" s="154"/>
      <c r="AO65" s="154"/>
      <c r="AP65" s="154"/>
      <c r="AQ65" s="154"/>
    </row>
    <row r="66" spans="1:43" ht="15.75">
      <c r="A66" s="154" t="s">
        <v>282</v>
      </c>
      <c r="B66" s="576"/>
      <c r="C66" s="576"/>
      <c r="D66" s="576"/>
      <c r="E66" s="576"/>
      <c r="F66" s="576">
        <f t="shared" ref="F66:Q66" si="48">F54-F70</f>
        <v>366.65499999999997</v>
      </c>
      <c r="G66" s="576">
        <f t="shared" si="48"/>
        <v>336.56299999999999</v>
      </c>
      <c r="H66" s="576">
        <f t="shared" si="48"/>
        <v>363.18799999999999</v>
      </c>
      <c r="I66" s="576">
        <f t="shared" si="48"/>
        <v>549.58000000000004</v>
      </c>
      <c r="J66" s="576">
        <f t="shared" si="48"/>
        <v>526.30999999999995</v>
      </c>
      <c r="K66" s="576">
        <f t="shared" si="48"/>
        <v>410.43500000000006</v>
      </c>
      <c r="L66" s="576">
        <f t="shared" si="48"/>
        <v>358.28767877673874</v>
      </c>
      <c r="M66" s="576">
        <f t="shared" si="48"/>
        <v>380.04350605518403</v>
      </c>
      <c r="N66" s="576">
        <f t="shared" si="48"/>
        <v>405.44648427858613</v>
      </c>
      <c r="O66" s="576">
        <f t="shared" si="48"/>
        <v>428.75651959472987</v>
      </c>
      <c r="P66" s="576">
        <f t="shared" si="48"/>
        <v>453.53841164659673</v>
      </c>
      <c r="Q66" s="576">
        <f t="shared" si="48"/>
        <v>478.47835234618276</v>
      </c>
      <c r="R66" s="576">
        <f t="shared" ref="R66:V66" si="49">R54-R70</f>
        <v>501.78600157097367</v>
      </c>
      <c r="S66" s="576">
        <f t="shared" si="49"/>
        <v>524.66367396729356</v>
      </c>
      <c r="T66" s="576">
        <f t="shared" si="49"/>
        <v>548.55038407364532</v>
      </c>
      <c r="U66" s="576">
        <f t="shared" si="49"/>
        <v>573.48847497182646</v>
      </c>
      <c r="V66" s="576">
        <f t="shared" si="49"/>
        <v>599.52192465037137</v>
      </c>
      <c r="W66" s="154"/>
      <c r="X66" s="540"/>
      <c r="Y66" s="540"/>
      <c r="AE66" s="154"/>
      <c r="AF66" s="154"/>
      <c r="AG66" s="154"/>
      <c r="AH66" s="154"/>
      <c r="AI66" s="154"/>
      <c r="AJ66" s="154"/>
      <c r="AK66" s="154"/>
      <c r="AL66" s="154"/>
      <c r="AM66" s="154"/>
      <c r="AN66" s="154"/>
      <c r="AO66" s="154"/>
      <c r="AP66" s="154"/>
      <c r="AQ66" s="154"/>
    </row>
    <row r="67" spans="1:43" ht="15.75">
      <c r="A67" s="154" t="s">
        <v>283</v>
      </c>
      <c r="B67" s="576"/>
      <c r="C67" s="576"/>
      <c r="D67" s="576"/>
      <c r="E67" s="576"/>
      <c r="F67" s="576">
        <f>F66/AVERAGE(E$20:F$20)/12*1000000</f>
        <v>1858.0427093151709</v>
      </c>
      <c r="G67" s="576">
        <f>G66/AVERAGE(F$20:G$20)/12*1000000</f>
        <v>1697.9608104290269</v>
      </c>
      <c r="H67" s="576">
        <f>H66/AVERAGE(G$20:H$20)/12*1000000</f>
        <v>1812.8038493406405</v>
      </c>
      <c r="I67" s="576">
        <f>I66/AVERAGE(H$20:I$20)/12*1000000</f>
        <v>2706.0375983534718</v>
      </c>
      <c r="J67" s="576">
        <f>J66/AVERAGE(I$20:J$20)/12*1000000</f>
        <v>2627.0839572726363</v>
      </c>
      <c r="K67" s="576">
        <f t="shared" ref="K67:V67" si="50">K66/AVERAGE(J$20:K$20)/12*1000000</f>
        <v>2079.83682983683</v>
      </c>
      <c r="L67" s="576">
        <f t="shared" si="50"/>
        <v>1807.8224628870307</v>
      </c>
      <c r="M67" s="576">
        <f t="shared" si="50"/>
        <v>1910.4293758812403</v>
      </c>
      <c r="N67" s="576">
        <f t="shared" si="50"/>
        <v>2026.9759549891935</v>
      </c>
      <c r="O67" s="576">
        <f t="shared" si="50"/>
        <v>2129.6653768436327</v>
      </c>
      <c r="P67" s="576">
        <f t="shared" si="50"/>
        <v>2237.0991752254545</v>
      </c>
      <c r="Q67" s="576">
        <f t="shared" si="50"/>
        <v>2343.710611020932</v>
      </c>
      <c r="R67" s="576">
        <f t="shared" si="50"/>
        <v>2440.7919560462265</v>
      </c>
      <c r="S67" s="576">
        <f t="shared" si="50"/>
        <v>2534.3334008929828</v>
      </c>
      <c r="T67" s="576">
        <f t="shared" si="50"/>
        <v>2631.2965977035274</v>
      </c>
      <c r="U67" s="576">
        <f t="shared" si="50"/>
        <v>2731.7975094213689</v>
      </c>
      <c r="V67" s="576">
        <f t="shared" si="50"/>
        <v>2835.9554848605885</v>
      </c>
      <c r="W67" s="154"/>
      <c r="X67" s="540"/>
      <c r="Y67" s="540"/>
      <c r="AB67" s="154"/>
      <c r="AC67" s="154"/>
      <c r="AD67" s="154"/>
      <c r="AE67" s="154"/>
      <c r="AF67" s="154"/>
      <c r="AG67" s="154"/>
      <c r="AH67" s="154"/>
      <c r="AI67" s="154"/>
      <c r="AJ67" s="154"/>
      <c r="AK67" s="154"/>
      <c r="AL67" s="154"/>
      <c r="AM67" s="154"/>
      <c r="AN67" s="154"/>
      <c r="AO67" s="154"/>
      <c r="AP67" s="154"/>
      <c r="AQ67" s="154"/>
    </row>
    <row r="68" spans="1:43" ht="15.75">
      <c r="A68" s="154" t="s">
        <v>633</v>
      </c>
      <c r="B68" s="155"/>
      <c r="C68" s="560"/>
      <c r="D68" s="560"/>
      <c r="E68" s="560"/>
      <c r="F68" s="560"/>
      <c r="G68" s="455">
        <f>G67/F67-1</f>
        <v>-8.6156199792170707E-2</v>
      </c>
      <c r="H68" s="455">
        <f>H67/G67-1</f>
        <v>6.7635859559441736E-2</v>
      </c>
      <c r="I68" s="455">
        <f>I67/H67-1</f>
        <v>0.49273601737867101</v>
      </c>
      <c r="J68" s="455">
        <f>J67/I67-1</f>
        <v>-2.9176845557828179E-2</v>
      </c>
      <c r="K68" s="455">
        <f t="shared" ref="K68:V68" si="51">K67/J67-1</f>
        <v>-0.20830972147686622</v>
      </c>
      <c r="L68" s="455">
        <f t="shared" si="51"/>
        <v>-0.13078639778253165</v>
      </c>
      <c r="M68" s="455">
        <f t="shared" si="51"/>
        <v>5.675718445845046E-2</v>
      </c>
      <c r="N68" s="455">
        <f t="shared" si="51"/>
        <v>6.1005437091435466E-2</v>
      </c>
      <c r="O68" s="455">
        <f t="shared" si="51"/>
        <v>5.0661391222564633E-2</v>
      </c>
      <c r="P68" s="455">
        <f t="shared" si="51"/>
        <v>5.0446328118011197E-2</v>
      </c>
      <c r="Q68" s="455">
        <f t="shared" si="51"/>
        <v>4.765610616468674E-2</v>
      </c>
      <c r="R68" s="455">
        <f t="shared" si="51"/>
        <v>4.1422070015293189E-2</v>
      </c>
      <c r="S68" s="455">
        <f t="shared" si="51"/>
        <v>3.8324218750000139E-2</v>
      </c>
      <c r="T68" s="455">
        <f t="shared" si="51"/>
        <v>3.8259842519685616E-2</v>
      </c>
      <c r="U68" s="455">
        <f t="shared" si="51"/>
        <v>3.8194444444443754E-2</v>
      </c>
      <c r="V68" s="455">
        <f t="shared" si="51"/>
        <v>3.8128000000000606E-2</v>
      </c>
      <c r="W68" s="154"/>
      <c r="X68" s="554"/>
      <c r="Y68" s="165"/>
      <c r="AB68" s="154"/>
      <c r="AC68" s="154"/>
      <c r="AD68" s="154"/>
      <c r="AE68" s="154"/>
      <c r="AF68" s="154"/>
      <c r="AG68" s="154"/>
      <c r="AH68" s="154"/>
      <c r="AI68" s="154"/>
      <c r="AJ68" s="154"/>
      <c r="AK68" s="154"/>
      <c r="AL68" s="154"/>
      <c r="AM68" s="154"/>
      <c r="AN68" s="154"/>
      <c r="AO68" s="154"/>
      <c r="AP68" s="154"/>
      <c r="AQ68" s="154"/>
    </row>
    <row r="69" spans="1:43" ht="15.75">
      <c r="A69" s="154"/>
      <c r="B69" s="155"/>
      <c r="C69" s="155"/>
      <c r="D69" s="155"/>
      <c r="E69" s="155"/>
      <c r="F69" s="155"/>
      <c r="G69" s="155"/>
      <c r="H69" s="571"/>
      <c r="I69" s="155"/>
      <c r="J69" s="155"/>
      <c r="K69" s="938"/>
      <c r="L69" s="455">
        <f>Interims!AL139</f>
        <v>0.66161015056915939</v>
      </c>
      <c r="M69" s="938"/>
      <c r="N69" s="938"/>
      <c r="O69" s="938"/>
      <c r="P69" s="938"/>
      <c r="Q69" s="938"/>
      <c r="R69" s="938"/>
      <c r="S69" s="938"/>
      <c r="T69" s="938"/>
      <c r="U69" s="938"/>
      <c r="V69" s="938"/>
      <c r="W69" s="154"/>
      <c r="X69" s="554"/>
      <c r="Y69" s="154"/>
      <c r="AB69" s="154"/>
      <c r="AC69" s="154"/>
      <c r="AD69" s="154"/>
      <c r="AE69" s="154"/>
      <c r="AF69" s="154"/>
      <c r="AG69" s="154"/>
      <c r="AH69" s="154"/>
      <c r="AI69" s="154"/>
      <c r="AJ69" s="154"/>
      <c r="AK69" s="154"/>
      <c r="AL69" s="154"/>
      <c r="AM69" s="154"/>
      <c r="AN69" s="154"/>
      <c r="AO69" s="154"/>
      <c r="AP69" s="154"/>
      <c r="AQ69" s="154"/>
    </row>
    <row r="70" spans="1:43" ht="15.75">
      <c r="A70" s="160" t="s">
        <v>10</v>
      </c>
      <c r="B70" s="161"/>
      <c r="C70" s="577">
        <v>285</v>
      </c>
      <c r="D70" s="577">
        <v>423</v>
      </c>
      <c r="E70" s="577">
        <v>489</v>
      </c>
      <c r="F70" s="577">
        <v>559.04899999999998</v>
      </c>
      <c r="G70" s="577">
        <v>701.27300000000002</v>
      </c>
      <c r="H70" s="577">
        <v>783.54399999999998</v>
      </c>
      <c r="I70" s="577">
        <v>802.822</v>
      </c>
      <c r="J70" s="577">
        <v>855.31700000000001</v>
      </c>
      <c r="K70" s="577">
        <v>588.03099999999995</v>
      </c>
      <c r="L70" s="581">
        <f t="shared" ref="L70:Q70" si="52">L71*L54</f>
        <v>695.49961174308112</v>
      </c>
      <c r="M70" s="581">
        <f t="shared" si="52"/>
        <v>754.41472097521614</v>
      </c>
      <c r="N70" s="581">
        <f t="shared" si="52"/>
        <v>823.1792256565235</v>
      </c>
      <c r="O70" s="581">
        <f t="shared" si="52"/>
        <v>880.42369290826207</v>
      </c>
      <c r="P70" s="581">
        <f t="shared" si="52"/>
        <v>941.96439341985445</v>
      </c>
      <c r="Q70" s="581">
        <f t="shared" si="52"/>
        <v>1005.1754533784143</v>
      </c>
      <c r="R70" s="581">
        <f t="shared" ref="R70:V70" si="53">R71*R54</f>
        <v>1066.2952533383179</v>
      </c>
      <c r="S70" s="581">
        <f t="shared" si="53"/>
        <v>1127.8203385281179</v>
      </c>
      <c r="T70" s="581">
        <f t="shared" si="53"/>
        <v>1192.879406636338</v>
      </c>
      <c r="U70" s="581">
        <f t="shared" si="53"/>
        <v>1261.6746449380164</v>
      </c>
      <c r="V70" s="581">
        <f t="shared" si="53"/>
        <v>1334.4197677701791</v>
      </c>
      <c r="W70" s="154"/>
      <c r="X70" s="554"/>
      <c r="Y70" s="554"/>
      <c r="Z70" s="554"/>
      <c r="AB70" s="154"/>
      <c r="AC70" s="154"/>
      <c r="AD70" s="154"/>
      <c r="AE70" s="154"/>
      <c r="AF70" s="154"/>
      <c r="AG70" s="154"/>
      <c r="AH70" s="154"/>
      <c r="AI70" s="154"/>
      <c r="AJ70" s="154"/>
      <c r="AK70" s="154"/>
      <c r="AL70" s="154"/>
      <c r="AM70" s="154"/>
      <c r="AN70" s="154"/>
      <c r="AO70" s="154"/>
      <c r="AP70" s="154"/>
      <c r="AQ70" s="154"/>
    </row>
    <row r="71" spans="1:43" ht="15.75">
      <c r="A71" s="154" t="s">
        <v>11</v>
      </c>
      <c r="B71" s="455"/>
      <c r="C71" s="455">
        <f t="shared" ref="C71:J71" si="54">C70/C54</f>
        <v>0.43711656441717789</v>
      </c>
      <c r="D71" s="455">
        <f t="shared" si="54"/>
        <v>0.51522533495736911</v>
      </c>
      <c r="E71" s="455">
        <f t="shared" si="54"/>
        <v>0.57347249912044096</v>
      </c>
      <c r="F71" s="455">
        <f t="shared" si="54"/>
        <v>0.60391766698642335</v>
      </c>
      <c r="G71" s="455">
        <f t="shared" si="54"/>
        <v>0.6757069517727271</v>
      </c>
      <c r="H71" s="455">
        <f t="shared" si="54"/>
        <v>0.6832843244977902</v>
      </c>
      <c r="I71" s="455">
        <f t="shared" si="54"/>
        <v>0.59362674707668284</v>
      </c>
      <c r="J71" s="455">
        <f t="shared" si="54"/>
        <v>0.61906505880385954</v>
      </c>
      <c r="K71" s="455">
        <f t="shared" ref="K71" si="55">K70/K54</f>
        <v>0.58893442540857666</v>
      </c>
      <c r="L71" s="569">
        <v>0.66</v>
      </c>
      <c r="M71" s="569">
        <f>L71+0.5%</f>
        <v>0.66500000000000004</v>
      </c>
      <c r="N71" s="569">
        <f>M71+0.5%</f>
        <v>0.67</v>
      </c>
      <c r="O71" s="569">
        <f t="shared" ref="O71:V71" si="56">N71+0.25%</f>
        <v>0.67249999999999999</v>
      </c>
      <c r="P71" s="569">
        <f t="shared" si="56"/>
        <v>0.67499999999999993</v>
      </c>
      <c r="Q71" s="569">
        <f t="shared" si="56"/>
        <v>0.67749999999999988</v>
      </c>
      <c r="R71" s="569">
        <f t="shared" si="56"/>
        <v>0.67999999999999983</v>
      </c>
      <c r="S71" s="569">
        <f t="shared" si="56"/>
        <v>0.68249999999999977</v>
      </c>
      <c r="T71" s="569">
        <f t="shared" si="56"/>
        <v>0.68499999999999972</v>
      </c>
      <c r="U71" s="569">
        <f t="shared" si="56"/>
        <v>0.68749999999999967</v>
      </c>
      <c r="V71" s="569">
        <f t="shared" si="56"/>
        <v>0.68999999999999961</v>
      </c>
      <c r="W71" s="154"/>
      <c r="X71" s="154"/>
      <c r="Y71" s="154"/>
      <c r="Z71" s="154"/>
      <c r="AA71" s="154"/>
      <c r="AB71" s="154"/>
      <c r="AC71" s="154"/>
      <c r="AD71" s="154"/>
      <c r="AE71" s="154"/>
      <c r="AF71" s="154"/>
      <c r="AG71" s="154"/>
      <c r="AH71" s="154"/>
      <c r="AI71" s="154"/>
      <c r="AJ71" s="154"/>
      <c r="AK71" s="154"/>
      <c r="AL71" s="154"/>
      <c r="AM71" s="154"/>
      <c r="AN71" s="154"/>
      <c r="AO71" s="154"/>
      <c r="AP71" s="154"/>
      <c r="AQ71" s="154"/>
    </row>
    <row r="72" spans="1:43" ht="15.75">
      <c r="A72" s="154" t="s">
        <v>633</v>
      </c>
      <c r="B72" s="155"/>
      <c r="C72" s="560"/>
      <c r="D72" s="455">
        <f>D70/C70-1</f>
        <v>0.48421052631578942</v>
      </c>
      <c r="E72" s="455">
        <f>E70/D70-1</f>
        <v>0.15602836879432624</v>
      </c>
      <c r="F72" s="455">
        <f t="shared" ref="F72:L72" si="57">F70/E70-1</f>
        <v>0.14324948875255616</v>
      </c>
      <c r="G72" s="455">
        <f t="shared" si="57"/>
        <v>0.25440346016181059</v>
      </c>
      <c r="H72" s="455">
        <f t="shared" si="57"/>
        <v>0.11731665128986846</v>
      </c>
      <c r="I72" s="455">
        <f t="shared" si="57"/>
        <v>2.4603595969084013E-2</v>
      </c>
      <c r="J72" s="455">
        <f t="shared" si="57"/>
        <v>6.5388093500178046E-2</v>
      </c>
      <c r="K72" s="455">
        <f t="shared" si="57"/>
        <v>-0.31249934234909404</v>
      </c>
      <c r="L72" s="455">
        <f t="shared" si="57"/>
        <v>0.18276011255032665</v>
      </c>
      <c r="M72" s="455">
        <f t="shared" ref="M72:V72" si="58">M70/L70-1</f>
        <v>8.4709046902959884E-2</v>
      </c>
      <c r="N72" s="455">
        <f t="shared" si="58"/>
        <v>9.1149473584525076E-2</v>
      </c>
      <c r="O72" s="455">
        <f t="shared" si="58"/>
        <v>6.9540709322545746E-2</v>
      </c>
      <c r="P72" s="455">
        <f t="shared" si="58"/>
        <v>6.9898960020382761E-2</v>
      </c>
      <c r="Q72" s="455">
        <f t="shared" si="58"/>
        <v>6.7105572567417893E-2</v>
      </c>
      <c r="R72" s="455">
        <f t="shared" si="58"/>
        <v>6.0805105968792628E-2</v>
      </c>
      <c r="S72" s="455">
        <f t="shared" si="58"/>
        <v>5.7699858455882103E-2</v>
      </c>
      <c r="T72" s="455">
        <f t="shared" si="58"/>
        <v>5.7685666666666524E-2</v>
      </c>
      <c r="U72" s="455">
        <f t="shared" si="58"/>
        <v>5.7671578467152873E-2</v>
      </c>
      <c r="V72" s="455">
        <f t="shared" si="58"/>
        <v>5.7657592727272888E-2</v>
      </c>
      <c r="W72" s="154"/>
      <c r="X72" s="154"/>
      <c r="Y72" s="154"/>
      <c r="AB72" s="154"/>
      <c r="AC72" s="154"/>
      <c r="AD72" s="154"/>
      <c r="AE72" s="154"/>
      <c r="AF72" s="154"/>
      <c r="AG72" s="154"/>
      <c r="AH72" s="154"/>
      <c r="AI72" s="154"/>
      <c r="AJ72" s="154"/>
      <c r="AK72" s="154"/>
      <c r="AL72" s="154"/>
      <c r="AM72" s="154"/>
      <c r="AN72" s="154"/>
      <c r="AO72" s="154"/>
      <c r="AP72" s="154"/>
      <c r="AQ72" s="154"/>
    </row>
    <row r="73" spans="1:43" ht="15.75">
      <c r="A73" s="154" t="s">
        <v>397</v>
      </c>
      <c r="B73" s="155"/>
      <c r="C73" s="155"/>
      <c r="D73" s="155"/>
      <c r="E73" s="155"/>
      <c r="F73" s="155"/>
      <c r="G73" s="578">
        <f>G70-63</f>
        <v>638.27300000000002</v>
      </c>
      <c r="H73" s="578">
        <f>H70-61</f>
        <v>722.54399999999998</v>
      </c>
      <c r="I73" s="578">
        <v>785</v>
      </c>
      <c r="J73" s="571">
        <f t="shared" ref="J73:Q73" si="59">J70</f>
        <v>855.31700000000001</v>
      </c>
      <c r="K73" s="571">
        <f t="shared" ref="K73" si="60">K70</f>
        <v>588.03099999999995</v>
      </c>
      <c r="L73" s="571">
        <f t="shared" si="59"/>
        <v>695.49961174308112</v>
      </c>
      <c r="M73" s="571">
        <f t="shared" si="59"/>
        <v>754.41472097521614</v>
      </c>
      <c r="N73" s="571">
        <f t="shared" si="59"/>
        <v>823.1792256565235</v>
      </c>
      <c r="O73" s="571">
        <f t="shared" si="59"/>
        <v>880.42369290826207</v>
      </c>
      <c r="P73" s="571">
        <f t="shared" si="59"/>
        <v>941.96439341985445</v>
      </c>
      <c r="Q73" s="571">
        <f t="shared" si="59"/>
        <v>1005.1754533784143</v>
      </c>
      <c r="R73" s="571">
        <f t="shared" ref="R73:V73" si="61">R70</f>
        <v>1066.2952533383179</v>
      </c>
      <c r="S73" s="571">
        <f t="shared" si="61"/>
        <v>1127.8203385281179</v>
      </c>
      <c r="T73" s="571">
        <f t="shared" si="61"/>
        <v>1192.879406636338</v>
      </c>
      <c r="U73" s="571">
        <f t="shared" si="61"/>
        <v>1261.6746449380164</v>
      </c>
      <c r="V73" s="571">
        <f t="shared" si="61"/>
        <v>1334.4197677701791</v>
      </c>
      <c r="W73" s="154"/>
      <c r="X73" s="154"/>
      <c r="Y73" s="154"/>
      <c r="AB73" s="154"/>
      <c r="AC73" s="154"/>
      <c r="AD73" s="154"/>
      <c r="AE73" s="154"/>
      <c r="AF73" s="154"/>
      <c r="AG73" s="154"/>
      <c r="AH73" s="154"/>
      <c r="AI73" s="154"/>
      <c r="AJ73" s="154"/>
      <c r="AK73" s="154"/>
      <c r="AL73" s="154"/>
      <c r="AM73" s="154"/>
      <c r="AN73" s="154"/>
      <c r="AO73" s="154"/>
      <c r="AP73" s="154"/>
      <c r="AQ73" s="154"/>
    </row>
    <row r="74" spans="1:43" ht="15.75">
      <c r="A74" s="530" t="s">
        <v>637</v>
      </c>
      <c r="B74" s="561"/>
      <c r="C74" s="561"/>
      <c r="D74" s="561"/>
      <c r="E74" s="561"/>
      <c r="F74" s="561"/>
      <c r="G74" s="561"/>
      <c r="H74" s="562"/>
      <c r="I74" s="562"/>
      <c r="J74" s="562"/>
      <c r="K74" s="562"/>
      <c r="L74" s="562" cm="1">
        <f t="array" ref="L74">_xll.VAData("IHS_US", "FY-2025", "Adjusted EBITDA - Nigeria", "Consensus", "CD", "","","")</f>
        <v>678.30675933211501</v>
      </c>
      <c r="M74" s="562" cm="1">
        <f t="array" ref="M74">_xll.VAData("IHS_US", "FY-2026", "Adjusted EBITDA - Nigeria", "Consensus", "CD", "","","")</f>
        <v>703.77996277179295</v>
      </c>
      <c r="N74" s="562" cm="1">
        <f t="array" ref="N74">_xll.VAData("IHS_US", "FY-2027", "Adjusted EBITDA - Nigeria", "Consensus", "CD", "","","")</f>
        <v>766.55651943808402</v>
      </c>
      <c r="O74" s="155"/>
      <c r="P74" s="155"/>
      <c r="Q74" s="155"/>
      <c r="R74" s="155"/>
      <c r="S74" s="155"/>
      <c r="T74" s="155"/>
      <c r="U74" s="155"/>
      <c r="V74" s="155"/>
      <c r="W74" s="154"/>
      <c r="X74" s="154"/>
      <c r="Y74" s="154"/>
      <c r="AB74" s="154"/>
      <c r="AC74" s="154"/>
      <c r="AD74" s="154"/>
      <c r="AE74" s="154"/>
      <c r="AF74" s="154"/>
      <c r="AG74" s="154"/>
      <c r="AH74" s="154"/>
      <c r="AI74" s="154"/>
      <c r="AJ74" s="154"/>
      <c r="AK74" s="154"/>
      <c r="AL74" s="154"/>
      <c r="AM74" s="154"/>
      <c r="AN74" s="154"/>
      <c r="AO74" s="154"/>
      <c r="AP74" s="154"/>
      <c r="AQ74" s="154"/>
    </row>
    <row r="75" spans="1:43" ht="15.75">
      <c r="A75" s="530" t="s">
        <v>638</v>
      </c>
      <c r="B75" s="561"/>
      <c r="C75" s="561"/>
      <c r="D75" s="561"/>
      <c r="E75" s="561"/>
      <c r="F75" s="561"/>
      <c r="G75" s="561"/>
      <c r="H75" s="561"/>
      <c r="I75" s="575"/>
      <c r="J75" s="575"/>
      <c r="K75" s="575"/>
      <c r="L75" s="575">
        <f>L70/L74-1</f>
        <v>2.5346721338727063E-2</v>
      </c>
      <c r="M75" s="575">
        <f>M70/M74-1</f>
        <v>7.1946859646303984E-2</v>
      </c>
      <c r="N75" s="575">
        <f>N70/N74-1</f>
        <v>7.3866316158847756E-2</v>
      </c>
      <c r="O75" s="155"/>
      <c r="P75" s="155"/>
      <c r="Q75" s="155"/>
      <c r="R75" s="155"/>
      <c r="S75" s="155"/>
      <c r="T75" s="155"/>
      <c r="U75" s="155"/>
      <c r="V75" s="155"/>
      <c r="W75" s="154"/>
      <c r="X75" s="154"/>
      <c r="Y75" s="154"/>
      <c r="Z75" s="154"/>
      <c r="AA75" s="154"/>
      <c r="AB75" s="154"/>
      <c r="AC75" s="154"/>
      <c r="AD75" s="154"/>
      <c r="AE75" s="154"/>
      <c r="AF75" s="154"/>
      <c r="AG75" s="154"/>
      <c r="AH75" s="154"/>
      <c r="AI75" s="154"/>
      <c r="AJ75" s="154"/>
      <c r="AK75" s="154"/>
      <c r="AL75" s="154"/>
      <c r="AM75" s="154"/>
      <c r="AN75" s="154"/>
      <c r="AO75" s="154"/>
      <c r="AP75" s="154"/>
      <c r="AQ75" s="154"/>
    </row>
    <row r="76" spans="1:43" ht="15.75">
      <c r="A76" s="154"/>
      <c r="B76" s="155"/>
      <c r="C76" s="155"/>
      <c r="D76" s="155"/>
      <c r="E76" s="155"/>
      <c r="F76" s="155"/>
      <c r="G76" s="155"/>
      <c r="H76" s="155"/>
      <c r="I76" s="155"/>
      <c r="J76" s="155"/>
      <c r="K76" s="155"/>
      <c r="L76" s="155"/>
      <c r="M76" s="155"/>
      <c r="N76" s="155"/>
      <c r="O76" s="155"/>
      <c r="P76" s="155"/>
      <c r="Q76" s="155"/>
      <c r="R76" s="155"/>
      <c r="S76" s="155"/>
      <c r="T76" s="155"/>
      <c r="U76" s="155"/>
      <c r="V76" s="155"/>
      <c r="W76" s="154"/>
      <c r="X76" s="154"/>
      <c r="Y76" s="154"/>
      <c r="Z76" s="154"/>
      <c r="AA76" s="154"/>
      <c r="AB76" s="154"/>
      <c r="AC76" s="154"/>
      <c r="AD76" s="154"/>
      <c r="AE76" s="154"/>
      <c r="AF76" s="154"/>
      <c r="AG76" s="154"/>
      <c r="AH76" s="154"/>
      <c r="AI76" s="154"/>
      <c r="AJ76" s="154"/>
      <c r="AK76" s="154"/>
      <c r="AL76" s="154"/>
      <c r="AM76" s="154"/>
      <c r="AN76" s="154"/>
      <c r="AO76" s="154"/>
      <c r="AP76" s="154"/>
      <c r="AQ76" s="154"/>
    </row>
    <row r="77" spans="1:43" ht="15.75">
      <c r="A77" s="154"/>
      <c r="B77" s="155"/>
      <c r="C77" s="155"/>
      <c r="D77" s="155"/>
      <c r="E77" s="155"/>
      <c r="F77" s="155"/>
      <c r="G77" s="155"/>
      <c r="H77" s="155"/>
      <c r="I77" s="155"/>
      <c r="J77" s="155"/>
      <c r="K77" s="155"/>
      <c r="L77" s="155"/>
      <c r="M77" s="155"/>
      <c r="N77" s="155"/>
      <c r="O77" s="155"/>
      <c r="P77" s="155"/>
      <c r="Q77" s="155"/>
      <c r="R77" s="155"/>
      <c r="S77" s="155"/>
      <c r="T77" s="155"/>
      <c r="U77" s="155"/>
      <c r="V77" s="155"/>
      <c r="W77" s="154"/>
      <c r="X77" s="154"/>
      <c r="Y77" s="154"/>
      <c r="Z77" s="154"/>
      <c r="AA77" s="154"/>
      <c r="AB77" s="154"/>
      <c r="AC77" s="154"/>
      <c r="AD77" s="154"/>
      <c r="AE77" s="154"/>
      <c r="AF77" s="154"/>
      <c r="AG77" s="154"/>
      <c r="AH77" s="154"/>
      <c r="AI77" s="154"/>
      <c r="AJ77" s="154"/>
      <c r="AK77" s="154"/>
      <c r="AL77" s="154"/>
      <c r="AM77" s="154"/>
      <c r="AN77" s="154"/>
      <c r="AO77" s="154"/>
      <c r="AP77" s="154"/>
      <c r="AQ77" s="154"/>
    </row>
    <row r="78" spans="1:43" ht="15.75">
      <c r="A78" s="154" t="s">
        <v>352</v>
      </c>
      <c r="B78" s="155"/>
      <c r="C78" s="571"/>
      <c r="D78" s="155"/>
      <c r="E78" s="155"/>
      <c r="F78" s="553">
        <v>33.432000000000002</v>
      </c>
      <c r="G78" s="553">
        <v>89.572999999999993</v>
      </c>
      <c r="H78" s="553">
        <v>108.417</v>
      </c>
      <c r="I78" s="579">
        <v>116.14700000000001</v>
      </c>
      <c r="J78" s="579">
        <v>117.56100000000001</v>
      </c>
      <c r="K78" s="579">
        <v>85.075999999999993</v>
      </c>
      <c r="L78" s="554">
        <f t="shared" ref="L78:Q78" si="62">L70*L79</f>
        <v>100.62449933533159</v>
      </c>
      <c r="M78" s="554">
        <f t="shared" si="62"/>
        <v>109.14830476911506</v>
      </c>
      <c r="N78" s="554">
        <f t="shared" si="62"/>
        <v>119.0971152914632</v>
      </c>
      <c r="O78" s="554">
        <f t="shared" si="62"/>
        <v>127.37921316710056</v>
      </c>
      <c r="P78" s="554">
        <f t="shared" si="62"/>
        <v>136.28288769569554</v>
      </c>
      <c r="Q78" s="554">
        <f t="shared" si="62"/>
        <v>145.42822890565631</v>
      </c>
      <c r="R78" s="554">
        <f t="shared" ref="R78:V78" si="63">R70*R79</f>
        <v>154.27100777511856</v>
      </c>
      <c r="S78" s="554">
        <f t="shared" si="63"/>
        <v>163.17242308758921</v>
      </c>
      <c r="T78" s="554">
        <f t="shared" si="63"/>
        <v>172.58513309501217</v>
      </c>
      <c r="U78" s="554">
        <f t="shared" si="63"/>
        <v>182.53839014056518</v>
      </c>
      <c r="V78" s="554">
        <f t="shared" si="63"/>
        <v>193.06311429638194</v>
      </c>
      <c r="W78" s="154"/>
      <c r="X78" s="154"/>
      <c r="Y78" s="154"/>
      <c r="Z78" s="154"/>
      <c r="AA78" s="154"/>
      <c r="AB78" s="154"/>
      <c r="AC78" s="154"/>
      <c r="AD78" s="154"/>
      <c r="AE78" s="154"/>
      <c r="AF78" s="154"/>
      <c r="AG78" s="154"/>
      <c r="AH78" s="154"/>
      <c r="AI78" s="154"/>
      <c r="AJ78" s="154"/>
      <c r="AK78" s="154"/>
      <c r="AL78" s="154"/>
      <c r="AM78" s="154"/>
      <c r="AN78" s="154"/>
      <c r="AO78" s="154"/>
      <c r="AP78" s="154"/>
      <c r="AQ78" s="154"/>
    </row>
    <row r="79" spans="1:43" ht="15.75">
      <c r="A79" s="154" t="s">
        <v>353</v>
      </c>
      <c r="B79" s="155"/>
      <c r="C79" s="155"/>
      <c r="D79" s="155"/>
      <c r="E79" s="155"/>
      <c r="F79" s="560">
        <f t="shared" ref="F79:K79" si="64">F78/F70</f>
        <v>5.9801555856463393E-2</v>
      </c>
      <c r="G79" s="560">
        <f t="shared" si="64"/>
        <v>0.12772914399955507</v>
      </c>
      <c r="H79" s="560">
        <f t="shared" si="64"/>
        <v>0.1383674688339136</v>
      </c>
      <c r="I79" s="560">
        <f t="shared" si="64"/>
        <v>0.14467341453024457</v>
      </c>
      <c r="J79" s="560">
        <f t="shared" si="64"/>
        <v>0.13744728562626488</v>
      </c>
      <c r="K79" s="560">
        <f t="shared" si="64"/>
        <v>0.14467944717200285</v>
      </c>
      <c r="L79" s="563">
        <f t="shared" ref="L79:V79" si="65">K79</f>
        <v>0.14467944717200285</v>
      </c>
      <c r="M79" s="563">
        <f t="shared" si="65"/>
        <v>0.14467944717200285</v>
      </c>
      <c r="N79" s="563">
        <f t="shared" si="65"/>
        <v>0.14467944717200285</v>
      </c>
      <c r="O79" s="563">
        <f t="shared" si="65"/>
        <v>0.14467944717200285</v>
      </c>
      <c r="P79" s="563">
        <f t="shared" si="65"/>
        <v>0.14467944717200285</v>
      </c>
      <c r="Q79" s="563">
        <f t="shared" si="65"/>
        <v>0.14467944717200285</v>
      </c>
      <c r="R79" s="563">
        <f t="shared" si="65"/>
        <v>0.14467944717200285</v>
      </c>
      <c r="S79" s="563">
        <f t="shared" si="65"/>
        <v>0.14467944717200285</v>
      </c>
      <c r="T79" s="563">
        <f t="shared" si="65"/>
        <v>0.14467944717200285</v>
      </c>
      <c r="U79" s="563">
        <f t="shared" si="65"/>
        <v>0.14467944717200285</v>
      </c>
      <c r="V79" s="563">
        <f t="shared" si="65"/>
        <v>0.14467944717200285</v>
      </c>
      <c r="W79" s="154"/>
      <c r="X79" s="154"/>
      <c r="Y79" s="154"/>
      <c r="Z79" s="154"/>
      <c r="AA79" s="154"/>
      <c r="AB79" s="154"/>
      <c r="AC79" s="154"/>
      <c r="AD79" s="154"/>
      <c r="AE79" s="154"/>
      <c r="AF79" s="154"/>
      <c r="AG79" s="154"/>
      <c r="AH79" s="154"/>
      <c r="AI79" s="154"/>
      <c r="AJ79" s="154"/>
      <c r="AK79" s="154"/>
      <c r="AL79" s="154"/>
      <c r="AM79" s="154"/>
      <c r="AN79" s="154"/>
      <c r="AO79" s="154"/>
      <c r="AP79" s="154"/>
      <c r="AQ79" s="154"/>
    </row>
    <row r="80" spans="1:43" ht="15.75">
      <c r="A80" s="530" t="s">
        <v>637</v>
      </c>
      <c r="B80" s="561"/>
      <c r="C80" s="561"/>
      <c r="D80" s="561"/>
      <c r="E80" s="561"/>
      <c r="F80" s="561"/>
      <c r="G80" s="561"/>
      <c r="H80" s="562"/>
      <c r="I80" s="562"/>
      <c r="J80" s="562"/>
      <c r="K80" s="562"/>
      <c r="L80" s="562" cm="1">
        <f t="array" ref="L80">_xll.VAData("IHS_US", "FY-2025", "Withholding Tax (on revenue and dividends) - Nigeria", "Consensus", "CD", "","","")</f>
        <v>21.229766430068199</v>
      </c>
      <c r="M80" s="562" cm="1">
        <f t="array" ref="M80">_xll.VAData("IHS_US", "FY-2026", "Withholding Tax (on revenue and dividends) - Nigeria", "Consensus", "CD", "","","")</f>
        <v>22.751795467675102</v>
      </c>
      <c r="N80" s="562" cm="1">
        <f t="array" ref="N80">_xll.VAData("IHS_US", "FY-2027", "Withholding Tax (on revenue and dividends) - Nigeria", "Consensus", "CD", "","","")</f>
        <v>24.6341509899027</v>
      </c>
      <c r="O80" s="580"/>
      <c r="P80" s="580"/>
      <c r="Q80" s="580"/>
      <c r="R80" s="580"/>
      <c r="S80" s="580"/>
      <c r="T80" s="580"/>
      <c r="U80" s="580"/>
      <c r="V80" s="580"/>
      <c r="W80" s="154"/>
      <c r="X80" s="154"/>
      <c r="Y80" s="154"/>
      <c r="Z80" s="154"/>
      <c r="AA80" s="154"/>
      <c r="AB80" s="154"/>
      <c r="AC80" s="154"/>
      <c r="AD80" s="154"/>
      <c r="AE80" s="154"/>
      <c r="AF80" s="154"/>
      <c r="AG80" s="154"/>
      <c r="AH80" s="154"/>
      <c r="AI80" s="154"/>
      <c r="AJ80" s="154"/>
      <c r="AK80" s="154"/>
      <c r="AL80" s="154"/>
      <c r="AM80" s="154"/>
      <c r="AN80" s="154"/>
      <c r="AO80" s="154"/>
      <c r="AP80" s="154"/>
      <c r="AQ80" s="154"/>
    </row>
    <row r="81" spans="1:43" ht="15.75">
      <c r="A81" s="154"/>
      <c r="B81" s="155"/>
      <c r="C81" s="155"/>
      <c r="D81" s="155"/>
      <c r="E81" s="155"/>
      <c r="F81" s="155"/>
      <c r="G81" s="155"/>
      <c r="H81" s="155"/>
      <c r="I81" s="155"/>
      <c r="J81" s="155"/>
      <c r="K81" s="155"/>
      <c r="L81" s="155"/>
      <c r="M81" s="155"/>
      <c r="N81" s="155"/>
      <c r="O81" s="155"/>
      <c r="P81" s="155"/>
      <c r="Q81" s="155"/>
      <c r="R81" s="155"/>
      <c r="S81" s="155"/>
      <c r="T81" s="155"/>
      <c r="U81" s="155"/>
      <c r="V81" s="155"/>
      <c r="W81" s="154"/>
      <c r="X81" s="154"/>
      <c r="Y81" s="154"/>
      <c r="Z81" s="154"/>
      <c r="AA81" s="154"/>
      <c r="AB81" s="154"/>
      <c r="AC81" s="154"/>
      <c r="AD81" s="154"/>
      <c r="AE81" s="154"/>
      <c r="AF81" s="154"/>
      <c r="AG81" s="154"/>
      <c r="AH81" s="154"/>
      <c r="AI81" s="154"/>
      <c r="AJ81" s="154"/>
      <c r="AK81" s="154"/>
      <c r="AL81" s="154"/>
      <c r="AM81" s="154"/>
      <c r="AN81" s="154"/>
      <c r="AO81" s="154"/>
      <c r="AP81" s="154"/>
      <c r="AQ81" s="154"/>
    </row>
    <row r="82" spans="1:43" ht="15.75">
      <c r="A82" s="154" t="s">
        <v>425</v>
      </c>
      <c r="B82" s="155"/>
      <c r="C82" s="155"/>
      <c r="D82" s="155"/>
      <c r="E82" s="155"/>
      <c r="F82" s="155"/>
      <c r="G82" s="554">
        <f>Valuation!D16*(Master!G14/Master!G19)</f>
        <v>69.760486547238514</v>
      </c>
      <c r="H82" s="554">
        <f>Valuation!E16*(Master!H14/Master!H19)</f>
        <v>79.091428486306071</v>
      </c>
      <c r="I82" s="554">
        <f>Valuation!F16*(Master!I14/Master!I19)</f>
        <v>109.63565132549792</v>
      </c>
      <c r="J82" s="554">
        <f>Valuation!G16*(Master!J14/Master!J19)</f>
        <v>118.95675745473649</v>
      </c>
      <c r="K82" s="554">
        <f>Valuation!H16*(Master!K14/Master!K19)</f>
        <v>103.50846534188466</v>
      </c>
      <c r="L82" s="554">
        <f>Valuation!I16*(Master!L14/Master!L19)</f>
        <v>112.86638812784753</v>
      </c>
      <c r="M82" s="554">
        <f>Valuation!J16*(Master!M14/Master!M19)</f>
        <v>122.81720079495129</v>
      </c>
      <c r="N82" s="554">
        <f>Valuation!K16*(Master!N14/Master!N19)</f>
        <v>130.11893658183772</v>
      </c>
      <c r="O82" s="554">
        <f>Valuation!L16*(Master!O14/Master!O19)</f>
        <v>136.65124739120239</v>
      </c>
      <c r="P82" s="554">
        <f>Valuation!M16*(Master!P14/Master!P19)</f>
        <v>143.5690783785044</v>
      </c>
      <c r="Q82" s="554">
        <f>Valuation!N16*(Master!Q14/Master!Q19)</f>
        <v>150.71603487834241</v>
      </c>
      <c r="R82" s="554">
        <f>Valuation!O16*(Master!R14/Master!R19)</f>
        <v>157.93238994578337</v>
      </c>
      <c r="S82" s="554">
        <f>Valuation!P16*(Master!S14/Master!S19)</f>
        <v>165.31666349346978</v>
      </c>
      <c r="T82" s="554">
        <f>Valuation!Q16*(Master!T14/Master!T19)</f>
        <v>173.01483658579119</v>
      </c>
      <c r="U82" s="554">
        <f>Valuation!R16*(Master!U14/Master!U19)</f>
        <v>181.04688356477283</v>
      </c>
      <c r="V82" s="554">
        <f>Valuation!S16*(Master!V14/Master!V19)</f>
        <v>189.41664022759767</v>
      </c>
      <c r="W82" s="154"/>
      <c r="X82" s="154"/>
      <c r="Y82" s="154"/>
      <c r="Z82" s="154"/>
      <c r="AA82" s="154"/>
      <c r="AB82" s="154"/>
      <c r="AC82" s="154"/>
      <c r="AD82" s="154"/>
      <c r="AE82" s="154"/>
      <c r="AF82" s="154"/>
      <c r="AG82" s="154"/>
      <c r="AH82" s="154"/>
      <c r="AI82" s="154"/>
      <c r="AJ82" s="154"/>
      <c r="AK82" s="154"/>
      <c r="AL82" s="154"/>
      <c r="AM82" s="154"/>
      <c r="AN82" s="154"/>
      <c r="AO82" s="154"/>
      <c r="AP82" s="154"/>
      <c r="AQ82" s="154"/>
    </row>
    <row r="83" spans="1:43" ht="15.75">
      <c r="A83" s="160" t="s">
        <v>640</v>
      </c>
      <c r="B83" s="161"/>
      <c r="C83" s="161"/>
      <c r="D83" s="161"/>
      <c r="E83" s="161"/>
      <c r="F83" s="161"/>
      <c r="G83" s="581">
        <f t="shared" ref="G83:Q83" si="66">G70-G82</f>
        <v>631.51251345276148</v>
      </c>
      <c r="H83" s="581">
        <f t="shared" si="66"/>
        <v>704.4525715136939</v>
      </c>
      <c r="I83" s="581">
        <f t="shared" si="66"/>
        <v>693.18634867450214</v>
      </c>
      <c r="J83" s="581">
        <f t="shared" si="66"/>
        <v>736.36024254526353</v>
      </c>
      <c r="K83" s="581">
        <f t="shared" si="66"/>
        <v>484.52253465811532</v>
      </c>
      <c r="L83" s="581">
        <f t="shared" si="66"/>
        <v>582.63322361523365</v>
      </c>
      <c r="M83" s="581">
        <f t="shared" si="66"/>
        <v>631.59752018026484</v>
      </c>
      <c r="N83" s="581">
        <f t="shared" si="66"/>
        <v>693.06028907468578</v>
      </c>
      <c r="O83" s="581">
        <f t="shared" si="66"/>
        <v>743.77244551705962</v>
      </c>
      <c r="P83" s="581">
        <f t="shared" si="66"/>
        <v>798.39531504135005</v>
      </c>
      <c r="Q83" s="581">
        <f t="shared" si="66"/>
        <v>854.45941850007193</v>
      </c>
      <c r="R83" s="581">
        <f t="shared" ref="R83:V83" si="67">R70-R82</f>
        <v>908.36286339253456</v>
      </c>
      <c r="S83" s="581">
        <f t="shared" si="67"/>
        <v>962.50367503464804</v>
      </c>
      <c r="T83" s="581">
        <f t="shared" si="67"/>
        <v>1019.8645700505468</v>
      </c>
      <c r="U83" s="581">
        <f t="shared" si="67"/>
        <v>1080.6277613732436</v>
      </c>
      <c r="V83" s="581">
        <f t="shared" si="67"/>
        <v>1145.0031275425813</v>
      </c>
      <c r="W83" s="154"/>
      <c r="X83" s="154"/>
      <c r="Y83" s="154"/>
      <c r="Z83" s="154"/>
      <c r="AA83" s="154"/>
      <c r="AB83" s="154"/>
      <c r="AC83" s="154"/>
      <c r="AD83" s="154"/>
      <c r="AE83" s="154"/>
      <c r="AF83" s="154"/>
      <c r="AG83" s="154"/>
      <c r="AH83" s="154"/>
      <c r="AI83" s="154"/>
      <c r="AJ83" s="154"/>
      <c r="AK83" s="154"/>
      <c r="AL83" s="154"/>
      <c r="AM83" s="154"/>
      <c r="AN83" s="154"/>
      <c r="AO83" s="154"/>
      <c r="AP83" s="154"/>
      <c r="AQ83" s="154"/>
    </row>
    <row r="84" spans="1:43" ht="15.75">
      <c r="A84" s="154" t="s">
        <v>647</v>
      </c>
      <c r="B84" s="155"/>
      <c r="C84" s="155"/>
      <c r="D84" s="155"/>
      <c r="E84" s="155"/>
      <c r="F84" s="155"/>
      <c r="G84" s="560">
        <f t="shared" ref="G84:Q84" si="68">G83/G54</f>
        <v>0.60848969726696844</v>
      </c>
      <c r="H84" s="560">
        <f t="shared" si="68"/>
        <v>0.61431317126730034</v>
      </c>
      <c r="I84" s="560">
        <f t="shared" si="68"/>
        <v>0.51255939334199607</v>
      </c>
      <c r="J84" s="560">
        <f t="shared" si="68"/>
        <v>0.53296601944320976</v>
      </c>
      <c r="K84" s="560">
        <f t="shared" si="68"/>
        <v>0.48526693413507854</v>
      </c>
      <c r="L84" s="560">
        <f t="shared" si="68"/>
        <v>0.55289452516344939</v>
      </c>
      <c r="M84" s="560">
        <f t="shared" si="68"/>
        <v>0.5567393361266002</v>
      </c>
      <c r="N84" s="560">
        <f t="shared" si="68"/>
        <v>0.56409391686202792</v>
      </c>
      <c r="O84" s="560">
        <f t="shared" si="68"/>
        <v>0.56812075099657822</v>
      </c>
      <c r="P84" s="560">
        <f t="shared" si="68"/>
        <v>0.57212017929504055</v>
      </c>
      <c r="Q84" s="560">
        <f t="shared" si="68"/>
        <v>0.57591563153290004</v>
      </c>
      <c r="R84" s="560">
        <f t="shared" ref="R84:V84" si="69">R83/R54</f>
        <v>0.57928303176169293</v>
      </c>
      <c r="S84" s="560">
        <f t="shared" si="69"/>
        <v>0.58245869113200921</v>
      </c>
      <c r="T84" s="560">
        <f t="shared" si="69"/>
        <v>0.58564782541979288</v>
      </c>
      <c r="U84" s="560">
        <f t="shared" si="69"/>
        <v>0.58884561794503165</v>
      </c>
      <c r="V84" s="560">
        <f t="shared" si="69"/>
        <v>0.59205669541643635</v>
      </c>
      <c r="W84" s="154"/>
      <c r="X84" s="154"/>
      <c r="Y84" s="154"/>
      <c r="Z84" s="154"/>
      <c r="AA84" s="154"/>
      <c r="AB84" s="154"/>
      <c r="AC84" s="154"/>
      <c r="AD84" s="154"/>
      <c r="AE84" s="154"/>
      <c r="AF84" s="154"/>
      <c r="AG84" s="154"/>
      <c r="AH84" s="154"/>
      <c r="AI84" s="154"/>
      <c r="AJ84" s="154"/>
      <c r="AK84" s="154"/>
      <c r="AL84" s="154"/>
      <c r="AM84" s="154"/>
      <c r="AN84" s="154"/>
      <c r="AO84" s="154"/>
      <c r="AP84" s="154"/>
      <c r="AQ84" s="154"/>
    </row>
    <row r="85" spans="1:43" ht="15.75">
      <c r="A85" s="154"/>
      <c r="B85" s="155"/>
      <c r="C85" s="155"/>
      <c r="D85" s="155"/>
      <c r="E85" s="155"/>
      <c r="F85" s="155"/>
      <c r="G85" s="155"/>
      <c r="H85" s="155"/>
      <c r="I85" s="155"/>
      <c r="J85" s="155"/>
      <c r="K85" s="155"/>
      <c r="L85" s="155"/>
      <c r="M85" s="155"/>
      <c r="N85" s="155"/>
      <c r="O85" s="155"/>
      <c r="P85" s="155"/>
      <c r="Q85" s="155"/>
      <c r="R85" s="155"/>
      <c r="S85" s="155"/>
      <c r="T85" s="155"/>
      <c r="U85" s="155"/>
      <c r="V85" s="155"/>
      <c r="W85" s="154"/>
      <c r="X85" s="154"/>
      <c r="Y85" s="154"/>
      <c r="Z85" s="154"/>
      <c r="AA85" s="154"/>
      <c r="AB85" s="154"/>
      <c r="AC85" s="154"/>
      <c r="AD85" s="154"/>
      <c r="AE85" s="154"/>
      <c r="AF85" s="154"/>
      <c r="AG85" s="154"/>
      <c r="AH85" s="154"/>
      <c r="AI85" s="154"/>
      <c r="AJ85" s="154"/>
      <c r="AK85" s="154"/>
      <c r="AL85" s="154"/>
      <c r="AM85" s="154"/>
      <c r="AN85" s="154"/>
      <c r="AO85" s="154"/>
      <c r="AP85" s="154"/>
      <c r="AQ85" s="154"/>
    </row>
    <row r="86" spans="1:43" ht="15.75">
      <c r="A86" s="154"/>
      <c r="B86" s="155"/>
      <c r="C86" s="155"/>
      <c r="D86" s="155"/>
      <c r="E86" s="155"/>
      <c r="F86" s="155"/>
      <c r="G86" s="155"/>
      <c r="H86" s="155"/>
      <c r="I86" s="155"/>
      <c r="J86" s="155"/>
      <c r="K86" s="155"/>
      <c r="L86" s="155"/>
      <c r="M86" s="155"/>
      <c r="N86" s="155"/>
      <c r="O86" s="155"/>
      <c r="P86" s="155"/>
      <c r="Q86" s="155"/>
      <c r="R86" s="155"/>
      <c r="S86" s="155"/>
      <c r="T86" s="155"/>
      <c r="U86" s="155"/>
      <c r="V86" s="155"/>
      <c r="W86" s="154"/>
      <c r="X86" s="154"/>
      <c r="Y86" s="154"/>
      <c r="Z86" s="154"/>
      <c r="AA86" s="154"/>
      <c r="AB86" s="154"/>
      <c r="AC86" s="154"/>
      <c r="AD86" s="154"/>
      <c r="AE86" s="154"/>
      <c r="AF86" s="154"/>
      <c r="AG86" s="154"/>
      <c r="AH86" s="154"/>
      <c r="AI86" s="154"/>
      <c r="AJ86" s="154"/>
      <c r="AK86" s="154"/>
      <c r="AL86" s="154"/>
      <c r="AM86" s="154"/>
      <c r="AN86" s="154"/>
      <c r="AO86" s="154"/>
      <c r="AP86" s="154"/>
      <c r="AQ86" s="154"/>
    </row>
    <row r="87" spans="1:43" ht="15.75">
      <c r="A87" s="160" t="s">
        <v>316</v>
      </c>
      <c r="B87" s="161"/>
      <c r="C87" s="581"/>
      <c r="D87" s="161"/>
      <c r="E87" s="161"/>
      <c r="F87" s="161"/>
      <c r="G87" s="577">
        <v>168.035</v>
      </c>
      <c r="H87" s="577">
        <v>299.68299999999999</v>
      </c>
      <c r="I87" s="577">
        <v>404.62799999999999</v>
      </c>
      <c r="J87" s="577">
        <v>316.221</v>
      </c>
      <c r="K87" s="577">
        <v>90.912999999999997</v>
      </c>
      <c r="L87" s="581">
        <f t="shared" ref="L87:Q87" si="70">L88*L54</f>
        <v>0</v>
      </c>
      <c r="M87" s="581">
        <f t="shared" si="70"/>
        <v>0</v>
      </c>
      <c r="N87" s="581">
        <f t="shared" si="70"/>
        <v>0</v>
      </c>
      <c r="O87" s="581">
        <f t="shared" si="70"/>
        <v>0</v>
      </c>
      <c r="P87" s="581">
        <f t="shared" si="70"/>
        <v>0</v>
      </c>
      <c r="Q87" s="581">
        <f t="shared" si="70"/>
        <v>0</v>
      </c>
      <c r="R87" s="581">
        <f t="shared" ref="R87:V87" si="71">R88*R54</f>
        <v>0</v>
      </c>
      <c r="S87" s="581">
        <f t="shared" si="71"/>
        <v>0</v>
      </c>
      <c r="T87" s="581">
        <f t="shared" si="71"/>
        <v>0</v>
      </c>
      <c r="U87" s="581">
        <f t="shared" si="71"/>
        <v>0</v>
      </c>
      <c r="V87" s="581">
        <f t="shared" si="71"/>
        <v>0</v>
      </c>
      <c r="W87" s="154"/>
      <c r="X87" s="154"/>
      <c r="Y87" s="154"/>
      <c r="Z87" s="154"/>
      <c r="AA87" s="154"/>
      <c r="AB87" s="154"/>
      <c r="AC87" s="154"/>
      <c r="AD87" s="154"/>
      <c r="AE87" s="154"/>
      <c r="AF87" s="154"/>
      <c r="AG87" s="154"/>
      <c r="AH87" s="154"/>
      <c r="AI87" s="154"/>
      <c r="AJ87" s="154"/>
      <c r="AK87" s="154"/>
      <c r="AL87" s="154"/>
      <c r="AM87" s="154"/>
      <c r="AN87" s="154"/>
      <c r="AO87" s="154"/>
      <c r="AP87" s="154"/>
      <c r="AQ87" s="154"/>
    </row>
    <row r="88" spans="1:43" ht="15.75">
      <c r="A88" s="154" t="s">
        <v>664</v>
      </c>
      <c r="B88" s="155"/>
      <c r="C88" s="571"/>
      <c r="D88" s="155"/>
      <c r="E88" s="155"/>
      <c r="F88" s="155"/>
      <c r="G88" s="162">
        <f>G87/G54</f>
        <v>0.16190901067220639</v>
      </c>
      <c r="H88" s="162">
        <f>H87/H54</f>
        <v>0.26133656338185385</v>
      </c>
      <c r="I88" s="162">
        <f>I87/I54</f>
        <v>0.29919210412288649</v>
      </c>
      <c r="J88" s="162">
        <f>J87/J54</f>
        <v>0.22887581090989104</v>
      </c>
      <c r="K88" s="162">
        <f>K87/K54</f>
        <v>9.105267480314802E-2</v>
      </c>
      <c r="L88" s="563"/>
      <c r="M88" s="563"/>
      <c r="N88" s="563"/>
      <c r="O88" s="563"/>
      <c r="P88" s="563"/>
      <c r="Q88" s="563"/>
      <c r="R88" s="563"/>
      <c r="S88" s="563"/>
      <c r="T88" s="563"/>
      <c r="U88" s="563"/>
      <c r="V88" s="563"/>
      <c r="W88" s="154"/>
      <c r="X88" s="154"/>
      <c r="Y88" s="154"/>
      <c r="Z88" s="154"/>
      <c r="AA88" s="154"/>
      <c r="AB88" s="154"/>
      <c r="AC88" s="154"/>
      <c r="AD88" s="154"/>
      <c r="AE88" s="154"/>
      <c r="AF88" s="154"/>
      <c r="AG88" s="154"/>
      <c r="AH88" s="154"/>
      <c r="AI88" s="154"/>
      <c r="AJ88" s="154"/>
      <c r="AK88" s="154"/>
      <c r="AL88" s="154"/>
      <c r="AM88" s="154"/>
      <c r="AN88" s="154"/>
      <c r="AO88" s="154"/>
      <c r="AP88" s="154"/>
      <c r="AQ88" s="154"/>
    </row>
    <row r="89" spans="1:43" ht="15.75">
      <c r="A89" s="154"/>
      <c r="B89" s="155"/>
      <c r="C89" s="155"/>
      <c r="D89" s="155"/>
      <c r="E89" s="155"/>
      <c r="F89" s="155"/>
      <c r="G89" s="155"/>
      <c r="H89" s="253"/>
      <c r="I89" s="253"/>
      <c r="J89" s="253"/>
      <c r="K89" s="253"/>
      <c r="L89" s="253"/>
      <c r="M89" s="253"/>
      <c r="N89" s="155"/>
      <c r="O89" s="155"/>
      <c r="P89" s="155"/>
      <c r="Q89" s="155"/>
      <c r="R89" s="155"/>
      <c r="S89" s="155"/>
      <c r="T89" s="155"/>
      <c r="U89" s="155"/>
      <c r="V89" s="155"/>
      <c r="W89" s="154"/>
      <c r="X89" s="154"/>
      <c r="Y89" s="154"/>
      <c r="Z89" s="154"/>
      <c r="AA89" s="154"/>
      <c r="AB89" s="154"/>
      <c r="AC89" s="154"/>
      <c r="AD89" s="154"/>
      <c r="AE89" s="154"/>
      <c r="AF89" s="154"/>
      <c r="AG89" s="154"/>
      <c r="AH89" s="154"/>
      <c r="AI89" s="154"/>
      <c r="AJ89" s="154"/>
      <c r="AK89" s="154"/>
      <c r="AL89" s="154"/>
      <c r="AM89" s="154"/>
      <c r="AN89" s="154"/>
      <c r="AO89" s="154"/>
      <c r="AP89" s="154"/>
      <c r="AQ89" s="154"/>
    </row>
    <row r="90" spans="1:43" ht="15.75">
      <c r="A90" s="154"/>
      <c r="B90" s="155"/>
      <c r="C90" s="155"/>
      <c r="D90" s="155"/>
      <c r="E90" s="155"/>
      <c r="F90" s="155"/>
      <c r="G90" s="155"/>
      <c r="H90" s="253"/>
      <c r="I90" s="253"/>
      <c r="J90" s="253"/>
      <c r="K90" s="253"/>
      <c r="L90" s="253"/>
      <c r="M90" s="155"/>
      <c r="N90" s="155"/>
      <c r="O90" s="155"/>
      <c r="P90" s="155"/>
      <c r="Q90" s="155"/>
      <c r="R90" s="155"/>
      <c r="S90" s="155"/>
      <c r="T90" s="155"/>
      <c r="U90" s="155"/>
      <c r="V90" s="155"/>
      <c r="W90" s="154"/>
      <c r="X90" s="154"/>
      <c r="Y90" s="154"/>
      <c r="Z90" s="154"/>
      <c r="AA90" s="154"/>
      <c r="AB90" s="154"/>
      <c r="AC90" s="154"/>
      <c r="AD90" s="154"/>
      <c r="AE90" s="154"/>
      <c r="AF90" s="154"/>
      <c r="AG90" s="154"/>
      <c r="AH90" s="154"/>
      <c r="AI90" s="154"/>
      <c r="AJ90" s="154"/>
      <c r="AK90" s="154"/>
      <c r="AL90" s="154"/>
      <c r="AM90" s="154"/>
      <c r="AN90" s="154"/>
      <c r="AO90" s="154"/>
      <c r="AP90" s="154"/>
      <c r="AQ90" s="154"/>
    </row>
    <row r="91" spans="1:43" ht="15.75">
      <c r="A91" s="154"/>
      <c r="B91" s="155"/>
      <c r="C91" s="155"/>
      <c r="D91" s="155"/>
      <c r="E91" s="155"/>
      <c r="F91" s="155"/>
      <c r="G91" s="155"/>
      <c r="H91" s="155"/>
      <c r="I91" s="446"/>
      <c r="J91" s="446"/>
      <c r="K91" s="446"/>
      <c r="L91" s="446"/>
      <c r="M91" s="155"/>
      <c r="N91" s="155"/>
      <c r="O91" s="155"/>
      <c r="P91" s="155"/>
      <c r="Q91" s="155"/>
      <c r="R91" s="155"/>
      <c r="S91" s="155"/>
      <c r="T91" s="155"/>
      <c r="U91" s="155"/>
      <c r="V91" s="155"/>
      <c r="W91" s="154"/>
      <c r="X91" s="154"/>
      <c r="Y91" s="154"/>
      <c r="Z91" s="154"/>
      <c r="AA91" s="154"/>
      <c r="AB91" s="154"/>
      <c r="AC91" s="154"/>
      <c r="AD91" s="154"/>
      <c r="AE91" s="154"/>
      <c r="AF91" s="154"/>
      <c r="AG91" s="154"/>
      <c r="AH91" s="154"/>
      <c r="AI91" s="154"/>
      <c r="AJ91" s="154"/>
      <c r="AK91" s="154"/>
      <c r="AL91" s="154"/>
      <c r="AM91" s="154"/>
      <c r="AN91" s="154"/>
      <c r="AO91" s="154"/>
      <c r="AP91" s="154"/>
      <c r="AQ91" s="154"/>
    </row>
    <row r="92" spans="1:43" ht="15.75">
      <c r="A92" s="154"/>
      <c r="B92" s="155"/>
      <c r="C92" s="155"/>
      <c r="D92" s="155"/>
      <c r="E92" s="155"/>
      <c r="F92" s="155"/>
      <c r="G92" s="155"/>
      <c r="H92" s="155"/>
      <c r="I92" s="155"/>
      <c r="J92" s="155"/>
      <c r="X92" s="154"/>
      <c r="Y92" s="154"/>
      <c r="Z92" s="154"/>
      <c r="AA92" s="154"/>
      <c r="AB92" s="154"/>
      <c r="AC92" s="154"/>
      <c r="AD92" s="154"/>
      <c r="AE92" s="154"/>
      <c r="AF92" s="154"/>
      <c r="AG92" s="154"/>
      <c r="AH92" s="154"/>
      <c r="AI92" s="154"/>
      <c r="AJ92" s="154"/>
      <c r="AK92" s="154"/>
      <c r="AL92" s="154"/>
      <c r="AM92" s="154"/>
      <c r="AN92" s="154"/>
      <c r="AO92" s="154"/>
      <c r="AP92" s="154"/>
      <c r="AQ92" s="154"/>
    </row>
    <row r="93" spans="1:43" ht="21" hidden="1" customHeight="1" outlineLevel="1">
      <c r="A93" s="163"/>
      <c r="B93" s="164"/>
      <c r="C93" s="164"/>
      <c r="D93" s="164"/>
      <c r="E93" s="164"/>
      <c r="F93" s="164"/>
      <c r="G93" s="164"/>
      <c r="H93" s="164"/>
      <c r="I93" s="164"/>
      <c r="J93" s="164"/>
      <c r="K93" s="164"/>
      <c r="L93" s="164"/>
      <c r="M93" s="164"/>
      <c r="N93" s="164"/>
      <c r="O93" s="164"/>
      <c r="P93" s="164"/>
      <c r="Q93" s="164"/>
      <c r="R93" s="164"/>
      <c r="S93" s="164"/>
      <c r="T93" s="164"/>
      <c r="U93" s="164"/>
      <c r="V93" s="164"/>
      <c r="X93" s="154"/>
      <c r="Y93" s="154"/>
      <c r="Z93" s="154"/>
      <c r="AA93" s="154"/>
      <c r="AB93" s="154"/>
      <c r="AC93" s="154"/>
      <c r="AD93" s="154"/>
      <c r="AE93" s="154"/>
      <c r="AF93" s="154"/>
      <c r="AG93" s="154"/>
      <c r="AH93" s="154"/>
      <c r="AI93" s="154"/>
      <c r="AJ93" s="154"/>
      <c r="AK93" s="154"/>
      <c r="AL93" s="154"/>
      <c r="AM93" s="154"/>
      <c r="AN93" s="154"/>
      <c r="AO93" s="154"/>
      <c r="AP93" s="154"/>
      <c r="AQ93" s="154"/>
    </row>
    <row r="94" spans="1:43" ht="15.75" hidden="1" outlineLevel="1">
      <c r="A94" s="154"/>
      <c r="B94" s="154"/>
      <c r="C94" s="154"/>
      <c r="D94" s="154"/>
      <c r="E94" s="154"/>
      <c r="F94" s="154"/>
      <c r="G94" s="154"/>
      <c r="H94" s="154"/>
      <c r="I94" s="154"/>
      <c r="J94" s="154"/>
      <c r="X94" s="154"/>
      <c r="Y94" s="154"/>
      <c r="Z94" s="154"/>
      <c r="AA94" s="154"/>
      <c r="AB94" s="154"/>
      <c r="AC94" s="154"/>
      <c r="AD94" s="154"/>
      <c r="AE94" s="154"/>
      <c r="AF94" s="154"/>
      <c r="AG94" s="154"/>
      <c r="AH94" s="154"/>
      <c r="AI94" s="154"/>
      <c r="AJ94" s="154"/>
      <c r="AK94" s="154"/>
      <c r="AL94" s="154"/>
      <c r="AM94" s="154"/>
      <c r="AN94" s="154"/>
      <c r="AO94" s="154"/>
      <c r="AP94" s="154"/>
      <c r="AQ94" s="154"/>
    </row>
    <row r="95" spans="1:43" ht="15.75" hidden="1" outlineLevel="1">
      <c r="A95" s="154" t="s">
        <v>1004</v>
      </c>
      <c r="B95" s="154"/>
      <c r="C95" s="154"/>
      <c r="D95" s="154"/>
      <c r="E95" s="154"/>
      <c r="F95" s="154"/>
      <c r="G95" s="154"/>
      <c r="H95" s="154"/>
      <c r="I95" s="154"/>
      <c r="J95" s="154"/>
      <c r="K95" s="451">
        <v>947</v>
      </c>
      <c r="L95" s="451">
        <f>K54*1.15-(K54*1.15)/2*0.15</f>
        <v>1062.1182074999999</v>
      </c>
      <c r="M95" s="451">
        <f t="shared" ref="M95:V95" si="72">L54*1.15-(L54*1.15)/2*0.05</f>
        <v>1181.558999495348</v>
      </c>
      <c r="N95" s="451">
        <f t="shared" si="72"/>
        <v>1272.0112870578362</v>
      </c>
      <c r="O95" s="451">
        <f t="shared" si="72"/>
        <v>1377.5965772647414</v>
      </c>
      <c r="P95" s="451">
        <f t="shared" si="72"/>
        <v>1467.9183132689795</v>
      </c>
      <c r="Q95" s="451">
        <f t="shared" si="72"/>
        <v>1564.7075201807581</v>
      </c>
      <c r="R95" s="451">
        <f t="shared" si="72"/>
        <v>1663.5468296687043</v>
      </c>
      <c r="S95" s="451">
        <f t="shared" si="72"/>
        <v>1758.211107067043</v>
      </c>
      <c r="T95" s="451">
        <f t="shared" si="72"/>
        <v>1852.84769901048</v>
      </c>
      <c r="U95" s="451">
        <f t="shared" si="72"/>
        <v>1952.5781528335685</v>
      </c>
      <c r="V95" s="451">
        <f t="shared" si="72"/>
        <v>2057.6766481989112</v>
      </c>
      <c r="W95" s="154"/>
      <c r="X95" s="154"/>
      <c r="Y95" s="154"/>
      <c r="Z95" s="154"/>
      <c r="AA95" s="154"/>
      <c r="AB95" s="154"/>
      <c r="AC95" s="154"/>
      <c r="AD95" s="154"/>
      <c r="AE95" s="154"/>
      <c r="AF95" s="154"/>
      <c r="AG95" s="154"/>
      <c r="AH95" s="154"/>
      <c r="AI95" s="154"/>
      <c r="AJ95" s="154"/>
      <c r="AK95" s="154"/>
      <c r="AL95" s="154"/>
      <c r="AM95" s="154"/>
      <c r="AN95" s="154"/>
      <c r="AO95" s="154"/>
      <c r="AP95" s="154"/>
      <c r="AQ95" s="154"/>
    </row>
    <row r="96" spans="1:43" ht="15.75" hidden="1" outlineLevel="1">
      <c r="A96" s="154"/>
      <c r="B96" s="154"/>
      <c r="C96" s="154"/>
      <c r="D96" s="154"/>
      <c r="E96" s="154"/>
      <c r="F96" s="154"/>
      <c r="G96" s="154"/>
      <c r="H96" s="154"/>
      <c r="I96" s="154"/>
      <c r="J96" s="154"/>
      <c r="X96" s="154"/>
      <c r="Y96" s="154"/>
      <c r="Z96" s="154"/>
      <c r="AA96" s="154"/>
      <c r="AB96" s="154"/>
      <c r="AC96" s="154"/>
      <c r="AD96" s="154"/>
      <c r="AE96" s="154"/>
      <c r="AF96" s="154"/>
      <c r="AG96" s="154"/>
      <c r="AH96" s="154"/>
      <c r="AI96" s="154"/>
      <c r="AJ96" s="154"/>
      <c r="AK96" s="154"/>
      <c r="AL96" s="154"/>
      <c r="AM96" s="154"/>
      <c r="AN96" s="154"/>
      <c r="AO96" s="154"/>
      <c r="AP96" s="154"/>
      <c r="AQ96" s="154"/>
    </row>
    <row r="97" spans="1:43" ht="15.75" hidden="1" outlineLevel="1">
      <c r="A97" s="154" t="s">
        <v>981</v>
      </c>
      <c r="B97" s="155"/>
      <c r="C97" s="554"/>
      <c r="D97" s="554"/>
      <c r="E97" s="554">
        <f t="shared" ref="E97:Q97" si="73">E54*E10</f>
        <v>307219.28300000005</v>
      </c>
      <c r="F97" s="554">
        <f t="shared" si="73"/>
        <v>332901.67248000001</v>
      </c>
      <c r="G97" s="554">
        <f t="shared" si="73"/>
        <v>391703.69554599997</v>
      </c>
      <c r="H97" s="554">
        <f t="shared" si="73"/>
        <v>458245.57452000002</v>
      </c>
      <c r="I97" s="554">
        <f t="shared" si="73"/>
        <v>572235.09625000006</v>
      </c>
      <c r="J97" s="554">
        <f t="shared" si="73"/>
        <v>881022.08908999991</v>
      </c>
      <c r="K97" s="554">
        <f t="shared" si="73"/>
        <v>1258067.1599999999</v>
      </c>
      <c r="L97" s="554">
        <f t="shared" si="73"/>
        <v>1561459.8556006483</v>
      </c>
      <c r="M97" s="554">
        <f t="shared" si="73"/>
        <v>1770087.5480762476</v>
      </c>
      <c r="N97" s="554">
        <f t="shared" si="73"/>
        <v>2018618.3101058702</v>
      </c>
      <c r="O97" s="554">
        <f t="shared" si="73"/>
        <v>2264969.7857842403</v>
      </c>
      <c r="P97" s="554">
        <f t="shared" si="73"/>
        <v>2542272.2992660962</v>
      </c>
      <c r="Q97" s="554">
        <f t="shared" si="73"/>
        <v>2846114.0401082453</v>
      </c>
      <c r="R97" s="554">
        <f t="shared" ref="R97:V97" si="74">R54*R10</f>
        <v>3167500.2453426174</v>
      </c>
      <c r="S97" s="554">
        <f t="shared" si="74"/>
        <v>3514906.1338776159</v>
      </c>
      <c r="T97" s="554">
        <f t="shared" si="74"/>
        <v>3900414.8928279378</v>
      </c>
      <c r="U97" s="554">
        <f t="shared" si="74"/>
        <v>4328205.5783978645</v>
      </c>
      <c r="V97" s="554">
        <f t="shared" si="74"/>
        <v>4802915.598369089</v>
      </c>
      <c r="W97" s="154"/>
      <c r="X97" s="540"/>
      <c r="Y97" s="154"/>
      <c r="Z97" s="154"/>
      <c r="AA97" s="154"/>
      <c r="AB97" s="154"/>
      <c r="AC97" s="154"/>
      <c r="AD97" s="154"/>
      <c r="AE97" s="154"/>
      <c r="AF97" s="154"/>
      <c r="AG97" s="154"/>
      <c r="AH97" s="154"/>
      <c r="AI97" s="154"/>
      <c r="AJ97" s="154"/>
      <c r="AK97" s="154"/>
      <c r="AL97" s="154"/>
      <c r="AM97" s="154"/>
      <c r="AN97" s="154"/>
      <c r="AO97" s="154"/>
      <c r="AP97" s="154"/>
      <c r="AQ97" s="154"/>
    </row>
    <row r="98" spans="1:43" ht="15.75" hidden="1" outlineLevel="1">
      <c r="A98" s="154" t="s">
        <v>633</v>
      </c>
      <c r="B98" s="155"/>
      <c r="C98" s="155"/>
      <c r="D98" s="155"/>
      <c r="E98" s="155"/>
      <c r="F98" s="446">
        <f>F97/E97-1</f>
        <v>8.3596280901417019E-2</v>
      </c>
      <c r="G98" s="446">
        <f t="shared" ref="G98:V98" si="75">G97/F97-1</f>
        <v>0.17663480819410027</v>
      </c>
      <c r="H98" s="446">
        <f t="shared" si="75"/>
        <v>0.1698780984980155</v>
      </c>
      <c r="I98" s="446">
        <f t="shared" si="75"/>
        <v>0.24875204053940081</v>
      </c>
      <c r="J98" s="446">
        <f t="shared" si="75"/>
        <v>0.53961561404317626</v>
      </c>
      <c r="K98" s="446">
        <f t="shared" si="75"/>
        <v>0.42796324357706705</v>
      </c>
      <c r="L98" s="446">
        <f t="shared" si="75"/>
        <v>0.24115778970070911</v>
      </c>
      <c r="M98" s="446">
        <f t="shared" si="75"/>
        <v>0.13361066679190814</v>
      </c>
      <c r="N98" s="446">
        <f t="shared" si="75"/>
        <v>0.14040591511969502</v>
      </c>
      <c r="O98" s="446">
        <f t="shared" si="75"/>
        <v>0.12203965179799137</v>
      </c>
      <c r="P98" s="446">
        <f t="shared" si="75"/>
        <v>0.12243099895738374</v>
      </c>
      <c r="Q98" s="446">
        <f t="shared" si="75"/>
        <v>0.11951581305034176</v>
      </c>
      <c r="R98" s="446">
        <f t="shared" si="75"/>
        <v>0.11292105681828146</v>
      </c>
      <c r="S98" s="446">
        <f t="shared" si="75"/>
        <v>0.10967825149999966</v>
      </c>
      <c r="T98" s="446">
        <f t="shared" si="75"/>
        <v>0.1096782515000001</v>
      </c>
      <c r="U98" s="446">
        <f t="shared" si="75"/>
        <v>0.10967825149999966</v>
      </c>
      <c r="V98" s="446">
        <f t="shared" si="75"/>
        <v>0.1096782515000001</v>
      </c>
      <c r="W98" s="154"/>
      <c r="X98" s="540"/>
      <c r="Y98" s="154"/>
      <c r="Z98" s="154"/>
      <c r="AA98" s="154"/>
      <c r="AB98" s="154"/>
      <c r="AC98" s="154"/>
      <c r="AD98" s="154"/>
      <c r="AE98" s="154"/>
      <c r="AF98" s="154"/>
      <c r="AG98" s="154"/>
      <c r="AH98" s="154"/>
      <c r="AI98" s="154"/>
      <c r="AJ98" s="154"/>
      <c r="AK98" s="154"/>
      <c r="AL98" s="154"/>
      <c r="AM98" s="154"/>
      <c r="AN98" s="154"/>
      <c r="AO98" s="154"/>
      <c r="AP98" s="154"/>
      <c r="AQ98" s="154"/>
    </row>
    <row r="99" spans="1:43" ht="15.75" hidden="1" outlineLevel="1">
      <c r="A99" s="154"/>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c r="AA99" s="154"/>
      <c r="AB99" s="154"/>
      <c r="AC99" s="154"/>
      <c r="AD99" s="154"/>
      <c r="AE99" s="154"/>
      <c r="AF99" s="154"/>
      <c r="AG99" s="154"/>
      <c r="AH99" s="154"/>
      <c r="AI99" s="154"/>
      <c r="AJ99" s="154"/>
      <c r="AK99" s="154"/>
      <c r="AL99" s="154"/>
      <c r="AM99" s="154"/>
      <c r="AN99" s="154"/>
      <c r="AO99" s="154"/>
      <c r="AP99" s="154"/>
      <c r="AQ99" s="154"/>
    </row>
    <row r="100" spans="1:43" ht="15.75" hidden="1" outlineLevel="1">
      <c r="A100" s="154"/>
      <c r="B100" s="154"/>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row>
    <row r="101" spans="1:43" ht="15.75" hidden="1" outlineLevel="1">
      <c r="A101" s="154"/>
      <c r="B101" s="154"/>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154"/>
      <c r="AA101" s="154"/>
      <c r="AB101" s="154"/>
      <c r="AC101" s="154"/>
      <c r="AD101" s="154"/>
      <c r="AE101" s="154"/>
      <c r="AF101" s="154"/>
      <c r="AG101" s="154"/>
      <c r="AH101" s="154"/>
      <c r="AI101" s="154"/>
      <c r="AJ101" s="154"/>
      <c r="AK101" s="154"/>
      <c r="AL101" s="154"/>
      <c r="AM101" s="154"/>
      <c r="AN101" s="154"/>
      <c r="AO101" s="154"/>
      <c r="AP101" s="154"/>
      <c r="AQ101" s="154"/>
    </row>
    <row r="102" spans="1:43" ht="15.75" hidden="1" outlineLevel="1">
      <c r="A102" s="154"/>
      <c r="B102" s="154"/>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c r="AA102" s="154"/>
      <c r="AB102" s="154"/>
      <c r="AC102" s="154"/>
      <c r="AD102" s="154"/>
      <c r="AE102" s="154"/>
      <c r="AF102" s="154"/>
      <c r="AG102" s="154"/>
      <c r="AH102" s="154"/>
      <c r="AI102" s="154"/>
      <c r="AJ102" s="154"/>
      <c r="AK102" s="154"/>
      <c r="AL102" s="154"/>
      <c r="AM102" s="154"/>
      <c r="AN102" s="154"/>
      <c r="AO102" s="154"/>
      <c r="AP102" s="154"/>
      <c r="AQ102" s="154"/>
    </row>
    <row r="103" spans="1:43" ht="15.75" hidden="1" outlineLevel="1">
      <c r="A103" s="154"/>
      <c r="B103" s="154"/>
      <c r="C103" s="154"/>
      <c r="D103" s="154"/>
      <c r="E103" s="553">
        <v>360.11500000000001</v>
      </c>
      <c r="F103" s="553">
        <v>359.64</v>
      </c>
      <c r="G103" s="553">
        <v>377.37</v>
      </c>
      <c r="H103" s="553">
        <v>399.4425</v>
      </c>
      <c r="I103" s="553">
        <v>423.03250000000003</v>
      </c>
      <c r="J103" s="553">
        <v>638.25</v>
      </c>
      <c r="K103" s="553">
        <v>914.57280000000003</v>
      </c>
      <c r="L103" s="553">
        <v>951.15571200000011</v>
      </c>
      <c r="M103" s="553">
        <v>989.20194048000019</v>
      </c>
      <c r="N103" s="553">
        <v>1028.7700180992003</v>
      </c>
      <c r="O103" s="553">
        <v>1069.9208188231682</v>
      </c>
      <c r="P103" s="553">
        <v>1112.7176515760952</v>
      </c>
      <c r="Q103" s="553">
        <v>1157.226357639139</v>
      </c>
      <c r="R103" s="553">
        <v>1157.226357639139</v>
      </c>
      <c r="S103" s="553">
        <v>1157.226357639139</v>
      </c>
      <c r="T103" s="553">
        <v>1157.226357639139</v>
      </c>
      <c r="U103" s="553">
        <v>1157.226357639139</v>
      </c>
      <c r="V103" s="553">
        <v>1157.226357639139</v>
      </c>
      <c r="W103" s="553">
        <v>1203.5154119447047</v>
      </c>
      <c r="X103" s="154"/>
      <c r="Y103" s="154"/>
      <c r="Z103" s="154"/>
      <c r="AA103" s="154"/>
      <c r="AB103" s="154"/>
      <c r="AC103" s="154"/>
      <c r="AD103" s="154"/>
      <c r="AE103" s="154"/>
      <c r="AF103" s="154"/>
      <c r="AG103" s="154"/>
      <c r="AH103" s="154"/>
      <c r="AI103" s="154"/>
      <c r="AJ103" s="154"/>
      <c r="AK103" s="154"/>
      <c r="AL103" s="154"/>
      <c r="AM103" s="154"/>
      <c r="AN103" s="154"/>
      <c r="AO103" s="154"/>
      <c r="AP103" s="154"/>
      <c r="AQ103" s="154"/>
    </row>
    <row r="104" spans="1:43" ht="15.75" hidden="1" outlineLevel="1">
      <c r="A104" s="154"/>
      <c r="B104" s="154"/>
      <c r="C104" s="154"/>
      <c r="D104" s="154"/>
      <c r="E104" s="253">
        <f t="shared" ref="E104:Q104" si="76">E54*E103</f>
        <v>307070.06050000002</v>
      </c>
      <c r="F104" s="253">
        <f t="shared" si="76"/>
        <v>332920.18655999994</v>
      </c>
      <c r="G104" s="253">
        <f t="shared" si="76"/>
        <v>391648.17132000002</v>
      </c>
      <c r="H104" s="253">
        <f t="shared" si="76"/>
        <v>458053.49690999999</v>
      </c>
      <c r="I104" s="253">
        <f t="shared" si="76"/>
        <v>572109.9990650001</v>
      </c>
      <c r="J104" s="253">
        <f t="shared" si="76"/>
        <v>881823.43274999992</v>
      </c>
      <c r="K104" s="253">
        <f t="shared" si="76"/>
        <v>913169.8453248</v>
      </c>
      <c r="L104" s="253">
        <f t="shared" si="76"/>
        <v>1002315.8006109302</v>
      </c>
      <c r="M104" s="253">
        <f t="shared" si="76"/>
        <v>1122208.2795719726</v>
      </c>
      <c r="N104" s="253">
        <f t="shared" si="76"/>
        <v>1263973.2938470857</v>
      </c>
      <c r="O104" s="253">
        <f t="shared" si="76"/>
        <v>1400719.1649482904</v>
      </c>
      <c r="P104" s="253">
        <f t="shared" si="76"/>
        <v>1552800.6040213951</v>
      </c>
      <c r="Q104" s="253">
        <f t="shared" si="76"/>
        <v>1716923.2895961222</v>
      </c>
      <c r="R104" s="253">
        <f t="shared" ref="R104:V104" si="77">R54*R103</f>
        <v>1814624.9591008897</v>
      </c>
      <c r="S104" s="253">
        <f t="shared" si="77"/>
        <v>1912298.0548369745</v>
      </c>
      <c r="T104" s="253">
        <f t="shared" si="77"/>
        <v>2015228.453787602</v>
      </c>
      <c r="U104" s="253">
        <f t="shared" si="77"/>
        <v>2123699.132926946</v>
      </c>
      <c r="V104" s="253">
        <f t="shared" si="77"/>
        <v>2238008.3006063057</v>
      </c>
      <c r="W104" s="253"/>
      <c r="X104" s="154"/>
      <c r="Y104" s="154"/>
      <c r="Z104" s="154"/>
      <c r="AA104" s="154"/>
      <c r="AB104" s="154"/>
      <c r="AC104" s="154"/>
      <c r="AD104" s="154"/>
      <c r="AE104" s="154"/>
      <c r="AF104" s="154"/>
      <c r="AG104" s="154"/>
      <c r="AH104" s="154"/>
      <c r="AI104" s="154"/>
      <c r="AJ104" s="154"/>
      <c r="AK104" s="154"/>
      <c r="AL104" s="154"/>
      <c r="AM104" s="154"/>
      <c r="AN104" s="154"/>
      <c r="AO104" s="154"/>
      <c r="AP104" s="154"/>
      <c r="AQ104" s="154"/>
    </row>
    <row r="105" spans="1:43" ht="15.75" hidden="1" outlineLevel="1">
      <c r="A105" s="154"/>
      <c r="B105" s="154"/>
      <c r="C105" s="154"/>
      <c r="D105" s="154"/>
      <c r="E105" s="154"/>
      <c r="F105" s="165">
        <f>F104/E104-1</f>
        <v>8.4183153570583702E-2</v>
      </c>
      <c r="G105" s="165">
        <f t="shared" ref="G105:V105" si="78">G104/F104-1</f>
        <v>0.17640259476850906</v>
      </c>
      <c r="H105" s="165">
        <f t="shared" si="78"/>
        <v>0.16955351882836411</v>
      </c>
      <c r="I105" s="165">
        <f t="shared" si="78"/>
        <v>0.24900257922801172</v>
      </c>
      <c r="J105" s="165">
        <f t="shared" si="78"/>
        <v>0.54135294644590171</v>
      </c>
      <c r="K105" s="165">
        <f t="shared" si="78"/>
        <v>3.5547266505546515E-2</v>
      </c>
      <c r="L105" s="165">
        <f t="shared" si="78"/>
        <v>9.762253510947061E-2</v>
      </c>
      <c r="M105" s="165">
        <f t="shared" si="78"/>
        <v>0.11961547337472456</v>
      </c>
      <c r="N105" s="165">
        <f t="shared" si="78"/>
        <v>0.12632682974784726</v>
      </c>
      <c r="O105" s="165">
        <f t="shared" si="78"/>
        <v>0.10818731041776908</v>
      </c>
      <c r="P105" s="165">
        <f t="shared" si="78"/>
        <v>0.10857382613074984</v>
      </c>
      <c r="Q105" s="165">
        <f t="shared" si="78"/>
        <v>0.10569463017317693</v>
      </c>
      <c r="R105" s="165">
        <f t="shared" si="78"/>
        <v>5.6905087196848614E-2</v>
      </c>
      <c r="S105" s="165">
        <f t="shared" si="78"/>
        <v>5.382549999999986E-2</v>
      </c>
      <c r="T105" s="165">
        <f t="shared" si="78"/>
        <v>5.3825500000000082E-2</v>
      </c>
      <c r="U105" s="165">
        <f t="shared" si="78"/>
        <v>5.3825499999999638E-2</v>
      </c>
      <c r="V105" s="165">
        <f t="shared" si="78"/>
        <v>5.3825500000000082E-2</v>
      </c>
      <c r="W105" s="154"/>
      <c r="X105" s="154"/>
      <c r="Y105" s="154"/>
      <c r="Z105" s="154"/>
      <c r="AA105" s="154"/>
      <c r="AB105" s="154"/>
      <c r="AC105" s="154"/>
      <c r="AD105" s="154"/>
      <c r="AE105" s="154"/>
      <c r="AF105" s="154"/>
      <c r="AG105" s="154"/>
      <c r="AH105" s="154"/>
      <c r="AI105" s="154"/>
      <c r="AJ105" s="154"/>
      <c r="AK105" s="154"/>
      <c r="AL105" s="154"/>
      <c r="AM105" s="154"/>
      <c r="AN105" s="154"/>
      <c r="AO105" s="154"/>
      <c r="AP105" s="154"/>
      <c r="AQ105" s="154"/>
    </row>
    <row r="106" spans="1:43" ht="15.75" hidden="1" outlineLevel="1">
      <c r="A106" s="154"/>
      <c r="B106" s="154"/>
      <c r="C106" s="154"/>
      <c r="D106" s="154"/>
      <c r="E106" s="154"/>
      <c r="F106" s="253">
        <f>(F104*1000*1000)/AVERAGE(F39,E39)/3</f>
        <v>4693710.4225352099</v>
      </c>
      <c r="G106" s="253">
        <f>(G104*1000*1000)/AVERAGE(G39,F39)/3</f>
        <v>5325286.1692841128</v>
      </c>
      <c r="H106" s="253">
        <f>(H104*1000*1000)/AVERAGE(H39,G39)/3</f>
        <v>6052303.9924685359</v>
      </c>
      <c r="I106" s="253">
        <f>(I104*1000*1000)/AVERAGE(I39,H39)/3</f>
        <v>7358659.2202221313</v>
      </c>
      <c r="J106" s="154"/>
      <c r="K106" s="154"/>
      <c r="L106" s="154"/>
      <c r="M106" s="154"/>
      <c r="N106" s="154"/>
      <c r="O106" s="154"/>
      <c r="P106" s="154"/>
      <c r="Q106" s="154"/>
      <c r="R106" s="154"/>
      <c r="S106" s="154"/>
      <c r="T106" s="154"/>
      <c r="U106" s="154"/>
      <c r="V106" s="154"/>
      <c r="W106" s="154"/>
      <c r="X106" s="154"/>
      <c r="Y106" s="154"/>
      <c r="Z106" s="154"/>
      <c r="AA106" s="154"/>
      <c r="AB106" s="154"/>
      <c r="AC106" s="154"/>
      <c r="AD106" s="154"/>
      <c r="AE106" s="154"/>
      <c r="AF106" s="154"/>
      <c r="AG106" s="154"/>
      <c r="AH106" s="154"/>
      <c r="AI106" s="154"/>
      <c r="AJ106" s="154"/>
      <c r="AK106" s="154"/>
      <c r="AL106" s="154"/>
      <c r="AM106" s="154"/>
      <c r="AN106" s="154"/>
      <c r="AO106" s="154"/>
      <c r="AP106" s="154"/>
      <c r="AQ106" s="154"/>
    </row>
    <row r="107" spans="1:43" ht="15.75" hidden="1" outlineLevel="1">
      <c r="A107" s="154"/>
      <c r="B107" s="154"/>
      <c r="C107" s="154"/>
      <c r="D107" s="154"/>
      <c r="E107" s="154"/>
      <c r="F107" s="154"/>
      <c r="G107" s="165">
        <f t="shared" ref="G107:H107" si="79">G106/F106-1</f>
        <v>0.13455788489136711</v>
      </c>
      <c r="H107" s="165">
        <f t="shared" si="79"/>
        <v>0.13652183189286848</v>
      </c>
      <c r="I107" s="165">
        <f>I106/H106-1</f>
        <v>0.21584428498291208</v>
      </c>
      <c r="J107" s="154"/>
      <c r="K107" s="154"/>
      <c r="L107" s="154"/>
      <c r="M107" s="154"/>
      <c r="N107" s="154"/>
      <c r="O107" s="154"/>
      <c r="P107" s="154"/>
      <c r="Q107" s="154"/>
      <c r="R107" s="154"/>
      <c r="S107" s="154"/>
      <c r="T107" s="154"/>
      <c r="U107" s="154"/>
      <c r="V107" s="154"/>
      <c r="W107" s="154"/>
      <c r="X107" s="154"/>
      <c r="Y107" s="154"/>
      <c r="Z107" s="154"/>
      <c r="AA107" s="154"/>
      <c r="AB107" s="154"/>
      <c r="AC107" s="154"/>
      <c r="AD107" s="154"/>
      <c r="AE107" s="154"/>
      <c r="AF107" s="154"/>
      <c r="AG107" s="154"/>
      <c r="AH107" s="154"/>
      <c r="AI107" s="154"/>
      <c r="AJ107" s="154"/>
      <c r="AK107" s="154"/>
      <c r="AL107" s="154"/>
      <c r="AM107" s="154"/>
      <c r="AN107" s="154"/>
      <c r="AO107" s="154"/>
      <c r="AP107" s="154"/>
      <c r="AQ107" s="154"/>
    </row>
    <row r="108" spans="1:43" ht="15.75" hidden="1" outlineLevel="1">
      <c r="A108" s="154"/>
      <c r="B108" s="154"/>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c r="AA108" s="154"/>
      <c r="AB108" s="154"/>
      <c r="AC108" s="154"/>
      <c r="AD108" s="154"/>
      <c r="AE108" s="154"/>
      <c r="AF108" s="154"/>
      <c r="AG108" s="154"/>
      <c r="AH108" s="154"/>
      <c r="AI108" s="154"/>
      <c r="AJ108" s="154"/>
      <c r="AK108" s="154"/>
      <c r="AL108" s="154"/>
      <c r="AM108" s="154"/>
      <c r="AN108" s="154"/>
      <c r="AO108" s="154"/>
      <c r="AP108" s="154"/>
      <c r="AQ108" s="154"/>
    </row>
    <row r="109" spans="1:43" ht="15.75" hidden="1" outlineLevel="1">
      <c r="A109" s="154"/>
      <c r="B109" s="154"/>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154"/>
      <c r="Z109" s="154"/>
      <c r="AA109" s="154"/>
      <c r="AB109" s="154"/>
      <c r="AC109" s="154"/>
      <c r="AD109" s="154"/>
      <c r="AE109" s="154"/>
      <c r="AF109" s="154"/>
      <c r="AG109" s="154"/>
      <c r="AH109" s="154"/>
      <c r="AI109" s="154"/>
      <c r="AJ109" s="154"/>
      <c r="AK109" s="154"/>
      <c r="AL109" s="154"/>
      <c r="AM109" s="154"/>
      <c r="AN109" s="154"/>
      <c r="AO109" s="154"/>
      <c r="AP109" s="154"/>
      <c r="AQ109" s="154"/>
    </row>
    <row r="110" spans="1:43" ht="15.75" hidden="1" outlineLevel="1">
      <c r="A110" s="154"/>
      <c r="B110" s="154"/>
      <c r="C110" s="154"/>
      <c r="D110" s="154"/>
      <c r="E110" s="153"/>
      <c r="F110" s="153"/>
      <c r="G110" s="736">
        <v>2022</v>
      </c>
      <c r="H110" s="736">
        <v>2023</v>
      </c>
      <c r="I110" s="736">
        <v>2024</v>
      </c>
      <c r="J110" s="153"/>
      <c r="K110" s="153"/>
      <c r="L110" s="153"/>
      <c r="M110" s="154"/>
      <c r="N110" s="154"/>
      <c r="O110" s="154"/>
      <c r="P110" s="154"/>
      <c r="Q110" s="154"/>
      <c r="R110" s="154"/>
      <c r="S110" s="154"/>
      <c r="T110" s="154"/>
      <c r="U110" s="154"/>
      <c r="V110" s="154"/>
      <c r="W110" s="154"/>
      <c r="X110" s="154"/>
      <c r="Y110" s="154"/>
      <c r="Z110" s="154"/>
      <c r="AA110" s="154"/>
      <c r="AB110" s="154"/>
      <c r="AC110" s="154"/>
      <c r="AD110" s="154"/>
      <c r="AE110" s="154"/>
      <c r="AF110" s="154"/>
      <c r="AG110" s="154"/>
      <c r="AH110" s="154"/>
      <c r="AI110" s="154"/>
      <c r="AJ110" s="154"/>
      <c r="AK110" s="154"/>
      <c r="AL110" s="154"/>
      <c r="AM110" s="154"/>
      <c r="AN110" s="154"/>
      <c r="AO110" s="154"/>
      <c r="AP110" s="154"/>
      <c r="AQ110" s="154"/>
    </row>
    <row r="111" spans="1:43" ht="15.75" hidden="1" outlineLevel="1">
      <c r="A111" s="154"/>
      <c r="B111" s="154"/>
      <c r="C111" s="154"/>
      <c r="D111" s="154"/>
      <c r="E111" s="153"/>
      <c r="F111" s="155" t="s">
        <v>969</v>
      </c>
      <c r="G111" s="554">
        <f>I54*I10</f>
        <v>572235.09625000006</v>
      </c>
      <c r="H111" s="554">
        <f>J54*J10</f>
        <v>881022.08908999991</v>
      </c>
      <c r="I111" s="155"/>
      <c r="J111" s="554"/>
      <c r="K111" s="153"/>
      <c r="L111" s="153"/>
      <c r="M111" s="154"/>
      <c r="N111" s="154"/>
      <c r="O111" s="154"/>
      <c r="P111" s="154"/>
      <c r="Q111" s="154"/>
      <c r="R111" s="154"/>
      <c r="S111" s="154"/>
      <c r="T111" s="154"/>
      <c r="U111" s="154"/>
      <c r="V111" s="154"/>
      <c r="W111" s="154"/>
      <c r="X111" s="154"/>
      <c r="Y111" s="154"/>
      <c r="Z111" s="154"/>
      <c r="AA111" s="154"/>
      <c r="AB111" s="154"/>
      <c r="AC111" s="154"/>
      <c r="AD111" s="154"/>
      <c r="AE111" s="154"/>
      <c r="AF111" s="154"/>
      <c r="AG111" s="154"/>
      <c r="AH111" s="154"/>
      <c r="AI111" s="154"/>
      <c r="AJ111" s="154"/>
      <c r="AK111" s="154"/>
      <c r="AL111" s="154"/>
      <c r="AM111" s="154"/>
      <c r="AN111" s="154"/>
      <c r="AO111" s="154"/>
      <c r="AP111" s="154"/>
      <c r="AQ111" s="154"/>
    </row>
    <row r="112" spans="1:43" ht="15.75" hidden="1" outlineLevel="1">
      <c r="A112" s="154"/>
      <c r="B112" s="154"/>
      <c r="C112" s="154"/>
      <c r="D112" s="154"/>
      <c r="E112" s="155" t="s">
        <v>966</v>
      </c>
      <c r="F112" s="162">
        <v>0.5</v>
      </c>
      <c r="G112" s="554">
        <f>0.5*G111</f>
        <v>286117.54812500003</v>
      </c>
      <c r="H112" s="554">
        <f>0.5*H111</f>
        <v>440511.04454499995</v>
      </c>
      <c r="K112" s="153"/>
      <c r="M112" s="154"/>
      <c r="N112" s="154"/>
      <c r="O112" s="154"/>
      <c r="P112" s="154"/>
      <c r="Q112" s="154"/>
      <c r="R112" s="154"/>
      <c r="S112" s="154"/>
      <c r="T112" s="154"/>
      <c r="U112" s="154"/>
      <c r="V112" s="154"/>
      <c r="W112" s="154"/>
      <c r="X112" s="154"/>
      <c r="Y112" s="154"/>
      <c r="Z112" s="154"/>
      <c r="AA112" s="154"/>
      <c r="AB112" s="154"/>
      <c r="AC112" s="154"/>
      <c r="AD112" s="154"/>
      <c r="AE112" s="154"/>
      <c r="AF112" s="154"/>
      <c r="AG112" s="154"/>
      <c r="AH112" s="154"/>
      <c r="AI112" s="154"/>
      <c r="AJ112" s="154"/>
      <c r="AK112" s="154"/>
      <c r="AL112" s="154"/>
      <c r="AM112" s="154"/>
      <c r="AN112" s="154"/>
      <c r="AO112" s="154"/>
      <c r="AP112" s="154"/>
      <c r="AQ112" s="154"/>
    </row>
    <row r="113" spans="1:43" ht="15.75" hidden="1" outlineLevel="1">
      <c r="A113" s="154"/>
      <c r="B113" s="154"/>
      <c r="C113" s="154"/>
      <c r="D113" s="154"/>
      <c r="E113" s="155" t="s">
        <v>967</v>
      </c>
      <c r="F113" s="162">
        <v>0.5</v>
      </c>
      <c r="G113" s="554">
        <f>G111-G112</f>
        <v>286117.54812500003</v>
      </c>
      <c r="H113" s="554">
        <f>H111-H112</f>
        <v>440511.04454499995</v>
      </c>
      <c r="K113" s="153"/>
      <c r="M113" s="154"/>
      <c r="N113" s="154"/>
      <c r="O113" s="154"/>
      <c r="P113" s="154"/>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row>
    <row r="114" spans="1:43" ht="15.75" hidden="1" outlineLevel="1">
      <c r="A114" s="154"/>
      <c r="B114" s="154"/>
      <c r="C114" s="154"/>
      <c r="D114" s="154"/>
      <c r="E114" s="153"/>
      <c r="F114" s="155"/>
      <c r="G114" s="155"/>
      <c r="H114" s="554"/>
      <c r="I114" s="155"/>
      <c r="K114" s="737">
        <f>-750*J43/1000000*12</f>
        <v>-39.687479652999869</v>
      </c>
      <c r="L114" s="1" t="s">
        <v>972</v>
      </c>
      <c r="M114" s="154"/>
      <c r="N114" s="154"/>
      <c r="O114" s="154"/>
      <c r="P114" s="154"/>
      <c r="Q114" s="154"/>
      <c r="R114" s="154"/>
      <c r="S114" s="154"/>
      <c r="T114" s="154"/>
      <c r="U114" s="154"/>
      <c r="V114" s="154"/>
      <c r="W114" s="154"/>
      <c r="X114" s="154"/>
      <c r="Y114" s="154"/>
      <c r="Z114" s="154"/>
      <c r="AA114" s="154"/>
      <c r="AB114" s="154"/>
      <c r="AC114" s="154"/>
      <c r="AD114" s="154"/>
      <c r="AE114" s="154"/>
      <c r="AF114" s="154"/>
      <c r="AG114" s="154"/>
      <c r="AH114" s="154"/>
      <c r="AI114" s="154"/>
      <c r="AJ114" s="154"/>
      <c r="AK114" s="154"/>
      <c r="AL114" s="154"/>
      <c r="AM114" s="154"/>
      <c r="AN114" s="154"/>
      <c r="AO114" s="154"/>
      <c r="AP114" s="154"/>
      <c r="AQ114" s="154"/>
    </row>
    <row r="115" spans="1:43" ht="15.75" hidden="1" outlineLevel="1">
      <c r="A115" s="153"/>
      <c r="B115" s="153"/>
      <c r="C115" s="153"/>
      <c r="D115" s="153"/>
      <c r="E115" s="153"/>
      <c r="F115" s="155" t="s">
        <v>970</v>
      </c>
      <c r="G115" s="554">
        <f>G112*1.25</f>
        <v>357646.93515625002</v>
      </c>
      <c r="H115" s="30">
        <f>G115/638</f>
        <v>560.57513347374606</v>
      </c>
      <c r="I115" s="155"/>
      <c r="J115" s="554">
        <f>H112*1.23</f>
        <v>541828.58479034994</v>
      </c>
      <c r="K115" s="30">
        <f>J115/1260</f>
        <v>430.02268634154757</v>
      </c>
      <c r="M115" s="153"/>
      <c r="N115" s="153"/>
      <c r="O115" s="153"/>
      <c r="P115" s="153"/>
      <c r="Q115" s="153"/>
      <c r="R115" s="153"/>
      <c r="S115" s="153"/>
      <c r="T115" s="153"/>
      <c r="U115" s="153"/>
      <c r="V115" s="153"/>
      <c r="W115" s="153"/>
      <c r="X115" s="153"/>
      <c r="Y115" s="153"/>
      <c r="Z115" s="153"/>
      <c r="AA115" s="153"/>
      <c r="AB115" s="153"/>
      <c r="AC115" s="153"/>
      <c r="AD115" s="153"/>
      <c r="AE115" s="153"/>
      <c r="AF115" s="153"/>
    </row>
    <row r="116" spans="1:43" ht="15.75" hidden="1" outlineLevel="1">
      <c r="A116" s="153"/>
      <c r="B116" s="153"/>
      <c r="C116" s="153"/>
      <c r="D116" s="153"/>
      <c r="E116" s="153"/>
      <c r="F116" s="155" t="s">
        <v>970</v>
      </c>
      <c r="G116" s="554">
        <f>G113*1.25</f>
        <v>357646.93515625002</v>
      </c>
      <c r="H116" s="30">
        <f>G116/638</f>
        <v>560.57513347374606</v>
      </c>
      <c r="I116" s="155"/>
      <c r="J116" s="554">
        <f>H113*1.23</f>
        <v>541828.58479034994</v>
      </c>
      <c r="K116" s="30">
        <f>J116/1260</f>
        <v>430.02268634154757</v>
      </c>
      <c r="L116" s="153"/>
      <c r="M116" s="153"/>
      <c r="N116" s="153"/>
      <c r="O116" s="153"/>
      <c r="P116" s="153"/>
      <c r="Q116" s="153"/>
      <c r="R116" s="153"/>
      <c r="S116" s="153"/>
      <c r="T116" s="153"/>
      <c r="U116" s="153"/>
      <c r="V116" s="153"/>
      <c r="W116" s="153"/>
      <c r="X116" s="153"/>
      <c r="Y116" s="153"/>
      <c r="Z116" s="153"/>
      <c r="AA116" s="153"/>
      <c r="AB116" s="153"/>
      <c r="AC116" s="153"/>
      <c r="AD116" s="153"/>
      <c r="AE116" s="153"/>
      <c r="AF116" s="153"/>
    </row>
    <row r="117" spans="1:43" ht="15.75" hidden="1" outlineLevel="1">
      <c r="A117" s="153"/>
      <c r="B117" s="153"/>
      <c r="C117" s="153"/>
      <c r="D117" s="153"/>
      <c r="E117" s="153"/>
      <c r="F117" s="554" t="s">
        <v>971</v>
      </c>
      <c r="G117" s="554"/>
      <c r="H117" s="1">
        <v>263</v>
      </c>
      <c r="J117" s="554"/>
      <c r="K117" s="1">
        <v>780</v>
      </c>
      <c r="L117" s="153"/>
      <c r="M117" s="153"/>
      <c r="N117" s="153"/>
      <c r="O117" s="153"/>
      <c r="P117" s="153"/>
      <c r="Q117" s="153"/>
      <c r="R117" s="153"/>
      <c r="S117" s="153"/>
      <c r="T117" s="153"/>
      <c r="U117" s="153"/>
      <c r="V117" s="153"/>
      <c r="W117" s="153"/>
      <c r="X117" s="153"/>
      <c r="Y117" s="153"/>
      <c r="Z117" s="153"/>
      <c r="AA117" s="153"/>
      <c r="AB117" s="153"/>
      <c r="AC117" s="153"/>
      <c r="AD117" s="153"/>
      <c r="AE117" s="153"/>
      <c r="AF117" s="153"/>
    </row>
    <row r="118" spans="1:43" ht="15.75" hidden="1" outlineLevel="1">
      <c r="A118" s="153"/>
      <c r="B118" s="153"/>
      <c r="C118" s="153"/>
      <c r="D118" s="153"/>
      <c r="E118" s="153"/>
      <c r="F118" s="554"/>
      <c r="G118" s="554"/>
      <c r="H118" s="735">
        <f>H115+H116+H117</f>
        <v>1384.1502669474921</v>
      </c>
      <c r="J118" s="554"/>
      <c r="K118" s="735">
        <f>K115+K116+K117</f>
        <v>1640.0453726830951</v>
      </c>
      <c r="L118" s="153"/>
      <c r="M118" s="153"/>
      <c r="N118" s="153"/>
      <c r="O118" s="153"/>
      <c r="P118" s="153"/>
      <c r="Q118" s="153"/>
      <c r="R118" s="153"/>
      <c r="S118" s="153"/>
      <c r="T118" s="153"/>
      <c r="U118" s="153"/>
      <c r="V118" s="153"/>
      <c r="W118" s="153"/>
      <c r="X118" s="153"/>
      <c r="Y118" s="153"/>
      <c r="Z118" s="153"/>
      <c r="AA118" s="153"/>
      <c r="AB118" s="153"/>
      <c r="AC118" s="153"/>
      <c r="AD118" s="153"/>
      <c r="AE118" s="153"/>
      <c r="AF118" s="153"/>
    </row>
    <row r="119" spans="1:43" hidden="1" outlineLevel="1">
      <c r="A119" s="153"/>
      <c r="B119" s="153"/>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c r="AA119" s="153"/>
      <c r="AB119" s="153"/>
      <c r="AC119" s="153"/>
      <c r="AD119" s="153"/>
      <c r="AE119" s="153"/>
      <c r="AF119" s="153"/>
    </row>
    <row r="120" spans="1:43" collapsed="1">
      <c r="A120" s="153"/>
      <c r="B120" s="153"/>
      <c r="C120" s="153"/>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AD120" s="153"/>
      <c r="AE120" s="153"/>
      <c r="AF120" s="153"/>
    </row>
    <row r="121" spans="1:43">
      <c r="A121" s="153"/>
      <c r="B121" s="153"/>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AD121" s="153"/>
      <c r="AE121" s="153"/>
      <c r="AF121" s="153"/>
    </row>
    <row r="122" spans="1:43">
      <c r="A122" s="153"/>
      <c r="B122" s="153"/>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AD122" s="153"/>
      <c r="AE122" s="153"/>
      <c r="AF122" s="153"/>
    </row>
    <row r="123" spans="1:43">
      <c r="A123" s="153"/>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AD123" s="153"/>
      <c r="AE123" s="153"/>
      <c r="AF123" s="153"/>
    </row>
    <row r="124" spans="1:43">
      <c r="A124" s="153"/>
      <c r="B124" s="153"/>
      <c r="C124" s="153"/>
      <c r="D124" s="153"/>
      <c r="E124" s="153"/>
      <c r="F124" s="153"/>
      <c r="O124" s="153"/>
      <c r="P124" s="153"/>
      <c r="Q124" s="153"/>
      <c r="R124" s="153"/>
      <c r="S124" s="153"/>
      <c r="T124" s="153"/>
      <c r="U124" s="153"/>
      <c r="V124" s="153"/>
      <c r="W124" s="153"/>
      <c r="X124" s="153"/>
      <c r="Y124" s="153"/>
      <c r="AD124" s="153"/>
      <c r="AE124" s="153"/>
      <c r="AF124" s="153"/>
    </row>
    <row r="125" spans="1:43">
      <c r="A125" s="153"/>
      <c r="B125" s="153"/>
      <c r="C125" s="153"/>
      <c r="D125" s="153"/>
      <c r="E125" s="153"/>
      <c r="F125" s="153"/>
      <c r="O125" s="153"/>
      <c r="P125" s="153"/>
      <c r="Q125" s="153"/>
      <c r="R125" s="153"/>
      <c r="S125" s="153"/>
      <c r="T125" s="153"/>
      <c r="U125" s="153"/>
      <c r="V125" s="153"/>
      <c r="W125" s="153"/>
      <c r="X125" s="153"/>
      <c r="Y125" s="153"/>
      <c r="AD125" s="153"/>
      <c r="AE125" s="153"/>
      <c r="AF125" s="153"/>
    </row>
    <row r="126" spans="1:43">
      <c r="A126" s="153"/>
      <c r="B126" s="153"/>
      <c r="C126" s="153"/>
      <c r="D126" s="153"/>
      <c r="E126" s="153"/>
      <c r="F126" s="153"/>
      <c r="O126" s="153"/>
      <c r="P126" s="153"/>
      <c r="Q126" s="153"/>
      <c r="R126" s="153"/>
      <c r="S126" s="153"/>
      <c r="T126" s="153"/>
      <c r="U126" s="153"/>
      <c r="V126" s="153"/>
      <c r="W126" s="153"/>
      <c r="X126" s="153"/>
      <c r="Y126" s="153"/>
      <c r="Z126" s="153"/>
      <c r="AA126" s="153"/>
      <c r="AB126" s="153"/>
      <c r="AC126" s="153"/>
      <c r="AD126" s="153"/>
      <c r="AE126" s="153"/>
      <c r="AF126" s="153"/>
    </row>
    <row r="127" spans="1:43">
      <c r="A127" s="153"/>
      <c r="B127" s="153"/>
      <c r="C127" s="153"/>
      <c r="D127" s="153"/>
      <c r="E127" s="153"/>
      <c r="F127" s="153"/>
      <c r="O127" s="153"/>
      <c r="P127" s="153"/>
      <c r="Q127" s="153"/>
      <c r="R127" s="153"/>
      <c r="S127" s="153"/>
      <c r="T127" s="153"/>
      <c r="U127" s="153"/>
      <c r="V127" s="153"/>
      <c r="W127" s="153"/>
      <c r="X127" s="153"/>
      <c r="Y127" s="153"/>
      <c r="Z127" s="153"/>
      <c r="AA127" s="153"/>
      <c r="AB127" s="153"/>
      <c r="AC127" s="153"/>
      <c r="AD127" s="153"/>
      <c r="AE127" s="153"/>
      <c r="AF127" s="153"/>
    </row>
    <row r="128" spans="1:43">
      <c r="A128" s="153"/>
      <c r="B128" s="153"/>
      <c r="C128" s="153"/>
      <c r="D128" s="153"/>
      <c r="E128" s="153"/>
      <c r="F128" s="153"/>
      <c r="O128" s="153"/>
      <c r="P128" s="153"/>
      <c r="Q128" s="153"/>
      <c r="R128" s="153"/>
      <c r="S128" s="153"/>
      <c r="T128" s="153"/>
      <c r="U128" s="153"/>
      <c r="V128" s="153"/>
      <c r="W128" s="153"/>
      <c r="X128" s="153"/>
      <c r="Y128" s="153"/>
      <c r="Z128" s="153"/>
      <c r="AA128" s="153"/>
      <c r="AB128" s="153"/>
      <c r="AC128" s="153"/>
      <c r="AD128" s="153"/>
      <c r="AE128" s="153"/>
      <c r="AF128" s="153"/>
    </row>
    <row r="129" spans="1:32">
      <c r="A129" s="153"/>
      <c r="B129" s="153"/>
      <c r="C129" s="153"/>
      <c r="D129" s="153"/>
      <c r="E129" s="153"/>
      <c r="F129" s="153"/>
      <c r="O129" s="153"/>
      <c r="P129" s="153"/>
      <c r="Q129" s="153"/>
      <c r="R129" s="153"/>
      <c r="S129" s="153"/>
      <c r="T129" s="153"/>
      <c r="U129" s="153"/>
      <c r="V129" s="153"/>
      <c r="W129" s="153"/>
      <c r="X129" s="153"/>
      <c r="Y129" s="153"/>
      <c r="Z129" s="153"/>
      <c r="AA129" s="153"/>
      <c r="AB129" s="153"/>
      <c r="AC129" s="153"/>
      <c r="AD129" s="153"/>
      <c r="AE129" s="153"/>
      <c r="AF129" s="153"/>
    </row>
    <row r="130" spans="1:32">
      <c r="A130" s="153"/>
      <c r="B130" s="153"/>
      <c r="C130" s="153"/>
      <c r="D130" s="153"/>
      <c r="E130" s="153"/>
      <c r="F130" s="153"/>
      <c r="O130" s="153"/>
      <c r="P130" s="153"/>
      <c r="Q130" s="153"/>
      <c r="R130" s="153"/>
      <c r="S130" s="153"/>
      <c r="T130" s="153"/>
      <c r="U130" s="153"/>
      <c r="V130" s="153"/>
      <c r="W130" s="153"/>
      <c r="X130" s="153"/>
      <c r="Y130" s="153"/>
      <c r="Z130" s="153"/>
      <c r="AA130" s="153"/>
      <c r="AB130" s="153"/>
      <c r="AC130" s="153"/>
      <c r="AD130" s="153"/>
      <c r="AE130" s="153"/>
      <c r="AF130" s="153"/>
    </row>
    <row r="131" spans="1:32">
      <c r="A131" s="153"/>
      <c r="B131" s="153"/>
      <c r="C131" s="153"/>
      <c r="D131" s="153"/>
      <c r="E131" s="153"/>
      <c r="F131" s="153"/>
      <c r="O131" s="153"/>
      <c r="P131" s="153"/>
      <c r="Q131" s="153"/>
      <c r="R131" s="153"/>
      <c r="S131" s="153"/>
      <c r="T131" s="153"/>
      <c r="U131" s="153"/>
      <c r="V131" s="153"/>
      <c r="W131" s="153"/>
      <c r="X131" s="153"/>
      <c r="Y131" s="153"/>
      <c r="Z131" s="153"/>
      <c r="AA131" s="153"/>
      <c r="AB131" s="153"/>
      <c r="AC131" s="153"/>
      <c r="AD131" s="153"/>
      <c r="AE131" s="153"/>
      <c r="AF131" s="153"/>
    </row>
    <row r="132" spans="1:32">
      <c r="A132" s="153"/>
      <c r="B132" s="153"/>
      <c r="C132" s="153"/>
      <c r="D132" s="153"/>
      <c r="E132" s="153"/>
      <c r="F132" s="153"/>
      <c r="O132" s="153"/>
      <c r="P132" s="153"/>
      <c r="Q132" s="153"/>
      <c r="R132" s="153"/>
      <c r="S132" s="153"/>
      <c r="T132" s="153"/>
      <c r="U132" s="153"/>
      <c r="V132" s="153"/>
      <c r="W132" s="153"/>
      <c r="X132" s="153"/>
      <c r="Y132" s="153"/>
      <c r="Z132" s="153"/>
      <c r="AA132" s="153"/>
      <c r="AB132" s="153"/>
      <c r="AC132" s="153"/>
      <c r="AD132" s="153"/>
      <c r="AE132" s="153"/>
      <c r="AF132" s="153"/>
    </row>
    <row r="133" spans="1:32">
      <c r="A133" s="153"/>
      <c r="B133" s="153"/>
      <c r="C133" s="153"/>
      <c r="D133" s="153"/>
      <c r="E133" s="153"/>
      <c r="F133" s="153"/>
      <c r="O133" s="153"/>
      <c r="P133" s="153"/>
      <c r="Q133" s="153"/>
      <c r="R133" s="153"/>
      <c r="S133" s="153"/>
      <c r="T133" s="153"/>
      <c r="U133" s="153"/>
      <c r="V133" s="153"/>
      <c r="W133" s="153"/>
      <c r="X133" s="153"/>
      <c r="Y133" s="153"/>
      <c r="Z133" s="153"/>
      <c r="AA133" s="153"/>
      <c r="AB133" s="153"/>
      <c r="AC133" s="153"/>
      <c r="AD133" s="153"/>
      <c r="AE133" s="153"/>
      <c r="AF133" s="153"/>
    </row>
    <row r="134" spans="1:32">
      <c r="A134" s="153"/>
      <c r="B134" s="153"/>
      <c r="C134" s="153"/>
      <c r="D134" s="153"/>
      <c r="E134" s="153"/>
      <c r="F134" s="153"/>
      <c r="O134" s="153"/>
      <c r="P134" s="153"/>
      <c r="Q134" s="153"/>
      <c r="R134" s="153"/>
      <c r="S134" s="153"/>
      <c r="T134" s="153"/>
      <c r="U134" s="153"/>
      <c r="V134" s="153"/>
      <c r="W134" s="153"/>
      <c r="X134" s="153"/>
      <c r="Y134" s="153"/>
      <c r="Z134" s="153"/>
      <c r="AA134" s="153"/>
      <c r="AB134" s="153"/>
      <c r="AC134" s="153"/>
      <c r="AD134" s="153"/>
      <c r="AE134" s="153"/>
      <c r="AF134" s="153"/>
    </row>
    <row r="135" spans="1:32">
      <c r="A135" s="153"/>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row>
    <row r="136" spans="1:32">
      <c r="A136" s="153"/>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row>
    <row r="137" spans="1:32">
      <c r="A137" s="153"/>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c r="AC137" s="153"/>
      <c r="AD137" s="153"/>
      <c r="AE137" s="153"/>
      <c r="AF137" s="153"/>
    </row>
    <row r="138" spans="1:32">
      <c r="A138" s="153"/>
      <c r="B138" s="153"/>
      <c r="C138" s="153"/>
      <c r="D138" s="153"/>
      <c r="E138" s="153"/>
      <c r="F138" s="153"/>
      <c r="G138" s="153"/>
      <c r="M138" s="153"/>
      <c r="N138" s="153"/>
      <c r="O138" s="153"/>
      <c r="Q138" s="153"/>
      <c r="R138" s="153"/>
      <c r="S138" s="153"/>
      <c r="T138" s="153"/>
      <c r="U138" s="153"/>
      <c r="V138" s="153"/>
      <c r="W138" s="153"/>
      <c r="X138" s="153"/>
      <c r="Y138" s="153"/>
      <c r="Z138" s="153"/>
      <c r="AA138" s="153"/>
      <c r="AB138" s="153"/>
      <c r="AC138" s="153"/>
      <c r="AD138" s="153"/>
      <c r="AE138" s="153"/>
      <c r="AF138" s="153"/>
    </row>
    <row r="139" spans="1:32">
      <c r="A139" s="153"/>
      <c r="B139" s="153"/>
      <c r="C139" s="153"/>
      <c r="D139" s="153"/>
      <c r="E139" s="153"/>
      <c r="F139" s="153"/>
      <c r="G139" s="153"/>
      <c r="M139" s="153"/>
      <c r="N139" s="153"/>
      <c r="O139" s="153"/>
      <c r="Q139" s="153"/>
      <c r="R139" s="153"/>
      <c r="S139" s="153"/>
      <c r="T139" s="153"/>
      <c r="U139" s="153"/>
      <c r="V139" s="153"/>
      <c r="W139" s="153"/>
      <c r="X139" s="153"/>
      <c r="Y139" s="153"/>
      <c r="Z139" s="153"/>
      <c r="AA139" s="153"/>
      <c r="AB139" s="153"/>
      <c r="AC139" s="153"/>
      <c r="AD139" s="153"/>
      <c r="AE139" s="153"/>
      <c r="AF139" s="153"/>
    </row>
    <row r="140" spans="1:32">
      <c r="A140" s="153"/>
      <c r="B140" s="153"/>
      <c r="C140" s="153"/>
      <c r="D140" s="153"/>
      <c r="E140" s="153"/>
      <c r="F140" s="153"/>
      <c r="G140" s="153"/>
      <c r="M140" s="153"/>
      <c r="N140" s="153"/>
      <c r="O140" s="153"/>
      <c r="Q140" s="153"/>
      <c r="R140" s="153"/>
      <c r="S140" s="153"/>
      <c r="T140" s="153"/>
      <c r="U140" s="153"/>
      <c r="V140" s="153"/>
      <c r="W140" s="153"/>
      <c r="X140" s="153"/>
      <c r="Y140" s="153"/>
      <c r="Z140" s="153"/>
      <c r="AA140" s="153"/>
      <c r="AB140" s="153"/>
      <c r="AC140" s="153"/>
      <c r="AD140" s="153"/>
      <c r="AE140" s="153"/>
      <c r="AF140" s="153"/>
    </row>
    <row r="141" spans="1:32">
      <c r="M141" s="153"/>
      <c r="N141" s="740"/>
    </row>
    <row r="142" spans="1:32">
      <c r="M142" s="153"/>
      <c r="N142" s="153"/>
    </row>
    <row r="143" spans="1:32">
      <c r="M143" s="153"/>
      <c r="N143" s="153"/>
    </row>
    <row r="144" spans="1:32">
      <c r="M144" s="153"/>
      <c r="N144" s="153"/>
    </row>
    <row r="145" spans="13:14">
      <c r="M145" s="153"/>
      <c r="N145" s="153"/>
    </row>
    <row r="146" spans="13:14">
      <c r="M146" s="153"/>
      <c r="N146" s="153"/>
    </row>
    <row r="147" spans="13:14">
      <c r="M147" s="153"/>
      <c r="N147" s="153"/>
    </row>
    <row r="148" spans="13:14">
      <c r="M148" s="153"/>
      <c r="N148" s="153"/>
    </row>
    <row r="149" spans="13:14">
      <c r="M149" s="153"/>
      <c r="N149" s="153"/>
    </row>
    <row r="150" spans="13:14">
      <c r="N150" s="153"/>
    </row>
    <row r="151" spans="13:14">
      <c r="M151" s="153"/>
      <c r="N151" s="153"/>
    </row>
    <row r="155" spans="13:14">
      <c r="M155" s="153"/>
    </row>
  </sheetData>
  <pageMargins left="0.7" right="0.7" top="0.75" bottom="0.75" header="0.3" footer="0.3"/>
  <pageSetup orientation="portrait" r:id="rId1"/>
  <ignoredErrors>
    <ignoredError sqref="W40:X40 F67:G67 F66:G66 W66 W67 W46:X46 E44:H44 X44 E45:H45 W45:X45 Z46 E43:H43 W43:X43 E42 W41:X41 E41:Q41 L43:Q43 J45:Q45 E46:Q46 E40:Q40" formulaRange="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80E35-5F89-4E92-BEEA-FBDF55EA8DF7}">
  <sheetPr codeName="Sheet7">
    <tabColor rgb="FF00EAE4"/>
  </sheetPr>
  <dimension ref="A1:AN225"/>
  <sheetViews>
    <sheetView showGridLines="0" zoomScale="72" zoomScaleNormal="72" workbookViewId="0">
      <pane ySplit="2" topLeftCell="A36" activePane="bottomLeft" state="frozen"/>
      <selection pane="bottomLeft" activeCell="N89" sqref="N89 M84:N84"/>
    </sheetView>
  </sheetViews>
  <sheetFormatPr defaultColWidth="9.140625" defaultRowHeight="15" outlineLevelRow="1"/>
  <cols>
    <col min="1" max="1" width="38.42578125" style="1" bestFit="1" customWidth="1"/>
    <col min="2" max="22" width="11.85546875" style="1" customWidth="1"/>
    <col min="23" max="23" width="8" style="1" customWidth="1"/>
    <col min="24" max="24" width="15.5703125" style="1" bestFit="1" customWidth="1"/>
    <col min="25" max="26" width="9.5703125" style="1" bestFit="1" customWidth="1"/>
    <col min="27" max="16384" width="9.140625" style="1"/>
  </cols>
  <sheetData>
    <row r="1" spans="1:40" ht="15.75">
      <c r="A1" s="360"/>
      <c r="B1" s="164"/>
      <c r="C1" s="164"/>
      <c r="D1" s="164"/>
      <c r="E1" s="164"/>
      <c r="F1" s="164"/>
      <c r="G1" s="164"/>
      <c r="H1" s="164"/>
      <c r="I1" s="164"/>
      <c r="J1" s="164"/>
      <c r="K1" s="164"/>
      <c r="L1" s="433"/>
      <c r="M1" s="433"/>
      <c r="N1" s="433"/>
      <c r="O1" s="433"/>
      <c r="P1" s="433"/>
      <c r="Q1" s="433"/>
      <c r="R1" s="433"/>
      <c r="S1" s="433"/>
      <c r="T1" s="433"/>
      <c r="U1" s="433"/>
      <c r="V1" s="433"/>
      <c r="W1" s="347">
        <f>Valuation!C51</f>
        <v>10.055391618999746</v>
      </c>
      <c r="X1" s="154"/>
      <c r="Y1" s="154"/>
      <c r="Z1" s="154"/>
      <c r="AA1" s="154"/>
      <c r="AB1" s="154"/>
      <c r="AC1" s="154"/>
      <c r="AD1" s="154"/>
      <c r="AE1" s="154"/>
      <c r="AF1" s="154"/>
      <c r="AG1" s="154"/>
      <c r="AH1" s="154"/>
      <c r="AI1" s="154"/>
      <c r="AJ1" s="154"/>
      <c r="AK1" s="154"/>
      <c r="AL1" s="154"/>
      <c r="AM1" s="154"/>
      <c r="AN1" s="154"/>
    </row>
    <row r="2" spans="1:40" ht="15.75">
      <c r="A2" s="972" t="s">
        <v>277</v>
      </c>
      <c r="B2" s="973">
        <v>2015</v>
      </c>
      <c r="C2" s="973">
        <v>2016</v>
      </c>
      <c r="D2" s="973">
        <v>2017</v>
      </c>
      <c r="E2" s="973">
        <v>2018</v>
      </c>
      <c r="F2" s="973">
        <v>2019</v>
      </c>
      <c r="G2" s="973">
        <v>2020</v>
      </c>
      <c r="H2" s="973">
        <v>2021</v>
      </c>
      <c r="I2" s="973">
        <v>2022</v>
      </c>
      <c r="J2" s="973">
        <v>2023</v>
      </c>
      <c r="K2" s="973">
        <v>2024</v>
      </c>
      <c r="L2" s="552" t="s">
        <v>266</v>
      </c>
      <c r="M2" s="552" t="s">
        <v>267</v>
      </c>
      <c r="N2" s="552" t="s">
        <v>268</v>
      </c>
      <c r="O2" s="552" t="s">
        <v>269</v>
      </c>
      <c r="P2" s="552" t="s">
        <v>270</v>
      </c>
      <c r="Q2" s="552" t="s">
        <v>271</v>
      </c>
      <c r="R2" s="437" t="s">
        <v>1159</v>
      </c>
      <c r="S2" s="437" t="s">
        <v>1160</v>
      </c>
      <c r="T2" s="437" t="s">
        <v>1161</v>
      </c>
      <c r="U2" s="437" t="s">
        <v>1162</v>
      </c>
      <c r="V2" s="437" t="s">
        <v>1163</v>
      </c>
      <c r="W2" s="154"/>
      <c r="X2" s="154"/>
      <c r="Y2" s="154"/>
      <c r="Z2" s="154"/>
      <c r="AA2" s="154"/>
      <c r="AB2" s="154"/>
      <c r="AC2" s="154"/>
      <c r="AD2" s="154"/>
      <c r="AE2" s="154"/>
      <c r="AF2" s="154"/>
      <c r="AG2" s="154"/>
      <c r="AH2" s="154"/>
      <c r="AI2" s="154"/>
      <c r="AJ2" s="154"/>
      <c r="AK2" s="154"/>
      <c r="AL2" s="154"/>
      <c r="AM2" s="154"/>
      <c r="AN2" s="154"/>
    </row>
    <row r="3" spans="1:40" ht="15.75">
      <c r="A3" s="154"/>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row>
    <row r="4" spans="1:40" ht="15.75">
      <c r="A4" s="163" t="s">
        <v>623</v>
      </c>
      <c r="B4" s="164"/>
      <c r="C4" s="164"/>
      <c r="D4" s="164"/>
      <c r="E4" s="164"/>
      <c r="F4" s="164"/>
      <c r="G4" s="164"/>
      <c r="H4" s="164"/>
      <c r="I4" s="164"/>
      <c r="J4" s="164"/>
      <c r="K4" s="164"/>
      <c r="L4" s="164"/>
      <c r="M4" s="164"/>
      <c r="N4" s="164"/>
      <c r="O4" s="164"/>
      <c r="P4" s="164"/>
      <c r="Q4" s="164"/>
      <c r="R4" s="164"/>
      <c r="S4" s="164"/>
      <c r="T4" s="164"/>
      <c r="U4" s="164"/>
      <c r="V4" s="164"/>
      <c r="W4" s="154"/>
      <c r="X4" s="154"/>
      <c r="Y4" s="154"/>
      <c r="Z4" s="154"/>
      <c r="AA4" s="154"/>
      <c r="AB4" s="154"/>
      <c r="AC4" s="154"/>
      <c r="AD4" s="154"/>
      <c r="AE4" s="154"/>
      <c r="AF4" s="154"/>
      <c r="AG4" s="154"/>
      <c r="AH4" s="154"/>
      <c r="AI4" s="154"/>
      <c r="AJ4" s="154"/>
      <c r="AK4" s="154"/>
      <c r="AL4" s="154"/>
      <c r="AM4" s="154"/>
      <c r="AN4" s="154"/>
    </row>
    <row r="5" spans="1:40" ht="15.75">
      <c r="A5" s="154"/>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row>
    <row r="6" spans="1:40" ht="15.75">
      <c r="A6" s="160" t="s">
        <v>769</v>
      </c>
      <c r="B6" s="154"/>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row>
    <row r="7" spans="1:40" ht="15.75">
      <c r="A7" s="154" t="s">
        <v>278</v>
      </c>
      <c r="B7" s="582">
        <v>25.246341999999999</v>
      </c>
      <c r="C7" s="582">
        <v>25.989405000000001</v>
      </c>
      <c r="D7" s="583">
        <v>26.733371999999999</v>
      </c>
      <c r="E7" s="583">
        <v>27.464172999999999</v>
      </c>
      <c r="F7" s="583">
        <v>28.193009</v>
      </c>
      <c r="G7" s="583">
        <v>28.915448999999999</v>
      </c>
      <c r="H7" s="583">
        <v>29.639735999999999</v>
      </c>
      <c r="I7" s="583">
        <v>30.395002000000002</v>
      </c>
      <c r="J7" s="583">
        <v>31.165654</v>
      </c>
      <c r="K7" s="584">
        <f>J7*1.023</f>
        <v>31.882464041999999</v>
      </c>
      <c r="L7" s="584">
        <f>K7*1.022</f>
        <v>32.583878250924002</v>
      </c>
      <c r="M7" s="584">
        <f>L7*1.021</f>
        <v>33.268139694193401</v>
      </c>
      <c r="N7" s="584">
        <f>M7*1.02</f>
        <v>33.933502488077266</v>
      </c>
      <c r="O7" s="584">
        <f t="shared" ref="O7:V8" si="0">N7*1.02</f>
        <v>34.612172537838809</v>
      </c>
      <c r="P7" s="584">
        <f t="shared" si="0"/>
        <v>35.304415988595586</v>
      </c>
      <c r="Q7" s="584">
        <f t="shared" si="0"/>
        <v>36.010504308367501</v>
      </c>
      <c r="R7" s="584">
        <f t="shared" si="0"/>
        <v>36.73071439453485</v>
      </c>
      <c r="S7" s="584">
        <f t="shared" si="0"/>
        <v>37.46532868242555</v>
      </c>
      <c r="T7" s="584">
        <f t="shared" si="0"/>
        <v>38.214635256074061</v>
      </c>
      <c r="U7" s="584">
        <f t="shared" si="0"/>
        <v>38.978927961195545</v>
      </c>
      <c r="V7" s="584">
        <f t="shared" si="0"/>
        <v>39.758506520419459</v>
      </c>
      <c r="W7" s="154"/>
      <c r="X7" s="154"/>
      <c r="Y7" s="154"/>
      <c r="Z7" s="154"/>
      <c r="AA7" s="154"/>
      <c r="AB7" s="154"/>
      <c r="AC7" s="154"/>
      <c r="AD7" s="154"/>
      <c r="AE7" s="154"/>
      <c r="AF7" s="154"/>
      <c r="AG7" s="154"/>
      <c r="AH7" s="154"/>
      <c r="AI7" s="154"/>
      <c r="AJ7" s="154"/>
      <c r="AK7" s="154"/>
      <c r="AL7" s="154"/>
      <c r="AM7" s="154"/>
      <c r="AN7" s="154"/>
    </row>
    <row r="8" spans="1:40" ht="15.75">
      <c r="A8" s="154" t="s">
        <v>279</v>
      </c>
      <c r="B8" s="582">
        <v>23.012646</v>
      </c>
      <c r="C8" s="582">
        <v>23.71163</v>
      </c>
      <c r="D8" s="583">
        <v>24.393180999999998</v>
      </c>
      <c r="E8" s="583">
        <v>25.076747000000001</v>
      </c>
      <c r="F8" s="583">
        <v>25.782340999999999</v>
      </c>
      <c r="G8" s="583">
        <v>26.491087</v>
      </c>
      <c r="H8" s="583">
        <v>27.198627999999999</v>
      </c>
      <c r="I8" s="583">
        <v>27.914535999999998</v>
      </c>
      <c r="J8" s="584">
        <v>29</v>
      </c>
      <c r="K8" s="584">
        <f>J8*1.024</f>
        <v>29.696000000000002</v>
      </c>
      <c r="L8" s="584">
        <f>K8*1.023</f>
        <v>30.379007999999999</v>
      </c>
      <c r="M8" s="584">
        <f>L8*1.022</f>
        <v>31.047346175999998</v>
      </c>
      <c r="N8" s="584">
        <f>M8*1.021</f>
        <v>31.699340445695995</v>
      </c>
      <c r="O8" s="584">
        <f>N8*1.02</f>
        <v>32.333327254609912</v>
      </c>
      <c r="P8" s="584">
        <f t="shared" si="0"/>
        <v>32.979993799702115</v>
      </c>
      <c r="Q8" s="584">
        <f t="shared" si="0"/>
        <v>33.639593675696155</v>
      </c>
      <c r="R8" s="584">
        <f t="shared" si="0"/>
        <v>34.312385549210077</v>
      </c>
      <c r="S8" s="584">
        <f t="shared" si="0"/>
        <v>34.998633260194282</v>
      </c>
      <c r="T8" s="584">
        <f t="shared" si="0"/>
        <v>35.698605925398169</v>
      </c>
      <c r="U8" s="584">
        <f t="shared" si="0"/>
        <v>36.41257804390613</v>
      </c>
      <c r="V8" s="584">
        <f t="shared" si="0"/>
        <v>37.140829604784251</v>
      </c>
      <c r="W8" s="154"/>
      <c r="X8" s="154"/>
      <c r="Y8" s="154"/>
      <c r="Z8" s="154"/>
      <c r="AA8" s="154"/>
      <c r="AB8" s="154"/>
      <c r="AC8" s="154"/>
      <c r="AD8" s="154"/>
      <c r="AE8" s="154"/>
      <c r="AF8" s="154"/>
      <c r="AG8" s="154"/>
      <c r="AH8" s="154"/>
      <c r="AI8" s="154"/>
      <c r="AJ8" s="154"/>
      <c r="AK8" s="154"/>
      <c r="AL8" s="154"/>
      <c r="AM8" s="154"/>
      <c r="AN8" s="154"/>
    </row>
    <row r="9" spans="1:40" ht="15.75">
      <c r="A9" s="154" t="s">
        <v>202</v>
      </c>
      <c r="B9" s="582">
        <v>16.24823</v>
      </c>
      <c r="C9" s="582">
        <v>16.767761</v>
      </c>
      <c r="D9" s="583">
        <v>17.298054</v>
      </c>
      <c r="E9" s="583">
        <v>17.835892999999999</v>
      </c>
      <c r="F9" s="583">
        <v>18.380476999999999</v>
      </c>
      <c r="G9" s="583">
        <v>18.927714999999999</v>
      </c>
      <c r="H9" s="583">
        <v>19.473125</v>
      </c>
      <c r="I9" s="583">
        <v>20.017675000000001</v>
      </c>
      <c r="J9" s="584">
        <v>21</v>
      </c>
      <c r="K9" s="584">
        <f>J9*1.026</f>
        <v>21.545999999999999</v>
      </c>
      <c r="L9" s="584">
        <f>K9*1.025</f>
        <v>22.084649999999996</v>
      </c>
      <c r="M9" s="584">
        <f>L9*1.024</f>
        <v>22.614681599999997</v>
      </c>
      <c r="N9" s="584">
        <f>M9*1.023</f>
        <v>23.134819276799995</v>
      </c>
      <c r="O9" s="584">
        <f>N9*1.022</f>
        <v>23.643785300889594</v>
      </c>
      <c r="P9" s="584">
        <f>O9*1.021</f>
        <v>24.140304792208273</v>
      </c>
      <c r="Q9" s="584">
        <f t="shared" ref="Q9:V10" si="1">P9*1.02</f>
        <v>24.623110888052437</v>
      </c>
      <c r="R9" s="584">
        <f t="shared" si="1"/>
        <v>25.115573105813485</v>
      </c>
      <c r="S9" s="584">
        <f t="shared" si="1"/>
        <v>25.617884567929757</v>
      </c>
      <c r="T9" s="584">
        <f t="shared" si="1"/>
        <v>26.130242259288352</v>
      </c>
      <c r="U9" s="584">
        <f t="shared" si="1"/>
        <v>26.65284710447412</v>
      </c>
      <c r="V9" s="584">
        <f t="shared" si="1"/>
        <v>27.185904046563603</v>
      </c>
      <c r="W9" s="154"/>
      <c r="X9" s="154"/>
      <c r="Y9" s="154"/>
      <c r="Z9" s="154"/>
      <c r="AA9" s="154"/>
      <c r="AB9" s="154"/>
      <c r="AC9" s="154"/>
      <c r="AD9" s="154"/>
      <c r="AE9" s="154"/>
      <c r="AF9" s="154"/>
      <c r="AG9" s="154"/>
      <c r="AH9" s="154"/>
      <c r="AI9" s="154"/>
      <c r="AJ9" s="154"/>
      <c r="AK9" s="154"/>
      <c r="AL9" s="154"/>
      <c r="AM9" s="154"/>
      <c r="AN9" s="154"/>
    </row>
    <row r="10" spans="1:40" ht="15.75">
      <c r="A10" s="154" t="s">
        <v>206</v>
      </c>
      <c r="B10" s="582">
        <v>11.642958999999999</v>
      </c>
      <c r="C10" s="582">
        <v>11.930899</v>
      </c>
      <c r="D10" s="583">
        <v>12.230339000000001</v>
      </c>
      <c r="E10" s="583">
        <v>12.531808</v>
      </c>
      <c r="F10" s="583">
        <v>12.835027999999999</v>
      </c>
      <c r="G10" s="583">
        <v>13.146362</v>
      </c>
      <c r="H10" s="583">
        <v>13.461888</v>
      </c>
      <c r="I10" s="583">
        <v>13.776698</v>
      </c>
      <c r="J10" s="584">
        <v>14</v>
      </c>
      <c r="K10" s="584">
        <f>J10*1.022</f>
        <v>14.308</v>
      </c>
      <c r="L10" s="584">
        <f>K10*1.021</f>
        <v>14.608467999999998</v>
      </c>
      <c r="M10" s="584">
        <f>L10*1.02</f>
        <v>14.900637359999999</v>
      </c>
      <c r="N10" s="584">
        <f>M10*1.02</f>
        <v>15.198650107199999</v>
      </c>
      <c r="O10" s="584">
        <f>N10*1.02</f>
        <v>15.502623109343999</v>
      </c>
      <c r="P10" s="584">
        <f>O10*1.02</f>
        <v>15.812675571530878</v>
      </c>
      <c r="Q10" s="584">
        <f t="shared" si="1"/>
        <v>16.128929082961495</v>
      </c>
      <c r="R10" s="584">
        <f t="shared" si="1"/>
        <v>16.451507664620724</v>
      </c>
      <c r="S10" s="584">
        <f t="shared" si="1"/>
        <v>16.780537817913139</v>
      </c>
      <c r="T10" s="584">
        <f t="shared" si="1"/>
        <v>17.116148574271403</v>
      </c>
      <c r="U10" s="584">
        <f t="shared" si="1"/>
        <v>17.458471545756833</v>
      </c>
      <c r="V10" s="584">
        <f t="shared" si="1"/>
        <v>17.807640976671969</v>
      </c>
      <c r="W10" s="154"/>
      <c r="X10" s="154"/>
      <c r="Y10" s="154"/>
      <c r="Z10" s="154"/>
      <c r="AA10" s="154"/>
      <c r="AB10" s="154"/>
      <c r="AC10" s="154"/>
      <c r="AD10" s="154"/>
      <c r="AE10" s="154"/>
      <c r="AF10" s="154"/>
      <c r="AG10" s="154"/>
      <c r="AH10" s="154"/>
      <c r="AI10" s="154"/>
      <c r="AJ10" s="154"/>
      <c r="AK10" s="154"/>
      <c r="AL10" s="154"/>
      <c r="AM10" s="154"/>
      <c r="AN10" s="154"/>
    </row>
    <row r="11" spans="1:40" ht="15.75">
      <c r="A11" s="154" t="s">
        <v>137</v>
      </c>
      <c r="B11" s="582">
        <v>55.876503999999997</v>
      </c>
      <c r="C11" s="582">
        <v>56.422274000000002</v>
      </c>
      <c r="D11" s="583">
        <v>56.641209000000003</v>
      </c>
      <c r="E11" s="583">
        <v>57.339635000000001</v>
      </c>
      <c r="F11" s="583">
        <v>58.087054999999999</v>
      </c>
      <c r="G11" s="583">
        <v>58.801926999999999</v>
      </c>
      <c r="H11" s="583">
        <v>59.392254999999999</v>
      </c>
      <c r="I11" s="583">
        <v>59.893884999999997</v>
      </c>
      <c r="J11" s="584">
        <v>61</v>
      </c>
      <c r="K11" s="584">
        <f t="shared" ref="K11:V11" si="2">J11*1.015</f>
        <v>61.914999999999992</v>
      </c>
      <c r="L11" s="584">
        <f t="shared" si="2"/>
        <v>62.843724999999985</v>
      </c>
      <c r="M11" s="584">
        <f t="shared" si="2"/>
        <v>63.786380874999978</v>
      </c>
      <c r="N11" s="584">
        <f t="shared" si="2"/>
        <v>64.743176588124967</v>
      </c>
      <c r="O11" s="584">
        <f t="shared" si="2"/>
        <v>65.714324236946837</v>
      </c>
      <c r="P11" s="584">
        <f t="shared" si="2"/>
        <v>66.70003910050103</v>
      </c>
      <c r="Q11" s="584">
        <f t="shared" si="2"/>
        <v>67.700539687008543</v>
      </c>
      <c r="R11" s="584">
        <f t="shared" si="2"/>
        <v>68.716047782313666</v>
      </c>
      <c r="S11" s="584">
        <f t="shared" si="2"/>
        <v>69.746788499048364</v>
      </c>
      <c r="T11" s="584">
        <f t="shared" si="2"/>
        <v>70.792990326534081</v>
      </c>
      <c r="U11" s="584">
        <f t="shared" si="2"/>
        <v>71.854885181432081</v>
      </c>
      <c r="V11" s="584">
        <f t="shared" si="2"/>
        <v>72.932708459153559</v>
      </c>
      <c r="W11" s="154"/>
      <c r="X11" s="154"/>
      <c r="Y11" s="154"/>
      <c r="Z11" s="154"/>
      <c r="AA11" s="154"/>
      <c r="AB11" s="154"/>
      <c r="AC11" s="154"/>
      <c r="AD11" s="154"/>
      <c r="AE11" s="154"/>
      <c r="AF11" s="154"/>
      <c r="AG11" s="154"/>
      <c r="AH11" s="154"/>
      <c r="AI11" s="154"/>
      <c r="AJ11" s="154"/>
      <c r="AK11" s="154"/>
      <c r="AL11" s="154"/>
      <c r="AM11" s="154"/>
      <c r="AN11" s="154"/>
    </row>
    <row r="12" spans="1:40" ht="15.75">
      <c r="A12" s="525" t="s">
        <v>275</v>
      </c>
      <c r="B12" s="585">
        <f t="shared" ref="B12:H12" si="3">SUM(B7:B10)</f>
        <v>76.150176999999999</v>
      </c>
      <c r="C12" s="585">
        <f t="shared" si="3"/>
        <v>78.399694999999994</v>
      </c>
      <c r="D12" s="585">
        <f t="shared" si="3"/>
        <v>80.65494600000001</v>
      </c>
      <c r="E12" s="585">
        <f>SUM(E7:E10)</f>
        <v>82.908620999999997</v>
      </c>
      <c r="F12" s="585">
        <f t="shared" si="3"/>
        <v>85.190854999999999</v>
      </c>
      <c r="G12" s="585">
        <f t="shared" si="3"/>
        <v>87.480612999999991</v>
      </c>
      <c r="H12" s="585">
        <f t="shared" si="3"/>
        <v>89.773376999999996</v>
      </c>
      <c r="I12" s="585">
        <f>SUM(I7:I11)</f>
        <v>151.99779599999999</v>
      </c>
      <c r="J12" s="585">
        <f t="shared" ref="J12:Q12" si="4">SUM(J7:J11)</f>
        <v>156.16565400000002</v>
      </c>
      <c r="K12" s="585">
        <f t="shared" si="4"/>
        <v>159.34746404199998</v>
      </c>
      <c r="L12" s="585">
        <f t="shared" si="4"/>
        <v>162.49972925092399</v>
      </c>
      <c r="M12" s="585">
        <f t="shared" si="4"/>
        <v>165.61718570519338</v>
      </c>
      <c r="N12" s="585">
        <f t="shared" si="4"/>
        <v>168.70948890589824</v>
      </c>
      <c r="O12" s="585">
        <f t="shared" si="4"/>
        <v>171.80623243962913</v>
      </c>
      <c r="P12" s="585">
        <f t="shared" si="4"/>
        <v>174.93742925253787</v>
      </c>
      <c r="Q12" s="585">
        <f t="shared" si="4"/>
        <v>178.10267764208612</v>
      </c>
      <c r="R12" s="585">
        <f t="shared" ref="R12:V12" si="5">SUM(R7:R11)</f>
        <v>181.32622849649277</v>
      </c>
      <c r="S12" s="585">
        <f t="shared" si="5"/>
        <v>184.60917282751109</v>
      </c>
      <c r="T12" s="585">
        <f t="shared" si="5"/>
        <v>187.95262234156607</v>
      </c>
      <c r="U12" s="585">
        <f t="shared" si="5"/>
        <v>191.35770983676471</v>
      </c>
      <c r="V12" s="585">
        <f t="shared" si="5"/>
        <v>194.82558960759286</v>
      </c>
      <c r="W12" s="154"/>
      <c r="X12" s="154"/>
      <c r="Y12" s="154"/>
      <c r="Z12" s="154"/>
      <c r="AA12" s="154"/>
      <c r="AB12" s="154"/>
      <c r="AC12" s="154"/>
      <c r="AD12" s="154"/>
      <c r="AE12" s="154"/>
      <c r="AF12" s="154"/>
      <c r="AG12" s="154"/>
      <c r="AH12" s="154"/>
      <c r="AI12" s="154"/>
      <c r="AJ12" s="154"/>
      <c r="AK12" s="154"/>
      <c r="AL12" s="154"/>
      <c r="AM12" s="154"/>
      <c r="AN12" s="154"/>
    </row>
    <row r="13" spans="1:40" ht="15.75">
      <c r="A13" s="154"/>
      <c r="B13" s="154"/>
      <c r="C13" s="157"/>
      <c r="D13" s="157"/>
      <c r="E13" s="157"/>
      <c r="F13" s="157"/>
      <c r="G13" s="157"/>
      <c r="H13" s="157"/>
      <c r="I13" s="157"/>
      <c r="J13" s="157"/>
      <c r="K13" s="157"/>
      <c r="L13" s="157"/>
      <c r="M13" s="157"/>
      <c r="N13" s="157"/>
      <c r="O13" s="157"/>
      <c r="P13" s="157"/>
      <c r="Q13" s="157"/>
      <c r="R13" s="157"/>
      <c r="S13" s="157"/>
      <c r="T13" s="157"/>
      <c r="U13" s="157"/>
      <c r="V13" s="157"/>
      <c r="W13" s="154"/>
      <c r="X13" s="154"/>
      <c r="Y13" s="154"/>
      <c r="Z13" s="154"/>
      <c r="AA13" s="154"/>
      <c r="AB13" s="154"/>
      <c r="AC13" s="154"/>
      <c r="AD13" s="154"/>
      <c r="AE13" s="154"/>
      <c r="AF13" s="154"/>
      <c r="AG13" s="154"/>
      <c r="AH13" s="154"/>
      <c r="AI13" s="154"/>
      <c r="AJ13" s="154"/>
      <c r="AK13" s="154"/>
      <c r="AL13" s="154"/>
      <c r="AM13" s="154"/>
      <c r="AN13" s="154"/>
    </row>
    <row r="14" spans="1:40" ht="15.75">
      <c r="A14" s="160" t="s">
        <v>960</v>
      </c>
      <c r="B14" s="154"/>
      <c r="C14" s="157"/>
      <c r="D14" s="157"/>
      <c r="E14" s="157"/>
      <c r="F14" s="157"/>
      <c r="G14" s="157"/>
      <c r="H14" s="157"/>
      <c r="I14" s="157"/>
      <c r="J14" s="157"/>
      <c r="K14" s="157"/>
      <c r="L14" s="157"/>
      <c r="M14" s="157"/>
      <c r="N14" s="157"/>
      <c r="O14" s="157"/>
      <c r="P14" s="157"/>
      <c r="Q14" s="157"/>
      <c r="R14" s="157"/>
      <c r="S14" s="157"/>
      <c r="T14" s="157"/>
      <c r="U14" s="157"/>
      <c r="V14" s="157"/>
      <c r="W14" s="154"/>
      <c r="X14" s="154"/>
      <c r="Y14" s="154"/>
      <c r="Z14" s="154"/>
      <c r="AA14" s="154"/>
      <c r="AB14" s="154"/>
      <c r="AC14" s="154"/>
      <c r="AD14" s="154"/>
      <c r="AE14" s="154"/>
      <c r="AF14" s="154"/>
      <c r="AG14" s="154"/>
      <c r="AH14" s="154"/>
      <c r="AI14" s="154"/>
      <c r="AJ14" s="154"/>
      <c r="AK14" s="154"/>
      <c r="AL14" s="154"/>
      <c r="AM14" s="154"/>
      <c r="AN14" s="154"/>
    </row>
    <row r="15" spans="1:40" ht="15.75">
      <c r="A15" s="154" t="s">
        <v>278</v>
      </c>
      <c r="B15" s="154"/>
      <c r="C15" s="157"/>
      <c r="D15" s="157"/>
      <c r="E15" s="157"/>
      <c r="F15" s="527"/>
      <c r="G15" s="527">
        <v>2.4E-2</v>
      </c>
      <c r="H15" s="527">
        <v>4.2000000000000003E-2</v>
      </c>
      <c r="I15" s="527">
        <v>5.1999999999999998E-2</v>
      </c>
      <c r="J15" s="527">
        <v>4.2999999999999997E-2</v>
      </c>
      <c r="K15" s="721">
        <v>2.3E-2</v>
      </c>
      <c r="L15" s="721">
        <v>1.9E-2</v>
      </c>
      <c r="M15" s="157"/>
      <c r="N15" s="157"/>
      <c r="O15" s="157"/>
      <c r="P15" s="157"/>
      <c r="Q15" s="157"/>
      <c r="R15" s="157"/>
      <c r="S15" s="157"/>
      <c r="T15" s="157"/>
      <c r="U15" s="157"/>
      <c r="V15" s="157"/>
      <c r="W15" s="154"/>
      <c r="X15" s="154"/>
      <c r="Y15" s="154"/>
      <c r="Z15" s="154"/>
      <c r="AA15" s="154"/>
      <c r="AB15" s="154"/>
      <c r="AC15" s="154"/>
      <c r="AD15" s="154"/>
      <c r="AE15" s="154"/>
      <c r="AF15" s="154"/>
      <c r="AG15" s="154"/>
      <c r="AH15" s="154"/>
      <c r="AI15" s="154"/>
      <c r="AJ15" s="154"/>
      <c r="AK15" s="154"/>
      <c r="AL15" s="154"/>
      <c r="AM15" s="154"/>
      <c r="AN15" s="154"/>
    </row>
    <row r="16" spans="1:40" ht="15.75">
      <c r="A16" s="154" t="s">
        <v>279</v>
      </c>
      <c r="B16" s="154"/>
      <c r="C16" s="157"/>
      <c r="D16" s="157"/>
      <c r="E16" s="157"/>
      <c r="F16" s="527"/>
      <c r="G16" s="527">
        <v>2.5000000000000001E-2</v>
      </c>
      <c r="H16" s="527">
        <v>2.3E-2</v>
      </c>
      <c r="I16" s="527">
        <v>6.3E-2</v>
      </c>
      <c r="J16" s="527">
        <v>7.1999999999999995E-2</v>
      </c>
      <c r="K16" s="721">
        <v>4.8000000000000001E-2</v>
      </c>
      <c r="L16" s="721">
        <v>0.03</v>
      </c>
      <c r="M16" s="157"/>
      <c r="N16" s="157"/>
      <c r="O16" s="157"/>
      <c r="P16" s="157"/>
      <c r="Q16" s="157"/>
      <c r="R16" s="157"/>
      <c r="S16" s="157"/>
      <c r="T16" s="157"/>
      <c r="U16" s="157"/>
      <c r="V16" s="157"/>
      <c r="W16" s="154"/>
      <c r="X16" s="154"/>
      <c r="Y16" s="154"/>
      <c r="Z16" s="154"/>
      <c r="AA16" s="154"/>
      <c r="AB16" s="154"/>
      <c r="AC16" s="154"/>
      <c r="AD16" s="154"/>
      <c r="AE16" s="154"/>
      <c r="AF16" s="154"/>
      <c r="AG16" s="154"/>
      <c r="AH16" s="154"/>
      <c r="AI16" s="154"/>
      <c r="AJ16" s="154"/>
      <c r="AK16" s="154"/>
      <c r="AL16" s="154"/>
      <c r="AM16" s="154"/>
      <c r="AN16" s="154"/>
    </row>
    <row r="17" spans="1:40" ht="15.75">
      <c r="A17" s="154" t="s">
        <v>202</v>
      </c>
      <c r="B17" s="154"/>
      <c r="C17" s="157"/>
      <c r="D17" s="157"/>
      <c r="E17" s="157"/>
      <c r="F17" s="527"/>
      <c r="G17" s="527">
        <v>0.157</v>
      </c>
      <c r="H17" s="527">
        <v>0.22</v>
      </c>
      <c r="I17" s="527">
        <v>0.11</v>
      </c>
      <c r="J17" s="527">
        <v>0.106</v>
      </c>
      <c r="K17" s="721">
        <v>9.6000000000000002E-2</v>
      </c>
      <c r="L17" s="721">
        <v>7.4999999999999997E-2</v>
      </c>
      <c r="M17" s="157"/>
      <c r="N17" s="157"/>
      <c r="O17" s="157"/>
      <c r="P17" s="157"/>
      <c r="Q17" s="157"/>
      <c r="R17" s="157"/>
      <c r="S17" s="157"/>
      <c r="T17" s="157"/>
      <c r="U17" s="157"/>
      <c r="V17" s="157"/>
      <c r="W17" s="154"/>
      <c r="X17" s="154"/>
      <c r="Y17" s="154"/>
      <c r="Z17" s="154"/>
      <c r="AA17" s="154"/>
      <c r="AB17" s="154"/>
      <c r="AC17" s="154"/>
      <c r="AD17" s="154"/>
      <c r="AE17" s="154"/>
      <c r="AF17" s="154"/>
      <c r="AG17" s="154"/>
      <c r="AH17" s="154"/>
      <c r="AI17" s="154"/>
      <c r="AJ17" s="154"/>
      <c r="AK17" s="154"/>
      <c r="AL17" s="154"/>
      <c r="AM17" s="154"/>
      <c r="AN17" s="154"/>
    </row>
    <row r="18" spans="1:40" ht="15.75">
      <c r="A18" s="154" t="s">
        <v>206</v>
      </c>
      <c r="B18" s="154"/>
      <c r="C18" s="157"/>
      <c r="D18" s="157"/>
      <c r="E18" s="157"/>
      <c r="F18" s="527"/>
      <c r="G18" s="527">
        <v>7.6999999999999999E-2</v>
      </c>
      <c r="H18" s="527">
        <v>8.0000000000000002E-3</v>
      </c>
      <c r="I18" s="527">
        <v>0.13900000000000001</v>
      </c>
      <c r="J18" s="527">
        <v>0.14499999999999999</v>
      </c>
      <c r="K18" s="721">
        <v>0.06</v>
      </c>
      <c r="L18" s="721">
        <v>0.05</v>
      </c>
      <c r="M18" s="157"/>
      <c r="N18" s="157"/>
      <c r="O18" s="157"/>
      <c r="P18" s="157"/>
      <c r="Q18" s="157"/>
      <c r="R18" s="157"/>
      <c r="S18" s="157"/>
      <c r="T18" s="157"/>
      <c r="U18" s="157"/>
      <c r="V18" s="157"/>
      <c r="W18" s="154"/>
      <c r="X18" s="154"/>
      <c r="Y18" s="154"/>
      <c r="Z18" s="154"/>
      <c r="AA18" s="154"/>
      <c r="AB18" s="154"/>
      <c r="AC18" s="154"/>
      <c r="AD18" s="154"/>
      <c r="AE18" s="154"/>
      <c r="AF18" s="154"/>
      <c r="AG18" s="154"/>
      <c r="AH18" s="154"/>
      <c r="AI18" s="154"/>
      <c r="AJ18" s="154"/>
      <c r="AK18" s="154"/>
      <c r="AL18" s="154"/>
      <c r="AM18" s="154"/>
      <c r="AN18" s="154"/>
    </row>
    <row r="19" spans="1:40" ht="15.75">
      <c r="A19" s="154" t="s">
        <v>137</v>
      </c>
      <c r="B19" s="154"/>
      <c r="C19" s="157"/>
      <c r="D19" s="157"/>
      <c r="E19" s="157"/>
      <c r="F19" s="527"/>
      <c r="G19" s="527">
        <v>3.3000000000000002E-2</v>
      </c>
      <c r="H19" s="527">
        <v>4.5999999999999999E-2</v>
      </c>
      <c r="I19" s="527">
        <v>6.9000000000000006E-2</v>
      </c>
      <c r="J19" s="527">
        <v>5.8000000000000003E-2</v>
      </c>
      <c r="K19" s="721">
        <v>4.8000000000000001E-2</v>
      </c>
      <c r="L19" s="721">
        <v>4.4999999999999998E-2</v>
      </c>
      <c r="M19" s="157"/>
      <c r="N19" s="157"/>
      <c r="O19" s="157"/>
      <c r="P19" s="157"/>
      <c r="Q19" s="157"/>
      <c r="R19" s="157"/>
      <c r="S19" s="157"/>
      <c r="T19" s="157"/>
      <c r="U19" s="157"/>
      <c r="V19" s="157"/>
      <c r="W19" s="154"/>
      <c r="X19" s="154"/>
      <c r="Y19" s="154"/>
      <c r="Z19" s="154"/>
      <c r="AA19" s="154"/>
      <c r="AB19" s="154"/>
      <c r="AC19" s="154"/>
      <c r="AD19" s="154"/>
      <c r="AE19" s="154"/>
      <c r="AF19" s="154"/>
      <c r="AG19" s="154"/>
      <c r="AH19" s="154"/>
      <c r="AI19" s="154"/>
      <c r="AJ19" s="154"/>
      <c r="AK19" s="154"/>
      <c r="AL19" s="154"/>
      <c r="AM19" s="154"/>
      <c r="AN19" s="154"/>
    </row>
    <row r="20" spans="1:40" ht="15.75">
      <c r="A20" s="154"/>
      <c r="B20" s="154"/>
      <c r="C20" s="157"/>
      <c r="D20" s="157"/>
      <c r="E20" s="157"/>
      <c r="F20" s="157"/>
      <c r="G20" s="157"/>
      <c r="H20" s="157"/>
      <c r="I20" s="157"/>
      <c r="J20" s="157"/>
      <c r="K20" s="157"/>
      <c r="L20" s="157"/>
      <c r="M20" s="157"/>
      <c r="N20" s="157"/>
      <c r="O20" s="157"/>
      <c r="P20" s="157"/>
      <c r="Q20" s="157"/>
      <c r="R20" s="157"/>
      <c r="S20" s="157"/>
      <c r="T20" s="157"/>
      <c r="U20" s="157"/>
      <c r="V20" s="157"/>
      <c r="W20" s="154"/>
      <c r="X20" s="154"/>
      <c r="Y20" s="154"/>
      <c r="Z20" s="154"/>
      <c r="AA20" s="154"/>
      <c r="AB20" s="154"/>
      <c r="AC20" s="154"/>
      <c r="AD20" s="154"/>
      <c r="AE20" s="154"/>
      <c r="AF20" s="154"/>
      <c r="AG20" s="154"/>
      <c r="AH20" s="154"/>
      <c r="AI20" s="154"/>
      <c r="AJ20" s="154"/>
      <c r="AK20" s="154"/>
      <c r="AL20" s="154"/>
      <c r="AM20" s="154"/>
      <c r="AN20" s="154"/>
    </row>
    <row r="21" spans="1:40" ht="15.75">
      <c r="A21" s="154"/>
      <c r="B21" s="154"/>
      <c r="C21" s="157"/>
      <c r="D21" s="157"/>
      <c r="E21" s="157"/>
      <c r="F21" s="157"/>
      <c r="G21" s="157"/>
      <c r="H21" s="157"/>
      <c r="I21" s="157"/>
      <c r="J21" s="157"/>
      <c r="K21" s="157"/>
      <c r="L21" s="157"/>
      <c r="M21" s="157"/>
      <c r="N21" s="157"/>
      <c r="O21" s="157"/>
      <c r="P21" s="157"/>
      <c r="Q21" s="157"/>
      <c r="R21" s="157"/>
      <c r="S21" s="157"/>
      <c r="T21" s="157"/>
      <c r="U21" s="157"/>
      <c r="V21" s="157"/>
      <c r="W21" s="154"/>
      <c r="X21" s="154"/>
      <c r="Y21" s="154"/>
      <c r="Z21" s="154"/>
      <c r="AA21" s="154"/>
      <c r="AB21" s="154"/>
      <c r="AC21" s="154"/>
      <c r="AD21" s="154"/>
      <c r="AE21" s="154"/>
      <c r="AF21" s="154"/>
      <c r="AG21" s="154"/>
      <c r="AH21" s="154"/>
      <c r="AI21" s="154"/>
      <c r="AJ21" s="154"/>
      <c r="AK21" s="154"/>
      <c r="AL21" s="154"/>
      <c r="AM21" s="154"/>
      <c r="AN21" s="154"/>
    </row>
    <row r="22" spans="1:40" ht="15.75">
      <c r="A22" s="154"/>
      <c r="B22" s="154"/>
      <c r="C22" s="157"/>
      <c r="D22" s="157"/>
      <c r="E22" s="157"/>
      <c r="F22" s="157"/>
      <c r="G22" s="157"/>
      <c r="H22" s="157"/>
      <c r="I22" s="157"/>
      <c r="J22" s="157"/>
      <c r="K22" s="157"/>
      <c r="L22" s="157"/>
      <c r="M22" s="157"/>
      <c r="N22" s="157"/>
      <c r="O22" s="157"/>
      <c r="P22" s="157"/>
      <c r="Q22" s="157"/>
      <c r="R22" s="157"/>
      <c r="S22" s="157"/>
      <c r="T22" s="157"/>
      <c r="U22" s="157"/>
      <c r="V22" s="157"/>
      <c r="W22" s="154"/>
      <c r="X22" s="154"/>
      <c r="Y22" s="154"/>
      <c r="Z22" s="154"/>
      <c r="AA22" s="154"/>
      <c r="AB22" s="154"/>
      <c r="AC22" s="154"/>
      <c r="AD22" s="154"/>
      <c r="AE22" s="154"/>
      <c r="AF22" s="154"/>
      <c r="AG22" s="154"/>
      <c r="AH22" s="154"/>
      <c r="AI22" s="154"/>
      <c r="AJ22" s="154"/>
      <c r="AK22" s="154"/>
      <c r="AL22" s="154"/>
      <c r="AM22" s="154"/>
      <c r="AN22" s="154"/>
    </row>
    <row r="23" spans="1:40" ht="15.75">
      <c r="A23" s="160" t="s">
        <v>770</v>
      </c>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AF23" s="660">
        <v>2025</v>
      </c>
      <c r="AG23" s="660">
        <v>2030</v>
      </c>
      <c r="AH23" s="660" t="s">
        <v>354</v>
      </c>
      <c r="AI23" s="660" t="s">
        <v>354</v>
      </c>
      <c r="AJ23" s="154"/>
      <c r="AK23" s="154"/>
      <c r="AL23" s="154"/>
      <c r="AM23" s="154"/>
      <c r="AN23" s="154"/>
    </row>
    <row r="24" spans="1:40" ht="15.75">
      <c r="A24" s="154" t="s">
        <v>278</v>
      </c>
      <c r="B24" s="154"/>
      <c r="C24" s="154"/>
      <c r="D24" s="154"/>
      <c r="E24" s="154"/>
      <c r="F24" s="154"/>
      <c r="G24" s="586">
        <v>4079</v>
      </c>
      <c r="H24" s="586">
        <v>4386</v>
      </c>
      <c r="I24" s="586">
        <v>4859</v>
      </c>
      <c r="J24" s="586">
        <v>5170</v>
      </c>
      <c r="K24" s="540">
        <f t="shared" ref="K24:O24" si="6">J24*(1+K32)</f>
        <v>5247.5499999999993</v>
      </c>
      <c r="L24" s="540">
        <f t="shared" si="6"/>
        <v>5300.0254999999997</v>
      </c>
      <c r="M24" s="540">
        <f t="shared" si="6"/>
        <v>5353.0257549999997</v>
      </c>
      <c r="N24" s="540">
        <f t="shared" si="6"/>
        <v>5406.5560125499997</v>
      </c>
      <c r="O24" s="540">
        <f t="shared" si="6"/>
        <v>5460.6215726754999</v>
      </c>
      <c r="P24" s="540">
        <f t="shared" ref="P24:V27" si="7">O24*(1+P32)</f>
        <v>5515.2277884022551</v>
      </c>
      <c r="Q24" s="540">
        <f t="shared" si="7"/>
        <v>5570.3800662862777</v>
      </c>
      <c r="R24" s="540">
        <f t="shared" si="7"/>
        <v>5626.0838669491404</v>
      </c>
      <c r="S24" s="540">
        <f t="shared" si="7"/>
        <v>5682.3447056186315</v>
      </c>
      <c r="T24" s="540">
        <f t="shared" si="7"/>
        <v>5739.168152674818</v>
      </c>
      <c r="U24" s="540">
        <f t="shared" si="7"/>
        <v>5796.5598342015664</v>
      </c>
      <c r="V24" s="540">
        <f t="shared" si="7"/>
        <v>5854.5254325435826</v>
      </c>
      <c r="W24" s="154"/>
      <c r="X24" s="154"/>
      <c r="AF24" s="540">
        <v>5800</v>
      </c>
      <c r="AG24" s="540">
        <v>7500</v>
      </c>
      <c r="AH24" s="159">
        <f>L24/AF24-1</f>
        <v>-8.6202500000000071E-2</v>
      </c>
      <c r="AI24" s="159">
        <f>Q24/AG24-1</f>
        <v>-0.25728265782849635</v>
      </c>
      <c r="AJ24" s="154"/>
      <c r="AK24" s="154"/>
      <c r="AL24" s="154"/>
      <c r="AM24" s="154"/>
      <c r="AN24" s="154"/>
    </row>
    <row r="25" spans="1:40" ht="15.75">
      <c r="A25" s="154" t="s">
        <v>279</v>
      </c>
      <c r="B25" s="154"/>
      <c r="C25" s="154"/>
      <c r="D25" s="154"/>
      <c r="E25" s="154"/>
      <c r="F25" s="154"/>
      <c r="G25" s="586">
        <v>5208</v>
      </c>
      <c r="H25" s="586">
        <v>5631</v>
      </c>
      <c r="I25" s="586">
        <v>5398</v>
      </c>
      <c r="J25" s="586">
        <v>4188</v>
      </c>
      <c r="K25" s="540">
        <f t="shared" ref="K25:O27" si="8">J25*(1+K33)</f>
        <v>4250.82</v>
      </c>
      <c r="L25" s="540">
        <f t="shared" si="8"/>
        <v>4293.3281999999999</v>
      </c>
      <c r="M25" s="540">
        <f t="shared" si="8"/>
        <v>4336.2614819999999</v>
      </c>
      <c r="N25" s="540">
        <f t="shared" si="8"/>
        <v>4379.62409682</v>
      </c>
      <c r="O25" s="540">
        <f t="shared" si="8"/>
        <v>4423.4203377882004</v>
      </c>
      <c r="P25" s="540">
        <f t="shared" si="7"/>
        <v>4467.6545411660827</v>
      </c>
      <c r="Q25" s="540">
        <f t="shared" si="7"/>
        <v>4512.3310865777439</v>
      </c>
      <c r="R25" s="540">
        <f t="shared" si="7"/>
        <v>4557.454397443521</v>
      </c>
      <c r="S25" s="540">
        <f t="shared" si="7"/>
        <v>4603.028941417956</v>
      </c>
      <c r="T25" s="540">
        <f t="shared" si="7"/>
        <v>4649.0592308321357</v>
      </c>
      <c r="U25" s="540">
        <f t="shared" si="7"/>
        <v>4695.5498231404572</v>
      </c>
      <c r="V25" s="540">
        <f t="shared" si="7"/>
        <v>4742.505321371862</v>
      </c>
      <c r="W25" s="154"/>
      <c r="X25" s="154"/>
      <c r="AF25" s="540">
        <v>7000</v>
      </c>
      <c r="AG25" s="540">
        <v>9200</v>
      </c>
      <c r="AH25" s="159">
        <f>L25/AF25-1</f>
        <v>-0.38666739999999999</v>
      </c>
      <c r="AI25" s="159">
        <f>Q25/AG25-1</f>
        <v>-0.50952922971981041</v>
      </c>
      <c r="AJ25" s="154"/>
      <c r="AK25" s="154"/>
      <c r="AL25" s="154"/>
      <c r="AM25" s="154"/>
      <c r="AN25" s="154"/>
    </row>
    <row r="26" spans="1:40" ht="15.75">
      <c r="A26" s="154" t="s">
        <v>202</v>
      </c>
      <c r="B26" s="154"/>
      <c r="C26" s="154"/>
      <c r="D26" s="154"/>
      <c r="E26" s="154"/>
      <c r="F26" s="154"/>
      <c r="G26" s="586">
        <v>3491</v>
      </c>
      <c r="H26" s="586">
        <v>3479</v>
      </c>
      <c r="I26" s="586">
        <v>3643</v>
      </c>
      <c r="J26" s="586">
        <v>3737</v>
      </c>
      <c r="K26" s="540">
        <f t="shared" si="8"/>
        <v>3755.6849999999995</v>
      </c>
      <c r="L26" s="540">
        <f t="shared" si="8"/>
        <v>3774.463424999999</v>
      </c>
      <c r="M26" s="540">
        <f t="shared" si="8"/>
        <v>3793.3357421249984</v>
      </c>
      <c r="N26" s="540">
        <f t="shared" si="8"/>
        <v>3812.3024208356228</v>
      </c>
      <c r="O26" s="540">
        <f t="shared" si="8"/>
        <v>3831.3639329398006</v>
      </c>
      <c r="P26" s="540">
        <f t="shared" si="7"/>
        <v>3850.5207526044992</v>
      </c>
      <c r="Q26" s="540">
        <f t="shared" si="7"/>
        <v>3869.7733563675215</v>
      </c>
      <c r="R26" s="540">
        <f t="shared" si="7"/>
        <v>3889.1222231493589</v>
      </c>
      <c r="S26" s="540">
        <f t="shared" si="7"/>
        <v>3908.5678342651054</v>
      </c>
      <c r="T26" s="540">
        <f t="shared" si="7"/>
        <v>3928.1106734364303</v>
      </c>
      <c r="U26" s="540">
        <f t="shared" si="7"/>
        <v>3947.7512268036121</v>
      </c>
      <c r="V26" s="540">
        <f t="shared" si="7"/>
        <v>3967.4899829376295</v>
      </c>
      <c r="W26" s="154"/>
      <c r="X26" s="154"/>
      <c r="AF26" s="540">
        <v>4700</v>
      </c>
      <c r="AG26" s="540">
        <v>5700</v>
      </c>
      <c r="AH26" s="159">
        <f>L26/AF26-1</f>
        <v>-0.19692267553191511</v>
      </c>
      <c r="AI26" s="159">
        <f>Q26/AG26-1</f>
        <v>-0.32109239361973307</v>
      </c>
      <c r="AJ26" s="154"/>
      <c r="AK26" s="154"/>
      <c r="AL26" s="154"/>
      <c r="AM26" s="154"/>
      <c r="AN26" s="154"/>
    </row>
    <row r="27" spans="1:40" ht="15.75">
      <c r="A27" s="154" t="s">
        <v>206</v>
      </c>
      <c r="B27" s="154"/>
      <c r="C27" s="154"/>
      <c r="D27" s="154"/>
      <c r="E27" s="154"/>
      <c r="F27" s="154"/>
      <c r="G27" s="587">
        <v>1605</v>
      </c>
      <c r="H27" s="587">
        <v>1739</v>
      </c>
      <c r="I27" s="587">
        <v>1861</v>
      </c>
      <c r="J27" s="587">
        <v>2099</v>
      </c>
      <c r="K27" s="588">
        <f t="shared" si="8"/>
        <v>2203.9500000000003</v>
      </c>
      <c r="L27" s="588">
        <f t="shared" si="8"/>
        <v>2292.1080000000002</v>
      </c>
      <c r="M27" s="588">
        <f t="shared" si="8"/>
        <v>2360.8712400000004</v>
      </c>
      <c r="N27" s="588">
        <f t="shared" si="8"/>
        <v>2408.0886648000005</v>
      </c>
      <c r="O27" s="588">
        <f t="shared" si="8"/>
        <v>2432.1695514480007</v>
      </c>
      <c r="P27" s="588">
        <f t="shared" si="7"/>
        <v>2456.4912469624805</v>
      </c>
      <c r="Q27" s="588">
        <f t="shared" si="7"/>
        <v>2481.0561594321052</v>
      </c>
      <c r="R27" s="588">
        <f t="shared" si="7"/>
        <v>2505.8667210264261</v>
      </c>
      <c r="S27" s="588">
        <f t="shared" si="7"/>
        <v>2530.9253882366907</v>
      </c>
      <c r="T27" s="588">
        <f t="shared" si="7"/>
        <v>2556.2346421190578</v>
      </c>
      <c r="U27" s="588">
        <f t="shared" si="7"/>
        <v>2581.7969885402485</v>
      </c>
      <c r="V27" s="588">
        <f t="shared" si="7"/>
        <v>2607.6149584256509</v>
      </c>
      <c r="W27" s="154"/>
      <c r="X27" s="154"/>
      <c r="AF27" s="540">
        <v>2000</v>
      </c>
      <c r="AG27" s="540">
        <v>2400</v>
      </c>
      <c r="AH27" s="159">
        <f>L27/AF27-1</f>
        <v>0.14605400000000013</v>
      </c>
      <c r="AI27" s="159">
        <f>Q27/AG27-1</f>
        <v>3.3773399763377121E-2</v>
      </c>
      <c r="AJ27" s="154"/>
      <c r="AK27" s="154"/>
      <c r="AL27" s="154"/>
      <c r="AM27" s="154"/>
      <c r="AN27" s="154"/>
    </row>
    <row r="28" spans="1:40" ht="15.75">
      <c r="A28" s="154" t="s">
        <v>137</v>
      </c>
      <c r="B28" s="154"/>
      <c r="C28" s="154"/>
      <c r="D28" s="154"/>
      <c r="E28" s="154"/>
      <c r="F28" s="154"/>
      <c r="G28" s="587"/>
      <c r="H28" s="587">
        <v>24941</v>
      </c>
      <c r="I28" s="587">
        <v>25848</v>
      </c>
      <c r="J28" s="587">
        <v>25721</v>
      </c>
      <c r="K28" s="589">
        <f t="shared" ref="K28:V28" si="9">J28*(1+K36)</f>
        <v>25978.21</v>
      </c>
      <c r="L28" s="589">
        <f t="shared" si="9"/>
        <v>26237.992099999999</v>
      </c>
      <c r="M28" s="589">
        <f t="shared" si="9"/>
        <v>26500.372020999999</v>
      </c>
      <c r="N28" s="589">
        <f t="shared" si="9"/>
        <v>26765.375741209999</v>
      </c>
      <c r="O28" s="589">
        <f t="shared" si="9"/>
        <v>27033.029498622098</v>
      </c>
      <c r="P28" s="589">
        <f t="shared" si="9"/>
        <v>27303.359793608321</v>
      </c>
      <c r="Q28" s="589">
        <f t="shared" si="9"/>
        <v>27576.393391544403</v>
      </c>
      <c r="R28" s="589">
        <f t="shared" si="9"/>
        <v>27852.157325459848</v>
      </c>
      <c r="S28" s="589">
        <f t="shared" si="9"/>
        <v>28130.678898714446</v>
      </c>
      <c r="T28" s="589">
        <f t="shared" si="9"/>
        <v>28411.985687701592</v>
      </c>
      <c r="U28" s="589">
        <f t="shared" si="9"/>
        <v>28696.105544578608</v>
      </c>
      <c r="V28" s="589">
        <f t="shared" si="9"/>
        <v>28983.066600024395</v>
      </c>
      <c r="W28" s="154"/>
      <c r="X28" s="154"/>
      <c r="AF28" s="540"/>
      <c r="AG28" s="540"/>
      <c r="AH28" s="159"/>
      <c r="AI28" s="159"/>
      <c r="AJ28" s="154"/>
      <c r="AK28" s="154"/>
      <c r="AL28" s="154"/>
      <c r="AM28" s="154"/>
      <c r="AN28" s="154"/>
    </row>
    <row r="29" spans="1:40" ht="15.75">
      <c r="A29" s="525" t="s">
        <v>181</v>
      </c>
      <c r="B29" s="525"/>
      <c r="C29" s="525"/>
      <c r="D29" s="525"/>
      <c r="E29" s="525"/>
      <c r="F29" s="525"/>
      <c r="G29" s="590">
        <f>SUM(G24:G28)</f>
        <v>14383</v>
      </c>
      <c r="H29" s="590">
        <f t="shared" ref="H29:Q29" si="10">SUM(H24:H28)</f>
        <v>40176</v>
      </c>
      <c r="I29" s="590">
        <f t="shared" si="10"/>
        <v>41609</v>
      </c>
      <c r="J29" s="590">
        <f t="shared" si="10"/>
        <v>40915</v>
      </c>
      <c r="K29" s="590">
        <f t="shared" si="10"/>
        <v>41436.214999999997</v>
      </c>
      <c r="L29" s="590">
        <f t="shared" si="10"/>
        <v>41897.917224999997</v>
      </c>
      <c r="M29" s="590">
        <f t="shared" si="10"/>
        <v>42343.866240124997</v>
      </c>
      <c r="N29" s="590">
        <f t="shared" si="10"/>
        <v>42771.946936215623</v>
      </c>
      <c r="O29" s="590">
        <f t="shared" si="10"/>
        <v>43180.604893473603</v>
      </c>
      <c r="P29" s="590">
        <f t="shared" si="10"/>
        <v>43593.254122743638</v>
      </c>
      <c r="Q29" s="590">
        <f t="shared" si="10"/>
        <v>44009.934060208048</v>
      </c>
      <c r="R29" s="590">
        <f t="shared" ref="R29:V29" si="11">SUM(R24:R28)</f>
        <v>44430.684534028289</v>
      </c>
      <c r="S29" s="590">
        <f t="shared" si="11"/>
        <v>44855.545768252829</v>
      </c>
      <c r="T29" s="590">
        <f t="shared" si="11"/>
        <v>45284.558386764031</v>
      </c>
      <c r="U29" s="590">
        <f t="shared" si="11"/>
        <v>45717.76341726449</v>
      </c>
      <c r="V29" s="590">
        <f t="shared" si="11"/>
        <v>46155.202295303119</v>
      </c>
      <c r="W29" s="154"/>
      <c r="X29" s="154"/>
      <c r="Y29" s="154"/>
      <c r="Z29" s="154"/>
      <c r="AA29" s="154"/>
      <c r="AB29" s="154"/>
      <c r="AC29" s="154"/>
      <c r="AD29" s="154"/>
      <c r="AE29" s="154"/>
      <c r="AF29" s="154"/>
      <c r="AG29" s="154"/>
      <c r="AH29" s="154"/>
      <c r="AI29" s="154"/>
      <c r="AJ29" s="154"/>
      <c r="AK29" s="154"/>
      <c r="AL29" s="154"/>
      <c r="AM29" s="154"/>
      <c r="AN29" s="154"/>
    </row>
    <row r="30" spans="1:40" ht="15.75">
      <c r="A30" s="160"/>
      <c r="B30" s="160"/>
      <c r="C30" s="160"/>
      <c r="D30" s="160"/>
      <c r="E30" s="160"/>
      <c r="F30" s="160"/>
      <c r="G30" s="591"/>
      <c r="H30" s="591"/>
      <c r="I30" s="591"/>
      <c r="J30" s="591"/>
      <c r="K30" s="591"/>
      <c r="L30" s="591"/>
      <c r="M30" s="591"/>
      <c r="N30" s="591"/>
      <c r="O30" s="591"/>
      <c r="P30" s="591"/>
      <c r="Q30" s="591"/>
      <c r="R30" s="591"/>
      <c r="S30" s="591"/>
      <c r="T30" s="591"/>
      <c r="U30" s="591"/>
      <c r="V30" s="591"/>
      <c r="W30" s="154"/>
      <c r="X30" s="154"/>
      <c r="Y30" s="154"/>
      <c r="Z30" s="154"/>
      <c r="AA30" s="154"/>
      <c r="AB30" s="154"/>
      <c r="AC30" s="154"/>
      <c r="AD30" s="154"/>
      <c r="AE30" s="154"/>
      <c r="AF30" s="154"/>
      <c r="AG30" s="154"/>
      <c r="AH30" s="154"/>
      <c r="AI30" s="154"/>
      <c r="AJ30" s="154"/>
      <c r="AK30" s="154"/>
      <c r="AL30" s="154"/>
      <c r="AM30" s="154"/>
      <c r="AN30" s="154"/>
    </row>
    <row r="31" spans="1:40" ht="15.75">
      <c r="A31" s="160" t="s">
        <v>772</v>
      </c>
      <c r="B31" s="160"/>
      <c r="C31" s="160"/>
      <c r="D31" s="160"/>
      <c r="E31" s="160"/>
      <c r="F31" s="160"/>
      <c r="G31" s="591"/>
      <c r="H31" s="160"/>
      <c r="I31" s="160"/>
      <c r="J31" s="160"/>
      <c r="K31" s="160"/>
      <c r="L31" s="160"/>
      <c r="M31" s="160"/>
      <c r="N31" s="160"/>
      <c r="O31" s="160"/>
      <c r="P31" s="160"/>
      <c r="Q31" s="160"/>
      <c r="R31" s="160"/>
      <c r="S31" s="160"/>
      <c r="T31" s="160"/>
      <c r="U31" s="160"/>
      <c r="V31" s="160"/>
      <c r="W31" s="154"/>
      <c r="X31" s="154"/>
      <c r="Y31" s="154"/>
      <c r="Z31" s="154"/>
      <c r="AA31" s="154"/>
      <c r="AB31" s="154"/>
      <c r="AC31" s="154"/>
      <c r="AD31" s="154"/>
      <c r="AE31" s="154"/>
      <c r="AF31" s="154"/>
      <c r="AG31" s="154"/>
      <c r="AH31" s="154"/>
      <c r="AI31" s="154"/>
      <c r="AJ31" s="154"/>
      <c r="AK31" s="154"/>
      <c r="AL31" s="154"/>
      <c r="AM31" s="154"/>
      <c r="AN31" s="154"/>
    </row>
    <row r="32" spans="1:40" ht="15.75">
      <c r="A32" s="154" t="s">
        <v>278</v>
      </c>
      <c r="B32" s="160"/>
      <c r="C32" s="160"/>
      <c r="D32" s="160"/>
      <c r="E32" s="160"/>
      <c r="F32" s="160"/>
      <c r="G32" s="591"/>
      <c r="H32" s="592">
        <f>H24/G24-1</f>
        <v>7.5263544986516218E-2</v>
      </c>
      <c r="I32" s="592">
        <f>I24/H24-1</f>
        <v>0.10784313725490202</v>
      </c>
      <c r="J32" s="592">
        <f>J24/I24-1</f>
        <v>6.4004939287919393E-2</v>
      </c>
      <c r="K32" s="547">
        <v>1.4999999999999999E-2</v>
      </c>
      <c r="L32" s="547">
        <v>0.01</v>
      </c>
      <c r="M32" s="547">
        <v>0.01</v>
      </c>
      <c r="N32" s="547">
        <v>0.01</v>
      </c>
      <c r="O32" s="547">
        <v>0.01</v>
      </c>
      <c r="P32" s="547">
        <v>0.01</v>
      </c>
      <c r="Q32" s="547">
        <v>0.01</v>
      </c>
      <c r="R32" s="547">
        <v>0.01</v>
      </c>
      <c r="S32" s="547">
        <v>0.01</v>
      </c>
      <c r="T32" s="547">
        <v>0.01</v>
      </c>
      <c r="U32" s="547">
        <v>0.01</v>
      </c>
      <c r="V32" s="547">
        <v>0.01</v>
      </c>
      <c r="W32" s="154"/>
      <c r="X32" s="154"/>
      <c r="Y32" s="154"/>
      <c r="Z32" s="154"/>
      <c r="AA32" s="154"/>
      <c r="AB32" s="154"/>
      <c r="AC32" s="154"/>
      <c r="AD32" s="154"/>
      <c r="AE32" s="154"/>
      <c r="AF32" s="154"/>
      <c r="AG32" s="154"/>
      <c r="AH32" s="154"/>
      <c r="AI32" s="154"/>
      <c r="AJ32" s="154"/>
      <c r="AK32" s="154"/>
      <c r="AL32" s="154"/>
      <c r="AM32" s="154"/>
      <c r="AN32" s="154"/>
    </row>
    <row r="33" spans="1:40" ht="15.75">
      <c r="A33" s="154" t="s">
        <v>279</v>
      </c>
      <c r="B33" s="160"/>
      <c r="C33" s="160"/>
      <c r="D33" s="160"/>
      <c r="E33" s="160"/>
      <c r="F33" s="160"/>
      <c r="G33" s="591"/>
      <c r="H33" s="592">
        <f t="shared" ref="H33:J36" si="12">H25/G25-1</f>
        <v>8.122119815668194E-2</v>
      </c>
      <c r="I33" s="592">
        <f t="shared" si="12"/>
        <v>-4.1378085597584824E-2</v>
      </c>
      <c r="J33" s="592">
        <f t="shared" si="12"/>
        <v>-0.22415709522045202</v>
      </c>
      <c r="K33" s="547">
        <v>1.4999999999999999E-2</v>
      </c>
      <c r="L33" s="547">
        <v>0.01</v>
      </c>
      <c r="M33" s="547">
        <v>0.01</v>
      </c>
      <c r="N33" s="547">
        <v>0.01</v>
      </c>
      <c r="O33" s="547">
        <v>0.01</v>
      </c>
      <c r="P33" s="547">
        <v>0.01</v>
      </c>
      <c r="Q33" s="547">
        <v>0.01</v>
      </c>
      <c r="R33" s="547">
        <v>0.01</v>
      </c>
      <c r="S33" s="547">
        <v>0.01</v>
      </c>
      <c r="T33" s="547">
        <v>0.01</v>
      </c>
      <c r="U33" s="547">
        <v>0.01</v>
      </c>
      <c r="V33" s="547">
        <v>0.01</v>
      </c>
      <c r="W33" s="154"/>
      <c r="X33" s="154"/>
      <c r="Y33" s="154"/>
      <c r="Z33" s="154"/>
      <c r="AA33" s="154"/>
      <c r="AB33" s="154"/>
      <c r="AC33" s="154"/>
      <c r="AD33" s="154"/>
      <c r="AE33" s="154"/>
      <c r="AF33" s="154"/>
      <c r="AG33" s="154"/>
      <c r="AH33" s="154"/>
      <c r="AI33" s="154"/>
      <c r="AJ33" s="154"/>
      <c r="AK33" s="154"/>
      <c r="AL33" s="154"/>
      <c r="AM33" s="154"/>
      <c r="AN33" s="154"/>
    </row>
    <row r="34" spans="1:40" ht="15.75">
      <c r="A34" s="154" t="s">
        <v>202</v>
      </c>
      <c r="B34" s="160"/>
      <c r="C34" s="160"/>
      <c r="D34" s="160"/>
      <c r="E34" s="160"/>
      <c r="F34" s="160"/>
      <c r="G34" s="591"/>
      <c r="H34" s="592">
        <f t="shared" si="12"/>
        <v>-3.4374104841019548E-3</v>
      </c>
      <c r="I34" s="592">
        <f t="shared" si="12"/>
        <v>4.7139982753664933E-2</v>
      </c>
      <c r="J34" s="592">
        <f t="shared" si="12"/>
        <v>2.5802909689816023E-2</v>
      </c>
      <c r="K34" s="547">
        <v>5.0000000000000001E-3</v>
      </c>
      <c r="L34" s="547">
        <v>5.0000000000000001E-3</v>
      </c>
      <c r="M34" s="547">
        <v>5.0000000000000001E-3</v>
      </c>
      <c r="N34" s="547">
        <v>5.0000000000000001E-3</v>
      </c>
      <c r="O34" s="547">
        <v>5.0000000000000001E-3</v>
      </c>
      <c r="P34" s="547">
        <v>5.0000000000000001E-3</v>
      </c>
      <c r="Q34" s="547">
        <v>5.0000000000000001E-3</v>
      </c>
      <c r="R34" s="547">
        <v>5.0000000000000001E-3</v>
      </c>
      <c r="S34" s="547">
        <v>5.0000000000000001E-3</v>
      </c>
      <c r="T34" s="547">
        <v>5.0000000000000001E-3</v>
      </c>
      <c r="U34" s="547">
        <v>5.0000000000000001E-3</v>
      </c>
      <c r="V34" s="547">
        <v>5.0000000000000001E-3</v>
      </c>
      <c r="W34" s="154"/>
      <c r="X34" s="154"/>
      <c r="Y34" s="154"/>
      <c r="Z34" s="154"/>
      <c r="AA34" s="154"/>
      <c r="AB34" s="154"/>
      <c r="AC34" s="154"/>
      <c r="AD34" s="154"/>
      <c r="AE34" s="154"/>
      <c r="AF34" s="154"/>
      <c r="AG34" s="154"/>
      <c r="AH34" s="154"/>
      <c r="AI34" s="154"/>
      <c r="AJ34" s="154"/>
      <c r="AK34" s="154"/>
      <c r="AL34" s="154"/>
      <c r="AM34" s="154"/>
      <c r="AN34" s="154"/>
    </row>
    <row r="35" spans="1:40" ht="15.75">
      <c r="A35" s="154" t="s">
        <v>206</v>
      </c>
      <c r="B35" s="160"/>
      <c r="C35" s="160"/>
      <c r="D35" s="160"/>
      <c r="E35" s="160"/>
      <c r="F35" s="160"/>
      <c r="G35" s="593"/>
      <c r="H35" s="592">
        <f t="shared" si="12"/>
        <v>8.3489096573208688E-2</v>
      </c>
      <c r="I35" s="592">
        <f t="shared" si="12"/>
        <v>7.0155261644623268E-2</v>
      </c>
      <c r="J35" s="592">
        <f t="shared" si="12"/>
        <v>0.12788823213326173</v>
      </c>
      <c r="K35" s="594">
        <v>0.05</v>
      </c>
      <c r="L35" s="594">
        <v>0.04</v>
      </c>
      <c r="M35" s="594">
        <v>0.03</v>
      </c>
      <c r="N35" s="594">
        <v>0.02</v>
      </c>
      <c r="O35" s="594">
        <v>0.01</v>
      </c>
      <c r="P35" s="594">
        <v>0.01</v>
      </c>
      <c r="Q35" s="594">
        <v>0.01</v>
      </c>
      <c r="R35" s="594">
        <v>0.01</v>
      </c>
      <c r="S35" s="594">
        <v>0.01</v>
      </c>
      <c r="T35" s="594">
        <v>0.01</v>
      </c>
      <c r="U35" s="594">
        <v>0.01</v>
      </c>
      <c r="V35" s="594">
        <v>0.01</v>
      </c>
      <c r="W35" s="154"/>
      <c r="X35" s="154"/>
      <c r="Y35" s="154"/>
      <c r="Z35" s="154"/>
      <c r="AA35" s="154"/>
      <c r="AB35" s="154"/>
      <c r="AC35" s="154"/>
      <c r="AD35" s="154"/>
      <c r="AE35" s="154"/>
      <c r="AF35" s="154"/>
      <c r="AG35" s="154"/>
      <c r="AH35" s="154"/>
      <c r="AI35" s="154"/>
      <c r="AJ35" s="154"/>
      <c r="AK35" s="154"/>
      <c r="AL35" s="154"/>
      <c r="AM35" s="154"/>
      <c r="AN35" s="154"/>
    </row>
    <row r="36" spans="1:40" ht="15.75">
      <c r="A36" s="154" t="s">
        <v>137</v>
      </c>
      <c r="B36" s="160"/>
      <c r="C36" s="160"/>
      <c r="D36" s="160"/>
      <c r="E36" s="160"/>
      <c r="F36" s="160"/>
      <c r="G36" s="593"/>
      <c r="H36" s="592"/>
      <c r="I36" s="592">
        <f t="shared" si="12"/>
        <v>3.6365823343089687E-2</v>
      </c>
      <c r="J36" s="592">
        <f t="shared" si="12"/>
        <v>-4.913339523367366E-3</v>
      </c>
      <c r="K36" s="594">
        <v>0.01</v>
      </c>
      <c r="L36" s="594">
        <v>0.01</v>
      </c>
      <c r="M36" s="594">
        <v>0.01</v>
      </c>
      <c r="N36" s="594">
        <v>0.01</v>
      </c>
      <c r="O36" s="594">
        <v>0.01</v>
      </c>
      <c r="P36" s="594">
        <v>0.01</v>
      </c>
      <c r="Q36" s="594">
        <v>0.01</v>
      </c>
      <c r="R36" s="594">
        <v>0.01</v>
      </c>
      <c r="S36" s="594">
        <v>0.01</v>
      </c>
      <c r="T36" s="594">
        <v>0.01</v>
      </c>
      <c r="U36" s="594">
        <v>0.01</v>
      </c>
      <c r="V36" s="594">
        <v>0.01</v>
      </c>
      <c r="W36" s="154"/>
      <c r="X36" s="154"/>
      <c r="Y36" s="154"/>
      <c r="Z36" s="154"/>
      <c r="AA36" s="154"/>
      <c r="AB36" s="154"/>
      <c r="AC36" s="154"/>
      <c r="AD36" s="154"/>
      <c r="AE36" s="154"/>
      <c r="AF36" s="154"/>
      <c r="AG36" s="154"/>
      <c r="AH36" s="154"/>
      <c r="AI36" s="154"/>
      <c r="AJ36" s="154"/>
      <c r="AK36" s="154"/>
      <c r="AL36" s="154"/>
      <c r="AM36" s="154"/>
      <c r="AN36" s="154"/>
    </row>
    <row r="37" spans="1:40" ht="15.75">
      <c r="A37" s="525" t="s">
        <v>181</v>
      </c>
      <c r="B37" s="525"/>
      <c r="C37" s="525"/>
      <c r="D37" s="525"/>
      <c r="E37" s="525"/>
      <c r="F37" s="525"/>
      <c r="G37" s="525"/>
      <c r="H37" s="595">
        <f>H29/G29-1</f>
        <v>1.7932976430508241</v>
      </c>
      <c r="I37" s="595">
        <f t="shared" ref="I37:O37" si="13">I29/H29-1</f>
        <v>3.5668060533651902E-2</v>
      </c>
      <c r="J37" s="595">
        <f t="shared" si="13"/>
        <v>-1.6679083852051191E-2</v>
      </c>
      <c r="K37" s="595">
        <f t="shared" si="13"/>
        <v>1.2738971037516755E-2</v>
      </c>
      <c r="L37" s="595">
        <f t="shared" si="13"/>
        <v>1.1142480677832189E-2</v>
      </c>
      <c r="M37" s="595">
        <f t="shared" si="13"/>
        <v>1.0643703665033311E-2</v>
      </c>
      <c r="N37" s="595">
        <f t="shared" si="13"/>
        <v>1.0109627062938831E-2</v>
      </c>
      <c r="O37" s="595">
        <f t="shared" si="13"/>
        <v>9.5543454654378746E-3</v>
      </c>
      <c r="P37" s="595">
        <f t="shared" ref="P37:V37" si="14">P29/O29-1</f>
        <v>9.5563559215541272E-3</v>
      </c>
      <c r="Q37" s="595">
        <f t="shared" si="14"/>
        <v>9.5583581875118284E-3</v>
      </c>
      <c r="R37" s="595">
        <f t="shared" si="14"/>
        <v>9.5603522887499626E-3</v>
      </c>
      <c r="S37" s="595">
        <f t="shared" si="14"/>
        <v>9.5623382507004084E-3</v>
      </c>
      <c r="T37" s="595">
        <f t="shared" si="14"/>
        <v>9.5643160987874953E-3</v>
      </c>
      <c r="U37" s="595">
        <f t="shared" si="14"/>
        <v>9.5662858584280031E-3</v>
      </c>
      <c r="V37" s="595">
        <f t="shared" si="14"/>
        <v>9.5682475550289414E-3</v>
      </c>
      <c r="W37" s="154"/>
      <c r="X37" s="154"/>
      <c r="Y37" s="154"/>
      <c r="Z37" s="154"/>
      <c r="AA37" s="154"/>
      <c r="AB37" s="154"/>
      <c r="AC37" s="154"/>
      <c r="AD37" s="154"/>
      <c r="AE37" s="154"/>
      <c r="AF37" s="154"/>
      <c r="AG37" s="154"/>
      <c r="AH37" s="154"/>
      <c r="AI37" s="154"/>
      <c r="AJ37" s="154"/>
      <c r="AK37" s="154"/>
      <c r="AL37" s="154"/>
      <c r="AM37" s="154"/>
      <c r="AN37" s="154"/>
    </row>
    <row r="38" spans="1:40" ht="15.75">
      <c r="A38" s="160"/>
      <c r="B38" s="154"/>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row>
    <row r="39" spans="1:40" ht="15.75">
      <c r="A39" s="160" t="s">
        <v>777</v>
      </c>
      <c r="B39" s="154"/>
      <c r="C39" s="154"/>
      <c r="D39" s="154"/>
      <c r="E39" s="154"/>
      <c r="F39" s="154"/>
      <c r="G39" s="154"/>
      <c r="H39" s="154"/>
      <c r="I39" s="154"/>
      <c r="J39" s="157"/>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row>
    <row r="40" spans="1:40" ht="15.75">
      <c r="A40" s="154" t="s">
        <v>278</v>
      </c>
      <c r="B40" s="154"/>
      <c r="C40" s="154"/>
      <c r="D40" s="154"/>
      <c r="E40" s="154"/>
      <c r="F40" s="154"/>
      <c r="G40" s="467">
        <f t="shared" ref="G40:H43" si="15">G48/G24</f>
        <v>0.66241725913214022</v>
      </c>
      <c r="H40" s="467">
        <f t="shared" si="15"/>
        <v>0.61399908800729597</v>
      </c>
      <c r="I40" s="467">
        <f t="shared" ref="I40:J40" si="16">I48/I24</f>
        <v>0.55546408726075325</v>
      </c>
      <c r="J40" s="467">
        <f t="shared" si="16"/>
        <v>0.52108317214700195</v>
      </c>
      <c r="K40" s="547">
        <v>0.52</v>
      </c>
      <c r="L40" s="547">
        <v>0.503</v>
      </c>
      <c r="M40" s="547">
        <v>0.501</v>
      </c>
      <c r="N40" s="547">
        <v>0.4985</v>
      </c>
      <c r="O40" s="547">
        <f>N40-0.3%</f>
        <v>0.4955</v>
      </c>
      <c r="P40" s="547">
        <f>O40-0.3%</f>
        <v>0.49249999999999999</v>
      </c>
      <c r="Q40" s="547">
        <f t="shared" ref="Q40:V40" si="17">P40-0.3%</f>
        <v>0.48949999999999999</v>
      </c>
      <c r="R40" s="547">
        <f t="shared" si="17"/>
        <v>0.48649999999999999</v>
      </c>
      <c r="S40" s="547">
        <f t="shared" si="17"/>
        <v>0.48349999999999999</v>
      </c>
      <c r="T40" s="547">
        <f t="shared" si="17"/>
        <v>0.48049999999999998</v>
      </c>
      <c r="U40" s="547">
        <f t="shared" si="17"/>
        <v>0.47749999999999998</v>
      </c>
      <c r="V40" s="547">
        <f t="shared" si="17"/>
        <v>0.47449999999999998</v>
      </c>
      <c r="W40" s="154"/>
      <c r="X40" s="154"/>
      <c r="Y40" s="154"/>
      <c r="Z40" s="154"/>
      <c r="AA40" s="154"/>
      <c r="AB40" s="154"/>
      <c r="AC40" s="154"/>
      <c r="AD40" s="154"/>
      <c r="AE40" s="154"/>
      <c r="AF40" s="154"/>
      <c r="AG40" s="154"/>
      <c r="AH40" s="154"/>
      <c r="AI40" s="154"/>
      <c r="AJ40" s="154"/>
      <c r="AK40" s="154"/>
      <c r="AL40" s="154"/>
      <c r="AM40" s="154"/>
      <c r="AN40" s="154"/>
    </row>
    <row r="41" spans="1:40" ht="15.75">
      <c r="A41" s="154" t="s">
        <v>279</v>
      </c>
      <c r="B41" s="154"/>
      <c r="C41" s="154"/>
      <c r="D41" s="154"/>
      <c r="E41" s="154"/>
      <c r="F41" s="154"/>
      <c r="G41" s="467">
        <f t="shared" si="15"/>
        <v>0.42511520737327191</v>
      </c>
      <c r="H41" s="467">
        <f t="shared" si="15"/>
        <v>0.39531166755460839</v>
      </c>
      <c r="I41" s="467">
        <f t="shared" ref="I41:J41" si="18">I49/I25</f>
        <v>0.42219340496480179</v>
      </c>
      <c r="J41" s="467">
        <f t="shared" si="18"/>
        <v>0.56303724928366761</v>
      </c>
      <c r="K41" s="547">
        <v>0.56000000000000005</v>
      </c>
      <c r="L41" s="547">
        <v>0.57999999999999996</v>
      </c>
      <c r="M41" s="547">
        <f>L41+0.25%</f>
        <v>0.58249999999999991</v>
      </c>
      <c r="N41" s="547">
        <f t="shared" ref="N41:V41" si="19">M41+0.25%</f>
        <v>0.58499999999999985</v>
      </c>
      <c r="O41" s="547">
        <f t="shared" si="19"/>
        <v>0.5874999999999998</v>
      </c>
      <c r="P41" s="547">
        <f t="shared" si="19"/>
        <v>0.58999999999999975</v>
      </c>
      <c r="Q41" s="547">
        <f t="shared" si="19"/>
        <v>0.59249999999999969</v>
      </c>
      <c r="R41" s="547">
        <f t="shared" si="19"/>
        <v>0.59499999999999964</v>
      </c>
      <c r="S41" s="547">
        <f t="shared" si="19"/>
        <v>0.59749999999999959</v>
      </c>
      <c r="T41" s="547">
        <f t="shared" si="19"/>
        <v>0.59999999999999953</v>
      </c>
      <c r="U41" s="547">
        <f t="shared" si="19"/>
        <v>0.60249999999999948</v>
      </c>
      <c r="V41" s="547">
        <f t="shared" si="19"/>
        <v>0.60499999999999943</v>
      </c>
      <c r="W41" s="154"/>
      <c r="X41" s="154"/>
      <c r="Y41" s="154"/>
      <c r="Z41" s="154"/>
      <c r="AA41" s="154"/>
      <c r="AB41" s="154"/>
      <c r="AC41" s="154"/>
      <c r="AD41" s="154"/>
      <c r="AE41" s="154"/>
      <c r="AF41" s="154"/>
      <c r="AG41" s="154"/>
      <c r="AH41" s="154"/>
      <c r="AI41" s="154"/>
      <c r="AJ41" s="154"/>
      <c r="AK41" s="154"/>
      <c r="AL41" s="154"/>
      <c r="AM41" s="154"/>
      <c r="AN41" s="154"/>
    </row>
    <row r="42" spans="1:40" ht="15.75">
      <c r="A42" s="154" t="s">
        <v>202</v>
      </c>
      <c r="B42" s="154"/>
      <c r="C42" s="154"/>
      <c r="D42" s="154"/>
      <c r="E42" s="154"/>
      <c r="F42" s="154"/>
      <c r="G42" s="467">
        <f t="shared" si="15"/>
        <v>0.50214838155256369</v>
      </c>
      <c r="H42" s="467">
        <f t="shared" si="15"/>
        <v>0.50158091405576311</v>
      </c>
      <c r="I42" s="467">
        <f t="shared" ref="I42:J42" si="20">I50/I26</f>
        <v>0.51111721108976116</v>
      </c>
      <c r="J42" s="467">
        <f t="shared" si="20"/>
        <v>0.50280974043350279</v>
      </c>
      <c r="K42" s="547">
        <v>0.5</v>
      </c>
      <c r="L42" s="547">
        <v>0.495</v>
      </c>
      <c r="M42" s="547">
        <v>0.497</v>
      </c>
      <c r="N42" s="547">
        <v>0.497</v>
      </c>
      <c r="O42" s="547">
        <v>0.497</v>
      </c>
      <c r="P42" s="547">
        <v>0.497</v>
      </c>
      <c r="Q42" s="547">
        <v>0.497</v>
      </c>
      <c r="R42" s="547">
        <v>0.497</v>
      </c>
      <c r="S42" s="547">
        <v>0.497</v>
      </c>
      <c r="T42" s="547">
        <v>0.497</v>
      </c>
      <c r="U42" s="547">
        <v>0.497</v>
      </c>
      <c r="V42" s="547">
        <v>0.497</v>
      </c>
      <c r="W42" s="154"/>
      <c r="X42" s="154"/>
      <c r="Y42" s="154"/>
      <c r="Z42" s="154"/>
      <c r="AA42" s="154"/>
      <c r="AB42" s="154"/>
      <c r="AC42" s="154"/>
      <c r="AD42" s="154"/>
      <c r="AE42" s="154"/>
      <c r="AF42" s="154"/>
      <c r="AG42" s="154"/>
      <c r="AH42" s="154"/>
      <c r="AI42" s="154"/>
      <c r="AJ42" s="154"/>
      <c r="AK42" s="154"/>
      <c r="AL42" s="154"/>
      <c r="AM42" s="154"/>
      <c r="AN42" s="154"/>
    </row>
    <row r="43" spans="1:40" ht="15.75">
      <c r="A43" s="154" t="s">
        <v>206</v>
      </c>
      <c r="B43" s="154"/>
      <c r="C43" s="154"/>
      <c r="D43" s="154"/>
      <c r="E43" s="154"/>
      <c r="F43" s="154"/>
      <c r="G43" s="596">
        <f t="shared" si="15"/>
        <v>0.59688473520249219</v>
      </c>
      <c r="H43" s="596">
        <f t="shared" si="15"/>
        <v>0.69810235767682571</v>
      </c>
      <c r="I43" s="596">
        <f t="shared" ref="I43:J44" si="21">I51/I27</f>
        <v>0.70875873186458893</v>
      </c>
      <c r="J43" s="596">
        <f t="shared" si="21"/>
        <v>0.68318246784182945</v>
      </c>
      <c r="K43" s="547">
        <v>0.65</v>
      </c>
      <c r="L43" s="547">
        <v>0</v>
      </c>
      <c r="M43" s="547">
        <v>0</v>
      </c>
      <c r="N43" s="547">
        <v>0</v>
      </c>
      <c r="O43" s="547">
        <v>0</v>
      </c>
      <c r="P43" s="547">
        <v>0</v>
      </c>
      <c r="Q43" s="547">
        <v>0</v>
      </c>
      <c r="R43" s="547">
        <v>0</v>
      </c>
      <c r="S43" s="547">
        <v>0</v>
      </c>
      <c r="T43" s="547">
        <v>0</v>
      </c>
      <c r="U43" s="547">
        <v>0</v>
      </c>
      <c r="V43" s="547">
        <v>0</v>
      </c>
      <c r="W43" s="154"/>
      <c r="X43" s="154"/>
      <c r="Y43" s="154"/>
      <c r="Z43" s="154"/>
      <c r="AA43" s="154"/>
      <c r="AB43" s="154"/>
      <c r="AC43" s="154"/>
      <c r="AD43" s="154"/>
      <c r="AE43" s="154"/>
      <c r="AF43" s="154"/>
      <c r="AG43" s="154"/>
      <c r="AH43" s="154"/>
      <c r="AI43" s="154"/>
      <c r="AJ43" s="154"/>
      <c r="AK43" s="154"/>
      <c r="AL43" s="154"/>
      <c r="AM43" s="154"/>
      <c r="AN43" s="154"/>
    </row>
    <row r="44" spans="1:40" ht="15.75">
      <c r="A44" s="154" t="s">
        <v>137</v>
      </c>
      <c r="B44" s="154"/>
      <c r="C44" s="154"/>
      <c r="D44" s="154"/>
      <c r="E44" s="154"/>
      <c r="F44" s="154"/>
      <c r="G44" s="597"/>
      <c r="H44" s="597"/>
      <c r="I44" s="596">
        <f t="shared" si="21"/>
        <v>0.22017177344475394</v>
      </c>
      <c r="J44" s="596">
        <f t="shared" si="21"/>
        <v>0.22125889351113875</v>
      </c>
      <c r="K44" s="594">
        <v>0.22</v>
      </c>
      <c r="L44" s="594">
        <v>0.21709999999999999</v>
      </c>
      <c r="M44" s="594">
        <v>0.21529999999999999</v>
      </c>
      <c r="N44" s="594">
        <v>0.2137</v>
      </c>
      <c r="O44" s="594">
        <v>0.21229999999999999</v>
      </c>
      <c r="P44" s="594">
        <v>0.21110000000000001</v>
      </c>
      <c r="Q44" s="594">
        <v>0.21</v>
      </c>
      <c r="R44" s="594">
        <v>0.20949999999999999</v>
      </c>
      <c r="S44" s="594">
        <v>0.2094</v>
      </c>
      <c r="T44" s="594">
        <v>0.20949999999999999</v>
      </c>
      <c r="U44" s="594">
        <v>0.20979999999999999</v>
      </c>
      <c r="V44" s="594">
        <v>0.21049999999999999</v>
      </c>
      <c r="W44" s="154"/>
      <c r="X44" s="154"/>
      <c r="Y44" s="154"/>
      <c r="Z44" s="154"/>
      <c r="AA44" s="154"/>
      <c r="AB44" s="154"/>
      <c r="AC44" s="154"/>
      <c r="AD44" s="154"/>
      <c r="AE44" s="154"/>
      <c r="AF44" s="154"/>
      <c r="AG44" s="154"/>
      <c r="AH44" s="154"/>
      <c r="AI44" s="154"/>
      <c r="AJ44" s="154"/>
      <c r="AK44" s="154"/>
      <c r="AL44" s="154"/>
      <c r="AM44" s="154"/>
      <c r="AN44" s="154"/>
    </row>
    <row r="45" spans="1:40" ht="15.75">
      <c r="A45" s="525" t="s">
        <v>181</v>
      </c>
      <c r="B45" s="525"/>
      <c r="C45" s="525"/>
      <c r="D45" s="525"/>
      <c r="E45" s="525"/>
      <c r="F45" s="525"/>
      <c r="G45" s="598">
        <f t="shared" ref="G45:Q45" si="22">G53/G29</f>
        <v>0.53027880136271988</v>
      </c>
      <c r="H45" s="598">
        <f t="shared" si="22"/>
        <v>0.19608721624850656</v>
      </c>
      <c r="I45" s="598">
        <f t="shared" si="22"/>
        <v>0.33286067917998508</v>
      </c>
      <c r="J45" s="598">
        <f t="shared" ref="J45" si="23">J53/J29</f>
        <v>0.3435414884516681</v>
      </c>
      <c r="K45" s="598">
        <f t="shared" si="22"/>
        <v>0.3416093868612276</v>
      </c>
      <c r="L45" s="598">
        <f t="shared" si="22"/>
        <v>0.30361105050813181</v>
      </c>
      <c r="M45" s="598">
        <f t="shared" si="22"/>
        <v>0.30225289547012429</v>
      </c>
      <c r="N45" s="598">
        <f t="shared" si="22"/>
        <v>0.30093844891238936</v>
      </c>
      <c r="O45" s="598">
        <f t="shared" si="22"/>
        <v>0.2998521560057345</v>
      </c>
      <c r="P45" s="598">
        <f t="shared" si="22"/>
        <v>0.29889060116650923</v>
      </c>
      <c r="Q45" s="598">
        <f t="shared" si="22"/>
        <v>0.29799129359389526</v>
      </c>
      <c r="R45" s="598">
        <f t="shared" ref="R45:V45" si="24">R53/R29</f>
        <v>0.29746775254422197</v>
      </c>
      <c r="S45" s="598">
        <f t="shared" si="24"/>
        <v>0.29719504253851925</v>
      </c>
      <c r="T45" s="598">
        <f t="shared" si="24"/>
        <v>0.2970480075623888</v>
      </c>
      <c r="U45" s="598">
        <f t="shared" si="24"/>
        <v>0.29702680921436636</v>
      </c>
      <c r="V45" s="598">
        <f t="shared" si="24"/>
        <v>0.29725719736241352</v>
      </c>
      <c r="W45" s="154"/>
      <c r="X45" s="154"/>
      <c r="Y45" s="154"/>
      <c r="Z45" s="154"/>
      <c r="AA45" s="154"/>
      <c r="AB45" s="154"/>
      <c r="AC45" s="154"/>
      <c r="AD45" s="154"/>
      <c r="AE45" s="154"/>
      <c r="AF45" s="154"/>
      <c r="AG45" s="154"/>
      <c r="AH45" s="154"/>
      <c r="AI45" s="154"/>
      <c r="AJ45" s="154"/>
      <c r="AK45" s="154"/>
      <c r="AL45" s="154"/>
      <c r="AM45" s="154"/>
      <c r="AN45" s="154"/>
    </row>
    <row r="46" spans="1:40" ht="15.75">
      <c r="A46" s="160"/>
      <c r="B46" s="154"/>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row>
    <row r="47" spans="1:40" ht="15.75">
      <c r="A47" s="160" t="s">
        <v>771</v>
      </c>
      <c r="B47" s="154"/>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row>
    <row r="48" spans="1:40" ht="15.75">
      <c r="A48" s="154" t="s">
        <v>278</v>
      </c>
      <c r="B48" s="154"/>
      <c r="C48" s="154"/>
      <c r="D48" s="154"/>
      <c r="E48" s="154"/>
      <c r="F48" s="154"/>
      <c r="G48" s="586">
        <v>2702</v>
      </c>
      <c r="H48" s="586">
        <v>2693</v>
      </c>
      <c r="I48" s="586">
        <v>2699</v>
      </c>
      <c r="J48" s="586">
        <v>2694</v>
      </c>
      <c r="K48" s="586">
        <v>2682</v>
      </c>
      <c r="L48" s="540">
        <f t="shared" ref="L48:Q48" si="25">L24*L40</f>
        <v>2665.9128264999999</v>
      </c>
      <c r="M48" s="540">
        <f t="shared" si="25"/>
        <v>2681.8659032549999</v>
      </c>
      <c r="N48" s="540">
        <f t="shared" si="25"/>
        <v>2695.1681722561748</v>
      </c>
      <c r="O48" s="540">
        <f t="shared" si="25"/>
        <v>2705.73798926071</v>
      </c>
      <c r="P48" s="540">
        <f t="shared" si="25"/>
        <v>2716.2496857881106</v>
      </c>
      <c r="Q48" s="540">
        <f t="shared" si="25"/>
        <v>2726.7010424471327</v>
      </c>
      <c r="R48" s="540">
        <f t="shared" ref="R48:V48" si="26">R24*R40</f>
        <v>2737.0898012707567</v>
      </c>
      <c r="S48" s="540">
        <f t="shared" si="26"/>
        <v>2747.4136651666081</v>
      </c>
      <c r="T48" s="540">
        <f t="shared" si="26"/>
        <v>2757.6702973602501</v>
      </c>
      <c r="U48" s="540">
        <f t="shared" si="26"/>
        <v>2767.8573208312478</v>
      </c>
      <c r="V48" s="540">
        <f t="shared" si="26"/>
        <v>2777.9723177419296</v>
      </c>
      <c r="W48" s="154"/>
      <c r="X48" s="154"/>
      <c r="Y48" s="154"/>
      <c r="Z48" s="154"/>
      <c r="AA48" s="154"/>
      <c r="AB48" s="154"/>
      <c r="AC48" s="154"/>
      <c r="AD48" s="154"/>
      <c r="AE48" s="154"/>
      <c r="AF48" s="154"/>
      <c r="AG48" s="154"/>
      <c r="AH48" s="154"/>
      <c r="AI48" s="154"/>
      <c r="AJ48" s="154"/>
      <c r="AK48" s="154"/>
      <c r="AL48" s="154"/>
      <c r="AM48" s="154"/>
      <c r="AN48" s="154"/>
    </row>
    <row r="49" spans="1:40" ht="15.75">
      <c r="A49" s="154" t="s">
        <v>279</v>
      </c>
      <c r="B49" s="154"/>
      <c r="C49" s="154"/>
      <c r="D49" s="154"/>
      <c r="E49" s="154"/>
      <c r="F49" s="154"/>
      <c r="G49" s="586">
        <v>2214</v>
      </c>
      <c r="H49" s="586">
        <v>2226</v>
      </c>
      <c r="I49" s="586">
        <v>2279</v>
      </c>
      <c r="J49" s="586">
        <v>2358</v>
      </c>
      <c r="K49" s="586">
        <v>2443</v>
      </c>
      <c r="L49" s="540">
        <f t="shared" ref="L49:Q49" si="27">L25*L41</f>
        <v>2490.1303559999997</v>
      </c>
      <c r="M49" s="540">
        <f t="shared" si="27"/>
        <v>2525.8723132649993</v>
      </c>
      <c r="N49" s="540">
        <f t="shared" si="27"/>
        <v>2562.0800966396991</v>
      </c>
      <c r="O49" s="540">
        <f t="shared" si="27"/>
        <v>2598.7594484505667</v>
      </c>
      <c r="P49" s="540">
        <f t="shared" si="27"/>
        <v>2635.9161792879877</v>
      </c>
      <c r="Q49" s="540">
        <f t="shared" si="27"/>
        <v>2673.5561687973118</v>
      </c>
      <c r="R49" s="540">
        <f t="shared" ref="R49:V49" si="28">R25*R41</f>
        <v>2711.6853664788932</v>
      </c>
      <c r="S49" s="540">
        <f t="shared" si="28"/>
        <v>2750.3097924972267</v>
      </c>
      <c r="T49" s="540">
        <f t="shared" si="28"/>
        <v>2789.4355384992791</v>
      </c>
      <c r="U49" s="540">
        <f t="shared" si="28"/>
        <v>2829.0687684421232</v>
      </c>
      <c r="V49" s="540">
        <f t="shared" si="28"/>
        <v>2869.2157194299739</v>
      </c>
      <c r="W49" s="154"/>
      <c r="X49" s="154"/>
      <c r="Y49" s="154"/>
      <c r="Z49" s="154"/>
      <c r="AA49" s="154"/>
      <c r="AB49" s="154"/>
      <c r="AC49" s="154"/>
      <c r="AD49" s="154"/>
      <c r="AE49" s="154"/>
      <c r="AF49" s="154"/>
      <c r="AG49" s="154"/>
      <c r="AH49" s="154"/>
      <c r="AI49" s="154"/>
      <c r="AJ49" s="154"/>
      <c r="AK49" s="154"/>
      <c r="AL49" s="154"/>
      <c r="AM49" s="154"/>
      <c r="AN49" s="154"/>
    </row>
    <row r="50" spans="1:40" ht="15.75">
      <c r="A50" s="154" t="s">
        <v>202</v>
      </c>
      <c r="B50" s="154"/>
      <c r="C50" s="154"/>
      <c r="D50" s="154"/>
      <c r="E50" s="154"/>
      <c r="F50" s="154"/>
      <c r="G50" s="586">
        <v>1753</v>
      </c>
      <c r="H50" s="586">
        <v>1745</v>
      </c>
      <c r="I50" s="586">
        <v>1862</v>
      </c>
      <c r="J50" s="586">
        <v>1879</v>
      </c>
      <c r="K50" s="586">
        <v>1875</v>
      </c>
      <c r="L50" s="540">
        <f t="shared" ref="L50:Q50" si="29">L26*L42</f>
        <v>1868.3593953749994</v>
      </c>
      <c r="M50" s="540">
        <f t="shared" si="29"/>
        <v>1885.2878638361242</v>
      </c>
      <c r="N50" s="540">
        <f t="shared" si="29"/>
        <v>1894.7143031553046</v>
      </c>
      <c r="O50" s="540">
        <f t="shared" si="29"/>
        <v>1904.1878746710809</v>
      </c>
      <c r="P50" s="540">
        <f t="shared" si="29"/>
        <v>1913.7088140444362</v>
      </c>
      <c r="Q50" s="540">
        <f t="shared" si="29"/>
        <v>1923.2773581146582</v>
      </c>
      <c r="R50" s="540">
        <f t="shared" ref="R50:V50" si="30">R26*R42</f>
        <v>1932.8937449052314</v>
      </c>
      <c r="S50" s="540">
        <f t="shared" si="30"/>
        <v>1942.5582136297573</v>
      </c>
      <c r="T50" s="540">
        <f t="shared" si="30"/>
        <v>1952.2710046979059</v>
      </c>
      <c r="U50" s="540">
        <f t="shared" si="30"/>
        <v>1962.0323597213951</v>
      </c>
      <c r="V50" s="540">
        <f t="shared" si="30"/>
        <v>1971.8425215200018</v>
      </c>
      <c r="W50" s="154"/>
      <c r="X50" s="154"/>
      <c r="Y50" s="154"/>
      <c r="Z50" s="154"/>
      <c r="AA50" s="154"/>
      <c r="AB50" s="154"/>
      <c r="AC50" s="154"/>
      <c r="AD50" s="154"/>
      <c r="AE50" s="154"/>
      <c r="AF50" s="154"/>
      <c r="AG50" s="154"/>
      <c r="AH50" s="154"/>
      <c r="AI50" s="154"/>
      <c r="AJ50" s="154"/>
      <c r="AK50" s="154"/>
      <c r="AL50" s="154"/>
      <c r="AM50" s="154"/>
      <c r="AN50" s="154"/>
    </row>
    <row r="51" spans="1:40" ht="15.75">
      <c r="A51" s="154" t="s">
        <v>206</v>
      </c>
      <c r="B51" s="154"/>
      <c r="C51" s="154"/>
      <c r="D51" s="154"/>
      <c r="E51" s="154"/>
      <c r="F51" s="154"/>
      <c r="G51" s="587">
        <v>958</v>
      </c>
      <c r="H51" s="587">
        <v>1214</v>
      </c>
      <c r="I51" s="587">
        <v>1319</v>
      </c>
      <c r="J51" s="587">
        <v>1434</v>
      </c>
      <c r="K51" s="587">
        <v>1462</v>
      </c>
      <c r="L51" s="588">
        <f>L27*L43</f>
        <v>0</v>
      </c>
      <c r="M51" s="588">
        <f t="shared" ref="M51:Q51" si="31">M27*M43</f>
        <v>0</v>
      </c>
      <c r="N51" s="588">
        <f t="shared" si="31"/>
        <v>0</v>
      </c>
      <c r="O51" s="588">
        <f t="shared" si="31"/>
        <v>0</v>
      </c>
      <c r="P51" s="588">
        <f t="shared" si="31"/>
        <v>0</v>
      </c>
      <c r="Q51" s="588">
        <f t="shared" si="31"/>
        <v>0</v>
      </c>
      <c r="R51" s="588">
        <f t="shared" ref="R51:V51" si="32">R27*R43</f>
        <v>0</v>
      </c>
      <c r="S51" s="588">
        <f t="shared" si="32"/>
        <v>0</v>
      </c>
      <c r="T51" s="588">
        <f t="shared" si="32"/>
        <v>0</v>
      </c>
      <c r="U51" s="588">
        <f t="shared" si="32"/>
        <v>0</v>
      </c>
      <c r="V51" s="588">
        <f t="shared" si="32"/>
        <v>0</v>
      </c>
      <c r="W51" s="154"/>
      <c r="X51" s="154"/>
      <c r="Y51" s="154"/>
      <c r="Z51" s="154"/>
      <c r="AA51" s="154"/>
      <c r="AB51" s="154"/>
      <c r="AC51" s="154"/>
      <c r="AD51" s="154"/>
      <c r="AE51" s="154"/>
      <c r="AF51" s="154"/>
      <c r="AG51" s="154"/>
      <c r="AH51" s="154"/>
      <c r="AI51" s="154"/>
      <c r="AJ51" s="154"/>
      <c r="AK51" s="154"/>
      <c r="AL51" s="154"/>
      <c r="AM51" s="154"/>
      <c r="AN51" s="154"/>
    </row>
    <row r="52" spans="1:40" ht="15.75">
      <c r="A52" s="154" t="s">
        <v>137</v>
      </c>
      <c r="B52" s="154"/>
      <c r="C52" s="154"/>
      <c r="D52" s="154"/>
      <c r="E52" s="154"/>
      <c r="F52" s="154"/>
      <c r="G52" s="587"/>
      <c r="H52" s="587"/>
      <c r="I52" s="586">
        <v>5691</v>
      </c>
      <c r="J52" s="586">
        <v>5691</v>
      </c>
      <c r="K52" s="586">
        <v>5693</v>
      </c>
      <c r="L52" s="588">
        <f t="shared" ref="L52:Q52" si="33">L28*L44</f>
        <v>5696.2680849099997</v>
      </c>
      <c r="M52" s="588">
        <f t="shared" si="33"/>
        <v>5705.5300961212997</v>
      </c>
      <c r="N52" s="588">
        <f t="shared" si="33"/>
        <v>5719.7607958965764</v>
      </c>
      <c r="O52" s="588">
        <f t="shared" si="33"/>
        <v>5739.1121625574715</v>
      </c>
      <c r="P52" s="588">
        <f t="shared" si="33"/>
        <v>5763.739252430717</v>
      </c>
      <c r="Q52" s="588">
        <f t="shared" si="33"/>
        <v>5791.0426122243243</v>
      </c>
      <c r="R52" s="588">
        <f t="shared" ref="R52:V52" si="34">R28*R44</f>
        <v>5835.026959683838</v>
      </c>
      <c r="S52" s="588">
        <f t="shared" si="34"/>
        <v>5890.5641613908056</v>
      </c>
      <c r="T52" s="588">
        <f t="shared" si="34"/>
        <v>5952.3110015734828</v>
      </c>
      <c r="U52" s="588">
        <f t="shared" si="34"/>
        <v>6020.4429432525912</v>
      </c>
      <c r="V52" s="588">
        <f t="shared" si="34"/>
        <v>6100.9355193051351</v>
      </c>
      <c r="W52" s="154"/>
      <c r="X52" s="154"/>
      <c r="Y52" s="154"/>
      <c r="Z52" s="154"/>
      <c r="AA52" s="154"/>
      <c r="AB52" s="154"/>
      <c r="AC52" s="154"/>
      <c r="AD52" s="154"/>
      <c r="AE52" s="154"/>
      <c r="AF52" s="154"/>
      <c r="AG52" s="154"/>
      <c r="AH52" s="154"/>
      <c r="AI52" s="154"/>
      <c r="AJ52" s="154"/>
      <c r="AK52" s="154"/>
      <c r="AL52" s="154"/>
      <c r="AM52" s="154"/>
      <c r="AN52" s="154"/>
    </row>
    <row r="53" spans="1:40" ht="15.75">
      <c r="A53" s="525" t="s">
        <v>181</v>
      </c>
      <c r="B53" s="549"/>
      <c r="C53" s="549"/>
      <c r="D53" s="549"/>
      <c r="E53" s="549"/>
      <c r="F53" s="599">
        <v>7600</v>
      </c>
      <c r="G53" s="600">
        <f>SUM(G48:G52)</f>
        <v>7627</v>
      </c>
      <c r="H53" s="600">
        <f t="shared" ref="H53:Q53" si="35">SUM(H48:H52)</f>
        <v>7878</v>
      </c>
      <c r="I53" s="600">
        <f t="shared" si="35"/>
        <v>13850</v>
      </c>
      <c r="J53" s="600">
        <f t="shared" si="35"/>
        <v>14056</v>
      </c>
      <c r="K53" s="600">
        <f t="shared" si="35"/>
        <v>14155</v>
      </c>
      <c r="L53" s="600">
        <f t="shared" si="35"/>
        <v>12720.670662785</v>
      </c>
      <c r="M53" s="600">
        <f t="shared" si="35"/>
        <v>12798.556176477425</v>
      </c>
      <c r="N53" s="600">
        <f t="shared" si="35"/>
        <v>12871.723367947754</v>
      </c>
      <c r="O53" s="600">
        <f t="shared" si="35"/>
        <v>12947.797474939829</v>
      </c>
      <c r="P53" s="600">
        <f t="shared" si="35"/>
        <v>13029.613931551252</v>
      </c>
      <c r="Q53" s="600">
        <f t="shared" si="35"/>
        <v>13114.577181583427</v>
      </c>
      <c r="R53" s="600">
        <f t="shared" ref="R53:V53" si="36">SUM(R48:R52)</f>
        <v>13216.695872338718</v>
      </c>
      <c r="S53" s="600">
        <f t="shared" si="36"/>
        <v>13330.845832684397</v>
      </c>
      <c r="T53" s="600">
        <f t="shared" si="36"/>
        <v>13451.687842130919</v>
      </c>
      <c r="U53" s="600">
        <f t="shared" si="36"/>
        <v>13579.401392247357</v>
      </c>
      <c r="V53" s="600">
        <f t="shared" si="36"/>
        <v>13719.96607799704</v>
      </c>
      <c r="W53" s="154"/>
      <c r="X53" s="154"/>
      <c r="Y53" s="154"/>
      <c r="Z53" s="154"/>
      <c r="AA53" s="154"/>
      <c r="AB53" s="154"/>
      <c r="AC53" s="154"/>
      <c r="AD53" s="154"/>
      <c r="AE53" s="154"/>
      <c r="AF53" s="154"/>
      <c r="AG53" s="154"/>
      <c r="AH53" s="154"/>
      <c r="AI53" s="154"/>
      <c r="AJ53" s="154"/>
      <c r="AK53" s="154"/>
      <c r="AL53" s="154"/>
      <c r="AM53" s="154"/>
      <c r="AN53" s="154"/>
    </row>
    <row r="54" spans="1:40" ht="15.75">
      <c r="A54" s="530" t="s">
        <v>637</v>
      </c>
      <c r="B54" s="561"/>
      <c r="C54" s="561"/>
      <c r="D54" s="561"/>
      <c r="E54" s="561"/>
      <c r="F54" s="561"/>
      <c r="G54" s="561"/>
      <c r="H54" s="562"/>
      <c r="I54" s="562"/>
      <c r="J54" s="562"/>
      <c r="K54" s="562"/>
      <c r="L54" s="562" cm="1">
        <f t="array" ref="L54">_xll.VAData("IHS_US", "FY-2025", "Towers - Rest of Africa", "Consensus", "CD", "","","")</f>
        <v>12668.77999904</v>
      </c>
      <c r="M54" s="562" cm="1">
        <f t="array" ref="M54">_xll.VAData("IHS_US", "FY-2026", "Towers - Rest of Africa", "Consensus", "CD", "","","")</f>
        <v>12770.1302390323</v>
      </c>
      <c r="N54" s="562" cm="1">
        <f t="array" ref="N54">_xll.VAData("IHS_US", "FY-2027", "Towers - Rest of Africa", "Consensus", "CD", "","","")</f>
        <v>12872.291280944601</v>
      </c>
      <c r="O54" s="529"/>
      <c r="P54" s="529"/>
      <c r="Q54" s="529"/>
      <c r="R54" s="529"/>
      <c r="S54" s="529"/>
      <c r="T54" s="529"/>
      <c r="U54" s="529"/>
      <c r="V54" s="529"/>
      <c r="W54" s="154"/>
      <c r="X54" s="154"/>
      <c r="Y54" s="154"/>
      <c r="Z54" s="154"/>
      <c r="AA54" s="154"/>
      <c r="AB54" s="154"/>
      <c r="AC54" s="154"/>
      <c r="AD54" s="154"/>
      <c r="AE54" s="154"/>
      <c r="AF54" s="154"/>
      <c r="AG54" s="154"/>
      <c r="AH54" s="154"/>
      <c r="AI54" s="154"/>
      <c r="AJ54" s="154"/>
      <c r="AK54" s="154"/>
      <c r="AL54" s="154"/>
      <c r="AM54" s="154"/>
      <c r="AN54" s="154"/>
    </row>
    <row r="55" spans="1:40" ht="15.75">
      <c r="A55" s="154"/>
      <c r="B55" s="154"/>
      <c r="C55" s="154"/>
      <c r="D55" s="154"/>
      <c r="E55" s="154"/>
      <c r="F55" s="154"/>
      <c r="G55" s="154"/>
      <c r="H55" s="154"/>
      <c r="I55" s="154"/>
      <c r="J55" s="529"/>
      <c r="K55" s="529"/>
      <c r="L55" s="529"/>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4"/>
    </row>
    <row r="56" spans="1:40" ht="15.75">
      <c r="A56" s="160" t="s">
        <v>779</v>
      </c>
      <c r="B56" s="154"/>
      <c r="C56" s="154"/>
      <c r="D56" s="154"/>
      <c r="E56" s="154"/>
      <c r="F56" s="154"/>
      <c r="G56" s="154"/>
      <c r="H56" s="154"/>
      <c r="I56" s="154"/>
      <c r="J56" s="529"/>
      <c r="K56" s="529"/>
      <c r="L56" s="529"/>
      <c r="M56" s="154"/>
      <c r="N56" s="154"/>
      <c r="O56" s="154"/>
      <c r="P56" s="154"/>
      <c r="Q56" s="154"/>
      <c r="R56" s="154"/>
      <c r="S56" s="154"/>
      <c r="T56" s="154"/>
      <c r="U56" s="154"/>
      <c r="V56" s="154"/>
      <c r="W56" s="154"/>
      <c r="X56" s="154"/>
      <c r="Y56" s="154"/>
      <c r="Z56" s="154"/>
      <c r="AA56" s="154"/>
      <c r="AB56" s="154"/>
      <c r="AC56" s="154"/>
      <c r="AD56" s="154"/>
      <c r="AE56" s="154"/>
      <c r="AF56" s="154"/>
      <c r="AG56" s="154"/>
      <c r="AH56" s="154"/>
      <c r="AI56" s="154"/>
      <c r="AJ56" s="154"/>
      <c r="AK56" s="154"/>
      <c r="AL56" s="154"/>
      <c r="AM56" s="154"/>
      <c r="AN56" s="154"/>
    </row>
    <row r="57" spans="1:40" ht="15.75">
      <c r="A57" s="154" t="str">
        <f>A48</f>
        <v>Cote D'Ivoire</v>
      </c>
      <c r="B57" s="154"/>
      <c r="C57" s="154"/>
      <c r="D57" s="154"/>
      <c r="E57" s="154"/>
      <c r="F57" s="154"/>
      <c r="G57" s="154"/>
      <c r="H57" s="529">
        <f>H48-G48</f>
        <v>-9</v>
      </c>
      <c r="I57" s="529">
        <f t="shared" ref="I57:V57" si="37">I48-H48</f>
        <v>6</v>
      </c>
      <c r="J57" s="529">
        <f t="shared" si="37"/>
        <v>-5</v>
      </c>
      <c r="K57" s="529">
        <f t="shared" si="37"/>
        <v>-12</v>
      </c>
      <c r="L57" s="529">
        <f t="shared" si="37"/>
        <v>-16.087173500000063</v>
      </c>
      <c r="M57" s="529">
        <f t="shared" si="37"/>
        <v>15.953076754999984</v>
      </c>
      <c r="N57" s="529">
        <f t="shared" si="37"/>
        <v>13.302269001174864</v>
      </c>
      <c r="O57" s="529">
        <f t="shared" si="37"/>
        <v>10.569817004535253</v>
      </c>
      <c r="P57" s="529">
        <f t="shared" si="37"/>
        <v>10.511696527400545</v>
      </c>
      <c r="Q57" s="529">
        <f t="shared" si="37"/>
        <v>10.451356659022167</v>
      </c>
      <c r="R57" s="529">
        <f t="shared" si="37"/>
        <v>10.388758823623903</v>
      </c>
      <c r="S57" s="529">
        <f t="shared" si="37"/>
        <v>10.323863895851446</v>
      </c>
      <c r="T57" s="529">
        <f t="shared" si="37"/>
        <v>10.256632193641963</v>
      </c>
      <c r="U57" s="529">
        <f t="shared" si="37"/>
        <v>10.187023470997701</v>
      </c>
      <c r="V57" s="529">
        <f t="shared" si="37"/>
        <v>10.114996910681839</v>
      </c>
      <c r="W57" s="154"/>
      <c r="X57" s="154"/>
      <c r="Y57" s="154"/>
      <c r="Z57" s="154"/>
      <c r="AA57" s="154"/>
      <c r="AB57" s="154"/>
      <c r="AC57" s="154"/>
      <c r="AD57" s="154"/>
      <c r="AE57" s="154"/>
      <c r="AF57" s="154"/>
      <c r="AG57" s="154"/>
      <c r="AH57" s="154"/>
      <c r="AI57" s="154"/>
      <c r="AJ57" s="154"/>
      <c r="AK57" s="154"/>
      <c r="AL57" s="154"/>
      <c r="AM57" s="154"/>
      <c r="AN57" s="154"/>
    </row>
    <row r="58" spans="1:40" ht="15.75">
      <c r="A58" s="154" t="str">
        <f>A49</f>
        <v>Cameroon</v>
      </c>
      <c r="B58" s="154"/>
      <c r="C58" s="154"/>
      <c r="D58" s="154"/>
      <c r="E58" s="154"/>
      <c r="F58" s="154"/>
      <c r="G58" s="154"/>
      <c r="H58" s="529">
        <f>H49-G49</f>
        <v>12</v>
      </c>
      <c r="I58" s="529">
        <f t="shared" ref="I58:V58" si="38">I49-H49</f>
        <v>53</v>
      </c>
      <c r="J58" s="529">
        <f t="shared" si="38"/>
        <v>79</v>
      </c>
      <c r="K58" s="529">
        <f t="shared" si="38"/>
        <v>85</v>
      </c>
      <c r="L58" s="529">
        <f t="shared" si="38"/>
        <v>47.130355999999665</v>
      </c>
      <c r="M58" s="529">
        <f t="shared" si="38"/>
        <v>35.741957264999655</v>
      </c>
      <c r="N58" s="529">
        <f t="shared" si="38"/>
        <v>36.207783374699829</v>
      </c>
      <c r="O58" s="529">
        <f t="shared" si="38"/>
        <v>36.679351810867502</v>
      </c>
      <c r="P58" s="529">
        <f t="shared" si="38"/>
        <v>37.156730837421037</v>
      </c>
      <c r="Q58" s="529">
        <f t="shared" si="38"/>
        <v>37.639989509324096</v>
      </c>
      <c r="R58" s="529">
        <f t="shared" si="38"/>
        <v>38.129197681581445</v>
      </c>
      <c r="S58" s="529">
        <f t="shared" si="38"/>
        <v>38.624426018333452</v>
      </c>
      <c r="T58" s="529">
        <f t="shared" si="38"/>
        <v>39.125746002052438</v>
      </c>
      <c r="U58" s="529">
        <f t="shared" si="38"/>
        <v>39.633229942844082</v>
      </c>
      <c r="V58" s="529">
        <f t="shared" si="38"/>
        <v>40.146950987850687</v>
      </c>
      <c r="W58" s="154"/>
      <c r="X58" s="154"/>
      <c r="Y58" s="154"/>
      <c r="Z58" s="154"/>
      <c r="AA58" s="154"/>
      <c r="AB58" s="154"/>
      <c r="AC58" s="154"/>
      <c r="AD58" s="154"/>
      <c r="AE58" s="154"/>
      <c r="AF58" s="154"/>
      <c r="AG58" s="154"/>
      <c r="AH58" s="154"/>
      <c r="AI58" s="154"/>
      <c r="AJ58" s="154"/>
      <c r="AK58" s="154"/>
      <c r="AL58" s="154"/>
      <c r="AM58" s="154"/>
      <c r="AN58" s="154"/>
    </row>
    <row r="59" spans="1:40" ht="15.75">
      <c r="A59" s="154" t="str">
        <f>A50</f>
        <v>Zambia</v>
      </c>
      <c r="B59" s="154"/>
      <c r="C59" s="154"/>
      <c r="D59" s="154"/>
      <c r="E59" s="154"/>
      <c r="F59" s="154"/>
      <c r="G59" s="154"/>
      <c r="H59" s="529">
        <f>H50-G50</f>
        <v>-8</v>
      </c>
      <c r="I59" s="529">
        <f t="shared" ref="I59:V59" si="39">I50-H50</f>
        <v>117</v>
      </c>
      <c r="J59" s="529">
        <f t="shared" si="39"/>
        <v>17</v>
      </c>
      <c r="K59" s="529">
        <f t="shared" si="39"/>
        <v>-4</v>
      </c>
      <c r="L59" s="529">
        <f t="shared" si="39"/>
        <v>-6.6406046250006057</v>
      </c>
      <c r="M59" s="529">
        <f t="shared" si="39"/>
        <v>16.928468461124794</v>
      </c>
      <c r="N59" s="529">
        <f t="shared" si="39"/>
        <v>9.4264393191804174</v>
      </c>
      <c r="O59" s="529">
        <f t="shared" si="39"/>
        <v>9.473571515776257</v>
      </c>
      <c r="P59" s="529">
        <f t="shared" si="39"/>
        <v>9.5209393733553043</v>
      </c>
      <c r="Q59" s="529">
        <f t="shared" si="39"/>
        <v>9.5685440702220603</v>
      </c>
      <c r="R59" s="529">
        <f t="shared" si="39"/>
        <v>9.6163867905731877</v>
      </c>
      <c r="S59" s="529">
        <f t="shared" si="39"/>
        <v>9.664468724525932</v>
      </c>
      <c r="T59" s="529">
        <f t="shared" si="39"/>
        <v>9.7127910681485901</v>
      </c>
      <c r="U59" s="529">
        <f t="shared" si="39"/>
        <v>9.7613550234891591</v>
      </c>
      <c r="V59" s="529">
        <f t="shared" si="39"/>
        <v>9.810161798606714</v>
      </c>
      <c r="W59" s="154"/>
      <c r="X59" s="154"/>
      <c r="Y59" s="154"/>
      <c r="Z59" s="154"/>
      <c r="AA59" s="154"/>
      <c r="AB59" s="154"/>
      <c r="AC59" s="154"/>
      <c r="AD59" s="154"/>
      <c r="AE59" s="154"/>
      <c r="AF59" s="154"/>
      <c r="AG59" s="154"/>
      <c r="AH59" s="154"/>
      <c r="AI59" s="154"/>
      <c r="AJ59" s="154"/>
      <c r="AK59" s="154"/>
      <c r="AL59" s="154"/>
      <c r="AM59" s="154"/>
      <c r="AN59" s="154"/>
    </row>
    <row r="60" spans="1:40" ht="15.75">
      <c r="A60" s="154" t="str">
        <f>A51</f>
        <v>Rwanda</v>
      </c>
      <c r="B60" s="154"/>
      <c r="C60" s="154"/>
      <c r="D60" s="154"/>
      <c r="E60" s="154"/>
      <c r="F60" s="154"/>
      <c r="G60" s="154"/>
      <c r="H60" s="529">
        <f>H51-G51</f>
        <v>256</v>
      </c>
      <c r="I60" s="529">
        <f t="shared" ref="I60:V60" si="40">I51-H51</f>
        <v>105</v>
      </c>
      <c r="J60" s="529">
        <f t="shared" si="40"/>
        <v>115</v>
      </c>
      <c r="K60" s="529">
        <f t="shared" si="40"/>
        <v>28</v>
      </c>
      <c r="L60" s="529">
        <f t="shared" si="40"/>
        <v>-1462</v>
      </c>
      <c r="M60" s="529">
        <f t="shared" si="40"/>
        <v>0</v>
      </c>
      <c r="N60" s="529">
        <f t="shared" si="40"/>
        <v>0</v>
      </c>
      <c r="O60" s="529">
        <f t="shared" si="40"/>
        <v>0</v>
      </c>
      <c r="P60" s="529">
        <f t="shared" si="40"/>
        <v>0</v>
      </c>
      <c r="Q60" s="529">
        <f t="shared" si="40"/>
        <v>0</v>
      </c>
      <c r="R60" s="529">
        <f t="shared" si="40"/>
        <v>0</v>
      </c>
      <c r="S60" s="529">
        <f t="shared" si="40"/>
        <v>0</v>
      </c>
      <c r="T60" s="529">
        <f t="shared" si="40"/>
        <v>0</v>
      </c>
      <c r="U60" s="529">
        <f t="shared" si="40"/>
        <v>0</v>
      </c>
      <c r="V60" s="529">
        <f t="shared" si="40"/>
        <v>0</v>
      </c>
      <c r="W60" s="154"/>
      <c r="X60" s="154"/>
      <c r="Y60" s="154"/>
      <c r="Z60" s="154"/>
      <c r="AA60" s="154"/>
      <c r="AB60" s="154"/>
      <c r="AC60" s="154"/>
      <c r="AD60" s="154"/>
      <c r="AE60" s="154"/>
      <c r="AF60" s="154"/>
      <c r="AG60" s="154"/>
      <c r="AH60" s="154"/>
      <c r="AI60" s="154"/>
      <c r="AJ60" s="154"/>
      <c r="AK60" s="154"/>
      <c r="AL60" s="154"/>
      <c r="AM60" s="154"/>
      <c r="AN60" s="154"/>
    </row>
    <row r="61" spans="1:40" ht="15.75">
      <c r="A61" s="154" t="str">
        <f>A52</f>
        <v>South Africa</v>
      </c>
      <c r="B61" s="154"/>
      <c r="C61" s="154"/>
      <c r="D61" s="154"/>
      <c r="E61" s="154"/>
      <c r="F61" s="154"/>
      <c r="G61" s="154"/>
      <c r="H61" s="529"/>
      <c r="I61" s="529"/>
      <c r="J61" s="529">
        <f t="shared" ref="J61:V62" si="41">J52-I52</f>
        <v>0</v>
      </c>
      <c r="K61" s="529">
        <f t="shared" si="41"/>
        <v>2</v>
      </c>
      <c r="L61" s="529">
        <f t="shared" si="41"/>
        <v>3.2680849099997431</v>
      </c>
      <c r="M61" s="529">
        <f t="shared" si="41"/>
        <v>9.2620112112999777</v>
      </c>
      <c r="N61" s="529">
        <f t="shared" si="41"/>
        <v>14.230699775276662</v>
      </c>
      <c r="O61" s="529">
        <f t="shared" si="41"/>
        <v>19.35136666089511</v>
      </c>
      <c r="P61" s="529">
        <f t="shared" si="41"/>
        <v>24.627089873245495</v>
      </c>
      <c r="Q61" s="529">
        <f t="shared" si="41"/>
        <v>27.303359793607342</v>
      </c>
      <c r="R61" s="529">
        <f t="shared" si="41"/>
        <v>43.984347459513629</v>
      </c>
      <c r="S61" s="529">
        <f t="shared" si="41"/>
        <v>55.537201706967608</v>
      </c>
      <c r="T61" s="529">
        <f t="shared" si="41"/>
        <v>61.746840182677261</v>
      </c>
      <c r="U61" s="529">
        <f t="shared" si="41"/>
        <v>68.131941679108422</v>
      </c>
      <c r="V61" s="529">
        <f t="shared" si="41"/>
        <v>80.492576052543882</v>
      </c>
      <c r="W61" s="154"/>
      <c r="X61" s="154"/>
      <c r="Y61" s="154"/>
      <c r="Z61" s="154"/>
      <c r="AA61" s="154"/>
      <c r="AB61" s="154"/>
      <c r="AC61" s="154"/>
      <c r="AD61" s="154"/>
      <c r="AE61" s="154"/>
      <c r="AF61" s="154"/>
      <c r="AG61" s="154"/>
      <c r="AH61" s="154"/>
      <c r="AI61" s="154"/>
      <c r="AJ61" s="154"/>
      <c r="AK61" s="154"/>
      <c r="AL61" s="154"/>
      <c r="AM61" s="154"/>
      <c r="AN61" s="154"/>
    </row>
    <row r="62" spans="1:40" ht="15.75">
      <c r="A62" s="525" t="s">
        <v>145</v>
      </c>
      <c r="B62" s="525"/>
      <c r="C62" s="601"/>
      <c r="D62" s="601"/>
      <c r="E62" s="601"/>
      <c r="F62" s="601"/>
      <c r="G62" s="601">
        <f>G53-F53</f>
        <v>27</v>
      </c>
      <c r="H62" s="601">
        <f>H53-G53</f>
        <v>251</v>
      </c>
      <c r="I62" s="601">
        <f>I53-H53</f>
        <v>5972</v>
      </c>
      <c r="J62" s="601">
        <f t="shared" si="41"/>
        <v>206</v>
      </c>
      <c r="K62" s="601">
        <f t="shared" si="41"/>
        <v>99</v>
      </c>
      <c r="L62" s="601">
        <f t="shared" si="41"/>
        <v>-1434.3293372150001</v>
      </c>
      <c r="M62" s="601">
        <f t="shared" si="41"/>
        <v>77.885513692424865</v>
      </c>
      <c r="N62" s="601">
        <f t="shared" si="41"/>
        <v>73.167191470329271</v>
      </c>
      <c r="O62" s="601">
        <f t="shared" si="41"/>
        <v>76.074106992075031</v>
      </c>
      <c r="P62" s="601">
        <f t="shared" si="41"/>
        <v>81.816456611422836</v>
      </c>
      <c r="Q62" s="601">
        <f t="shared" si="41"/>
        <v>84.963250032174983</v>
      </c>
      <c r="R62" s="601">
        <f t="shared" si="41"/>
        <v>102.11869075529103</v>
      </c>
      <c r="S62" s="601">
        <f t="shared" si="41"/>
        <v>114.14996034567957</v>
      </c>
      <c r="T62" s="601">
        <f t="shared" si="41"/>
        <v>120.84200944652184</v>
      </c>
      <c r="U62" s="601">
        <f t="shared" si="41"/>
        <v>127.71355011643755</v>
      </c>
      <c r="V62" s="601">
        <f t="shared" si="41"/>
        <v>140.56468574968312</v>
      </c>
      <c r="W62" s="154"/>
      <c r="X62" s="154"/>
      <c r="Y62" s="154"/>
      <c r="Z62" s="154"/>
      <c r="AA62" s="154"/>
      <c r="AB62" s="154"/>
      <c r="AC62" s="154"/>
      <c r="AD62" s="154"/>
      <c r="AE62" s="154"/>
      <c r="AF62" s="154"/>
      <c r="AG62" s="154"/>
      <c r="AH62" s="154"/>
      <c r="AI62" s="154"/>
      <c r="AJ62" s="154"/>
      <c r="AK62" s="154"/>
      <c r="AL62" s="154"/>
      <c r="AM62" s="154"/>
      <c r="AN62" s="154"/>
    </row>
    <row r="63" spans="1:40" ht="15.75">
      <c r="A63" s="154"/>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row>
    <row r="64" spans="1:40" ht="15.75">
      <c r="A64" s="160" t="s">
        <v>778</v>
      </c>
      <c r="B64" s="154"/>
      <c r="C64" s="154"/>
      <c r="D64" s="154"/>
      <c r="E64" s="540"/>
      <c r="F64" s="154"/>
      <c r="G64" s="154"/>
      <c r="H64" s="154"/>
      <c r="I64" s="154"/>
      <c r="J64" s="154"/>
      <c r="K64" s="529"/>
      <c r="L64" s="529"/>
      <c r="M64" s="529"/>
      <c r="N64" s="529"/>
      <c r="O64" s="529"/>
      <c r="P64" s="529"/>
      <c r="Q64" s="529"/>
      <c r="R64" s="529"/>
      <c r="S64" s="529"/>
      <c r="T64" s="529"/>
      <c r="U64" s="529"/>
      <c r="V64" s="529"/>
      <c r="W64" s="154"/>
      <c r="X64" s="154"/>
      <c r="Y64" s="154"/>
      <c r="Z64" s="154"/>
      <c r="AA64" s="154"/>
      <c r="AB64" s="154"/>
      <c r="AC64" s="154"/>
      <c r="AD64" s="154"/>
      <c r="AE64" s="154"/>
      <c r="AF64" s="154"/>
      <c r="AG64" s="154"/>
      <c r="AH64" s="154"/>
      <c r="AI64" s="154"/>
      <c r="AJ64" s="154"/>
      <c r="AK64" s="154"/>
      <c r="AL64" s="154"/>
      <c r="AM64" s="154"/>
      <c r="AN64" s="154"/>
    </row>
    <row r="65" spans="1:40" ht="15.75">
      <c r="A65" s="154" t="s">
        <v>278</v>
      </c>
      <c r="B65" s="154"/>
      <c r="C65" s="154"/>
      <c r="D65" s="154"/>
      <c r="E65" s="540"/>
      <c r="F65" s="154"/>
      <c r="G65" s="586">
        <v>4769</v>
      </c>
      <c r="H65" s="586">
        <v>4750</v>
      </c>
      <c r="I65" s="586">
        <v>4846</v>
      </c>
      <c r="J65" s="586">
        <v>4871</v>
      </c>
      <c r="K65" s="586">
        <v>4939</v>
      </c>
      <c r="L65" s="540">
        <f t="shared" ref="L65:Q65" si="42">L48*L76</f>
        <v>4985.256985555</v>
      </c>
      <c r="M65" s="540">
        <f t="shared" si="42"/>
        <v>5082.1358866682249</v>
      </c>
      <c r="N65" s="540">
        <f t="shared" si="42"/>
        <v>5174.7228907318558</v>
      </c>
      <c r="O65" s="540">
        <f t="shared" si="42"/>
        <v>5262.6603891120803</v>
      </c>
      <c r="P65" s="540">
        <f t="shared" si="42"/>
        <v>5351.011881002577</v>
      </c>
      <c r="Q65" s="540">
        <f t="shared" si="42"/>
        <v>5439.7685796820288</v>
      </c>
      <c r="R65" s="540">
        <f t="shared" ref="R65:V65" si="43">R48*R76</f>
        <v>5528.9213985669276</v>
      </c>
      <c r="S65" s="540">
        <f t="shared" si="43"/>
        <v>5618.4609452657123</v>
      </c>
      <c r="T65" s="540">
        <f t="shared" si="43"/>
        <v>5708.3775155357162</v>
      </c>
      <c r="U65" s="540">
        <f t="shared" si="43"/>
        <v>5798.6610871414623</v>
      </c>
      <c r="V65" s="540">
        <f t="shared" si="43"/>
        <v>5889.3013136128884</v>
      </c>
      <c r="W65" s="154"/>
      <c r="X65" s="154"/>
      <c r="Y65" s="154"/>
      <c r="Z65" s="154"/>
      <c r="AA65" s="154"/>
      <c r="AB65" s="154"/>
      <c r="AC65" s="154"/>
      <c r="AD65" s="154"/>
      <c r="AE65" s="154"/>
      <c r="AF65" s="154"/>
      <c r="AG65" s="154"/>
      <c r="AH65" s="154"/>
      <c r="AI65" s="154"/>
      <c r="AJ65" s="154"/>
      <c r="AK65" s="154"/>
      <c r="AL65" s="154"/>
      <c r="AM65" s="154"/>
      <c r="AN65" s="154"/>
    </row>
    <row r="66" spans="1:40" ht="15.75">
      <c r="A66" s="154" t="s">
        <v>279</v>
      </c>
      <c r="B66" s="154"/>
      <c r="C66" s="154"/>
      <c r="D66" s="154"/>
      <c r="E66" s="540"/>
      <c r="F66" s="154"/>
      <c r="G66" s="586">
        <v>3648</v>
      </c>
      <c r="H66" s="586">
        <v>3344</v>
      </c>
      <c r="I66" s="586">
        <v>3444</v>
      </c>
      <c r="J66" s="586">
        <v>3743</v>
      </c>
      <c r="K66" s="586">
        <v>3899</v>
      </c>
      <c r="L66" s="540">
        <f t="shared" ref="L66:Q66" si="44">L49*L77</f>
        <v>4034.0111767199996</v>
      </c>
      <c r="M66" s="540">
        <f t="shared" si="44"/>
        <v>4155.059955320924</v>
      </c>
      <c r="N66" s="540">
        <f t="shared" si="44"/>
        <v>4278.673761388297</v>
      </c>
      <c r="O66" s="540">
        <f t="shared" si="44"/>
        <v>4404.89726512371</v>
      </c>
      <c r="P66" s="540">
        <f t="shared" si="44"/>
        <v>4533.7758283753383</v>
      </c>
      <c r="Q66" s="540">
        <f t="shared" si="44"/>
        <v>4665.3555145513083</v>
      </c>
      <c r="R66" s="540">
        <f t="shared" ref="R66:V66" si="45">R49*R77</f>
        <v>4799.6830986676396</v>
      </c>
      <c r="S66" s="540">
        <f t="shared" si="45"/>
        <v>4936.8060775325202</v>
      </c>
      <c r="T66" s="540">
        <f t="shared" si="45"/>
        <v>5076.772680068686</v>
      </c>
      <c r="U66" s="540">
        <f t="shared" si="45"/>
        <v>5219.6318777757151</v>
      </c>
      <c r="V66" s="540">
        <f t="shared" si="45"/>
        <v>5365.4333953340492</v>
      </c>
      <c r="W66" s="154"/>
      <c r="X66" s="154"/>
      <c r="Y66" s="154"/>
      <c r="Z66" s="154"/>
      <c r="AA66" s="154"/>
      <c r="AB66" s="154"/>
      <c r="AC66" s="154"/>
      <c r="AD66" s="154"/>
      <c r="AE66" s="154"/>
      <c r="AF66" s="154"/>
      <c r="AG66" s="154"/>
      <c r="AH66" s="154"/>
      <c r="AI66" s="154"/>
      <c r="AJ66" s="154"/>
      <c r="AK66" s="154"/>
      <c r="AL66" s="154"/>
      <c r="AM66" s="154"/>
      <c r="AN66" s="154"/>
    </row>
    <row r="67" spans="1:40" ht="15.75">
      <c r="A67" s="154" t="s">
        <v>202</v>
      </c>
      <c r="B67" s="154"/>
      <c r="C67" s="154"/>
      <c r="D67" s="154"/>
      <c r="E67" s="540"/>
      <c r="F67" s="154"/>
      <c r="G67" s="586">
        <v>3240</v>
      </c>
      <c r="H67" s="586">
        <v>2799</v>
      </c>
      <c r="I67" s="586">
        <v>2922</v>
      </c>
      <c r="J67" s="586">
        <v>2942</v>
      </c>
      <c r="K67" s="586">
        <v>3308</v>
      </c>
      <c r="L67" s="540">
        <f t="shared" ref="L67:Q67" si="46">L50*L78</f>
        <v>3512.5156633049987</v>
      </c>
      <c r="M67" s="540">
        <f t="shared" si="46"/>
        <v>3591.4733806078161</v>
      </c>
      <c r="N67" s="540">
        <f t="shared" si="46"/>
        <v>3656.7986050897375</v>
      </c>
      <c r="O67" s="540">
        <f t="shared" si="46"/>
        <v>3722.6872949819622</v>
      </c>
      <c r="P67" s="540">
        <f t="shared" si="46"/>
        <v>3789.1434518079827</v>
      </c>
      <c r="Q67" s="540">
        <f t="shared" si="46"/>
        <v>3856.1711030198885</v>
      </c>
      <c r="R67" s="540">
        <f t="shared" ref="R67:V67" si="47">R50*R78</f>
        <v>3923.7743021576184</v>
      </c>
      <c r="S67" s="540">
        <f t="shared" si="47"/>
        <v>3991.9571290091499</v>
      </c>
      <c r="T67" s="540">
        <f t="shared" si="47"/>
        <v>4060.723689771643</v>
      </c>
      <c r="U67" s="540">
        <f t="shared" si="47"/>
        <v>4130.0781172135348</v>
      </c>
      <c r="V67" s="540">
        <f t="shared" si="47"/>
        <v>4200.0245708376015</v>
      </c>
      <c r="W67" s="154"/>
      <c r="X67" s="154"/>
      <c r="Y67" s="154"/>
      <c r="Z67" s="154"/>
      <c r="AA67" s="154"/>
      <c r="AB67" s="154"/>
      <c r="AC67" s="154"/>
      <c r="AD67" s="154"/>
      <c r="AE67" s="154"/>
      <c r="AF67" s="154"/>
      <c r="AG67" s="154"/>
      <c r="AH67" s="154"/>
      <c r="AI67" s="154"/>
      <c r="AJ67" s="154"/>
      <c r="AK67" s="154"/>
      <c r="AL67" s="154"/>
      <c r="AM67" s="154"/>
      <c r="AN67" s="154"/>
    </row>
    <row r="68" spans="1:40" ht="15.75">
      <c r="A68" s="154" t="s">
        <v>206</v>
      </c>
      <c r="B68" s="154"/>
      <c r="C68" s="154"/>
      <c r="D68" s="154"/>
      <c r="E68" s="588"/>
      <c r="F68" s="154"/>
      <c r="G68" s="587">
        <v>2383</v>
      </c>
      <c r="H68" s="587">
        <v>2523</v>
      </c>
      <c r="I68" s="587">
        <v>2673</v>
      </c>
      <c r="J68" s="587">
        <v>2786</v>
      </c>
      <c r="K68" s="587">
        <v>3000</v>
      </c>
      <c r="L68" s="588">
        <f t="shared" ref="L68:Q68" si="48">L51*L79</f>
        <v>0</v>
      </c>
      <c r="M68" s="588">
        <f t="shared" si="48"/>
        <v>0</v>
      </c>
      <c r="N68" s="588">
        <f t="shared" si="48"/>
        <v>0</v>
      </c>
      <c r="O68" s="588">
        <f t="shared" si="48"/>
        <v>0</v>
      </c>
      <c r="P68" s="588">
        <f t="shared" si="48"/>
        <v>0</v>
      </c>
      <c r="Q68" s="588">
        <f t="shared" si="48"/>
        <v>0</v>
      </c>
      <c r="R68" s="588">
        <f t="shared" ref="R68:V68" si="49">R51*R79</f>
        <v>0</v>
      </c>
      <c r="S68" s="588">
        <f t="shared" si="49"/>
        <v>0</v>
      </c>
      <c r="T68" s="588">
        <f t="shared" si="49"/>
        <v>0</v>
      </c>
      <c r="U68" s="588">
        <f t="shared" si="49"/>
        <v>0</v>
      </c>
      <c r="V68" s="588">
        <f t="shared" si="49"/>
        <v>0</v>
      </c>
      <c r="W68" s="154"/>
      <c r="X68" s="154"/>
      <c r="Y68" s="154"/>
      <c r="Z68" s="154"/>
      <c r="AA68" s="154"/>
      <c r="AB68" s="154"/>
      <c r="AC68" s="154"/>
      <c r="AD68" s="154"/>
      <c r="AE68" s="154"/>
      <c r="AF68" s="154"/>
      <c r="AG68" s="154"/>
      <c r="AH68" s="154"/>
      <c r="AI68" s="154"/>
      <c r="AJ68" s="154"/>
      <c r="AK68" s="154"/>
      <c r="AL68" s="154"/>
      <c r="AM68" s="154"/>
      <c r="AN68" s="154"/>
    </row>
    <row r="69" spans="1:40" ht="15.75">
      <c r="A69" s="154" t="s">
        <v>137</v>
      </c>
      <c r="B69" s="154"/>
      <c r="C69" s="154"/>
      <c r="D69" s="154"/>
      <c r="E69" s="588"/>
      <c r="F69" s="154"/>
      <c r="G69" s="587"/>
      <c r="H69" s="587"/>
      <c r="I69" s="587">
        <v>7151</v>
      </c>
      <c r="J69" s="587">
        <v>7251</v>
      </c>
      <c r="K69" s="587">
        <v>7282</v>
      </c>
      <c r="L69" s="588">
        <f t="shared" ref="L69:Q69" si="50">L80*L52</f>
        <v>7348.1858295338998</v>
      </c>
      <c r="M69" s="588">
        <f t="shared" si="50"/>
        <v>7402.9252997173871</v>
      </c>
      <c r="N69" s="588">
        <f t="shared" si="50"/>
        <v>7464.2878386450329</v>
      </c>
      <c r="O69" s="588">
        <f t="shared" si="50"/>
        <v>7532.5847133566822</v>
      </c>
      <c r="P69" s="588">
        <f t="shared" si="50"/>
        <v>7608.1358132085479</v>
      </c>
      <c r="Q69" s="588">
        <f t="shared" si="50"/>
        <v>7687.6090677277925</v>
      </c>
      <c r="R69" s="588">
        <f t="shared" ref="R69:V69" si="51">R80*R52</f>
        <v>7789.7609911779264</v>
      </c>
      <c r="S69" s="588">
        <f t="shared" si="51"/>
        <v>7908.082386667159</v>
      </c>
      <c r="T69" s="588">
        <f t="shared" si="51"/>
        <v>8035.619852124205</v>
      </c>
      <c r="U69" s="588">
        <f t="shared" si="51"/>
        <v>8172.7512954653967</v>
      </c>
      <c r="V69" s="588">
        <f t="shared" si="51"/>
        <v>8327.7769838515142</v>
      </c>
      <c r="W69" s="154"/>
      <c r="X69" s="154"/>
      <c r="Y69" s="154"/>
      <c r="Z69" s="154"/>
      <c r="AA69" s="154"/>
      <c r="AB69" s="154"/>
      <c r="AC69" s="154"/>
      <c r="AD69" s="154"/>
      <c r="AE69" s="154"/>
      <c r="AF69" s="154"/>
      <c r="AG69" s="154"/>
      <c r="AH69" s="154"/>
      <c r="AI69" s="154"/>
      <c r="AJ69" s="154"/>
      <c r="AK69" s="154"/>
      <c r="AL69" s="154"/>
      <c r="AM69" s="154"/>
      <c r="AN69" s="154"/>
    </row>
    <row r="70" spans="1:40" ht="15.75">
      <c r="A70" s="525" t="s">
        <v>181</v>
      </c>
      <c r="B70" s="525"/>
      <c r="C70" s="525"/>
      <c r="D70" s="525"/>
      <c r="E70" s="590"/>
      <c r="F70" s="525"/>
      <c r="G70" s="602">
        <v>13623</v>
      </c>
      <c r="H70" s="602">
        <v>13416</v>
      </c>
      <c r="I70" s="602">
        <v>21036</v>
      </c>
      <c r="J70" s="602">
        <v>21593</v>
      </c>
      <c r="K70" s="602">
        <v>22428</v>
      </c>
      <c r="L70" s="601">
        <f t="shared" ref="L70:Q70" si="52">SUM(L65:L69)</f>
        <v>19879.969655113899</v>
      </c>
      <c r="M70" s="601">
        <f t="shared" si="52"/>
        <v>20231.594522314354</v>
      </c>
      <c r="N70" s="601">
        <f t="shared" si="52"/>
        <v>20574.483095854925</v>
      </c>
      <c r="O70" s="601">
        <f t="shared" si="52"/>
        <v>20922.829662574433</v>
      </c>
      <c r="P70" s="601">
        <f t="shared" si="52"/>
        <v>21282.066974394445</v>
      </c>
      <c r="Q70" s="601">
        <f t="shared" si="52"/>
        <v>21648.904264981018</v>
      </c>
      <c r="R70" s="601">
        <f t="shared" ref="R70:V70" si="53">SUM(R65:R69)</f>
        <v>22042.139790570112</v>
      </c>
      <c r="S70" s="601">
        <f t="shared" si="53"/>
        <v>22455.306538474542</v>
      </c>
      <c r="T70" s="601">
        <f t="shared" si="53"/>
        <v>22881.493737500248</v>
      </c>
      <c r="U70" s="601">
        <f t="shared" si="53"/>
        <v>23321.122377596112</v>
      </c>
      <c r="V70" s="601">
        <f t="shared" si="53"/>
        <v>23782.536263636051</v>
      </c>
      <c r="W70" s="154"/>
      <c r="X70" s="154"/>
      <c r="Y70" s="154"/>
      <c r="Z70" s="154"/>
      <c r="AA70" s="154"/>
      <c r="AB70" s="154"/>
      <c r="AC70" s="154"/>
      <c r="AD70" s="154"/>
      <c r="AE70" s="154"/>
      <c r="AF70" s="154"/>
      <c r="AG70" s="154"/>
      <c r="AH70" s="154"/>
      <c r="AI70" s="154"/>
      <c r="AJ70" s="154"/>
      <c r="AK70" s="154"/>
      <c r="AL70" s="154"/>
      <c r="AM70" s="154"/>
      <c r="AN70" s="154"/>
    </row>
    <row r="71" spans="1:40" ht="15.75">
      <c r="A71" s="154" t="s">
        <v>633</v>
      </c>
      <c r="B71" s="154"/>
      <c r="C71" s="154"/>
      <c r="D71" s="154"/>
      <c r="E71" s="588"/>
      <c r="F71" s="154"/>
      <c r="G71" s="154"/>
      <c r="H71" s="596">
        <f>H70/G70-1</f>
        <v>-1.5194890993173282E-2</v>
      </c>
      <c r="I71" s="596">
        <f>I70/H70-1</f>
        <v>0.56797853309481217</v>
      </c>
      <c r="J71" s="596">
        <f>J70/I70-1</f>
        <v>2.6478417950180688E-2</v>
      </c>
      <c r="K71" s="596">
        <f t="shared" ref="K71:V71" si="54">K70/J70-1</f>
        <v>3.8669939332190983E-2</v>
      </c>
      <c r="L71" s="596">
        <f t="shared" si="54"/>
        <v>-0.11360934300366066</v>
      </c>
      <c r="M71" s="596">
        <f t="shared" si="54"/>
        <v>1.7687394563502323E-2</v>
      </c>
      <c r="N71" s="596">
        <f t="shared" si="54"/>
        <v>1.6948173470083372E-2</v>
      </c>
      <c r="O71" s="596">
        <f t="shared" si="54"/>
        <v>1.6930999680360825E-2</v>
      </c>
      <c r="P71" s="596">
        <f t="shared" si="54"/>
        <v>1.716963324815457E-2</v>
      </c>
      <c r="Q71" s="596">
        <f t="shared" si="54"/>
        <v>1.7236920221514795E-2</v>
      </c>
      <c r="R71" s="596">
        <f t="shared" si="54"/>
        <v>1.8164223037615113E-2</v>
      </c>
      <c r="S71" s="596">
        <f t="shared" si="54"/>
        <v>1.8744402849726338E-2</v>
      </c>
      <c r="T71" s="596">
        <f t="shared" si="54"/>
        <v>1.8979353423453915E-2</v>
      </c>
      <c r="U71" s="596">
        <f t="shared" si="54"/>
        <v>1.9213284112451046E-2</v>
      </c>
      <c r="V71" s="596">
        <f t="shared" si="54"/>
        <v>1.9785234971503973E-2</v>
      </c>
      <c r="W71" s="154"/>
      <c r="X71" s="154"/>
      <c r="Y71" s="154"/>
      <c r="Z71" s="154"/>
      <c r="AA71" s="154"/>
      <c r="AB71" s="154"/>
      <c r="AC71" s="154"/>
      <c r="AD71" s="154"/>
      <c r="AE71" s="154"/>
      <c r="AF71" s="154"/>
      <c r="AG71" s="154"/>
      <c r="AH71" s="154"/>
      <c r="AI71" s="154"/>
      <c r="AJ71" s="154"/>
      <c r="AK71" s="154"/>
      <c r="AL71" s="154"/>
      <c r="AM71" s="154"/>
      <c r="AN71" s="154"/>
    </row>
    <row r="72" spans="1:40" ht="15.75">
      <c r="A72" s="530" t="s">
        <v>637</v>
      </c>
      <c r="B72" s="561"/>
      <c r="C72" s="561"/>
      <c r="D72" s="561"/>
      <c r="E72" s="561"/>
      <c r="F72" s="561"/>
      <c r="G72" s="561"/>
      <c r="H72" s="562"/>
      <c r="I72" s="562"/>
      <c r="J72" s="562"/>
      <c r="K72" s="562"/>
      <c r="L72" s="562" cm="1">
        <f t="array" ref="L72">_xll.VAData("IHS_US", "FY-2025", "Tenants - Rest of Africa", "Consensus", "CD", "","","")</f>
        <v>19990.282265415</v>
      </c>
      <c r="M72" s="562" cm="1">
        <f t="array" ref="M72">_xll.VAData("IHS_US", "FY-2026", "Tenants - Rest of Africa", "Consensus", "CD", "","","")</f>
        <v>20491.438150715599</v>
      </c>
      <c r="N72" s="562" cm="1">
        <f t="array" ref="N72">_xll.VAData("IHS_US", "FY-2027", "Tenants - Rest of Africa", "Consensus", "CD", "","","")</f>
        <v>21003.427955642201</v>
      </c>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row>
    <row r="73" spans="1:40" ht="15.75">
      <c r="A73" s="154"/>
      <c r="B73" s="155"/>
      <c r="C73" s="155"/>
      <c r="D73" s="155"/>
      <c r="E73" s="155"/>
      <c r="F73" s="155"/>
      <c r="G73" s="155"/>
      <c r="H73" s="253"/>
      <c r="I73" s="253"/>
      <c r="J73" s="253"/>
      <c r="K73" s="253"/>
      <c r="L73" s="253"/>
      <c r="M73" s="253"/>
      <c r="N73" s="253"/>
      <c r="O73" s="253"/>
      <c r="P73" s="253"/>
      <c r="Q73" s="253"/>
      <c r="R73" s="253"/>
      <c r="S73" s="253"/>
      <c r="T73" s="253"/>
      <c r="U73" s="253"/>
      <c r="V73" s="253"/>
      <c r="W73" s="154"/>
      <c r="X73" s="154"/>
      <c r="Y73" s="154"/>
      <c r="Z73" s="154"/>
      <c r="AA73" s="154"/>
      <c r="AB73" s="154"/>
      <c r="AC73" s="154"/>
      <c r="AD73" s="154"/>
      <c r="AE73" s="154"/>
      <c r="AF73" s="154"/>
      <c r="AG73" s="154"/>
      <c r="AH73" s="154"/>
      <c r="AI73" s="154"/>
      <c r="AJ73" s="154"/>
      <c r="AK73" s="154"/>
      <c r="AL73" s="154"/>
      <c r="AM73" s="154"/>
      <c r="AN73" s="154"/>
    </row>
    <row r="74" spans="1:40" ht="15.75">
      <c r="A74" s="154"/>
      <c r="B74" s="155"/>
      <c r="C74" s="155"/>
      <c r="D74" s="155"/>
      <c r="E74" s="155"/>
      <c r="F74" s="155"/>
      <c r="G74" s="155"/>
      <c r="H74" s="253"/>
      <c r="I74" s="253"/>
      <c r="J74" s="253"/>
      <c r="K74" s="253"/>
      <c r="L74" s="1126"/>
      <c r="M74" s="253"/>
      <c r="N74" s="253"/>
      <c r="O74" s="253"/>
      <c r="P74" s="253"/>
      <c r="Q74" s="253"/>
      <c r="R74" s="253"/>
      <c r="S74" s="253"/>
      <c r="T74" s="253"/>
      <c r="U74" s="253"/>
      <c r="V74" s="253"/>
      <c r="W74" s="154"/>
      <c r="X74" s="154"/>
      <c r="Y74" s="154"/>
      <c r="Z74" s="154"/>
      <c r="AA74" s="154"/>
      <c r="AB74" s="154"/>
      <c r="AC74" s="154"/>
      <c r="AD74" s="154"/>
      <c r="AE74" s="154"/>
      <c r="AF74" s="154"/>
      <c r="AG74" s="154"/>
      <c r="AH74" s="154"/>
      <c r="AI74" s="154"/>
      <c r="AJ74" s="154"/>
      <c r="AK74" s="154"/>
      <c r="AL74" s="154"/>
      <c r="AM74" s="154"/>
      <c r="AN74" s="154"/>
    </row>
    <row r="75" spans="1:40" ht="15.75">
      <c r="A75" s="160" t="s">
        <v>780</v>
      </c>
      <c r="B75" s="154"/>
      <c r="C75" s="154"/>
      <c r="D75" s="154"/>
      <c r="E75" s="588"/>
      <c r="F75" s="154"/>
      <c r="G75" s="154"/>
      <c r="H75" s="154"/>
      <c r="I75" s="154"/>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row>
    <row r="76" spans="1:40" ht="15.75">
      <c r="A76" s="154" t="s">
        <v>278</v>
      </c>
      <c r="B76" s="154"/>
      <c r="C76" s="154"/>
      <c r="D76" s="154"/>
      <c r="E76" s="588"/>
      <c r="F76" s="154"/>
      <c r="G76" s="604">
        <f t="shared" ref="G76:H79" si="55">G65/G48</f>
        <v>1.7649888971132495</v>
      </c>
      <c r="H76" s="604">
        <f t="shared" si="55"/>
        <v>1.7638321574452285</v>
      </c>
      <c r="I76" s="604">
        <f t="shared" ref="I76:J76" si="56">I65/I48</f>
        <v>1.7954798073360503</v>
      </c>
      <c r="J76" s="604">
        <f t="shared" si="56"/>
        <v>1.8080920564216778</v>
      </c>
      <c r="K76" s="604">
        <f t="shared" ref="K76" si="57">K65/K48</f>
        <v>1.8415361670395227</v>
      </c>
      <c r="L76" s="605">
        <v>1.87</v>
      </c>
      <c r="M76" s="605">
        <f>L76+0.025</f>
        <v>1.895</v>
      </c>
      <c r="N76" s="605">
        <f t="shared" ref="N76:V76" si="58">M76+0.025</f>
        <v>1.92</v>
      </c>
      <c r="O76" s="605">
        <f t="shared" si="58"/>
        <v>1.9449999999999998</v>
      </c>
      <c r="P76" s="605">
        <f t="shared" si="58"/>
        <v>1.9699999999999998</v>
      </c>
      <c r="Q76" s="605">
        <f t="shared" si="58"/>
        <v>1.9949999999999997</v>
      </c>
      <c r="R76" s="605">
        <f t="shared" si="58"/>
        <v>2.0199999999999996</v>
      </c>
      <c r="S76" s="605">
        <f t="shared" si="58"/>
        <v>2.0449999999999995</v>
      </c>
      <c r="T76" s="605">
        <f t="shared" si="58"/>
        <v>2.0699999999999994</v>
      </c>
      <c r="U76" s="605">
        <f t="shared" si="58"/>
        <v>2.0949999999999993</v>
      </c>
      <c r="V76" s="605">
        <f t="shared" si="58"/>
        <v>2.1199999999999992</v>
      </c>
      <c r="W76" s="154"/>
      <c r="X76" s="154"/>
      <c r="Y76" s="154"/>
      <c r="Z76" s="154"/>
      <c r="AA76" s="154"/>
      <c r="AB76" s="154"/>
      <c r="AC76" s="154"/>
      <c r="AD76" s="154"/>
      <c r="AE76" s="154"/>
      <c r="AF76" s="154"/>
      <c r="AG76" s="154"/>
      <c r="AH76" s="154"/>
      <c r="AI76" s="154"/>
      <c r="AJ76" s="154"/>
      <c r="AK76" s="154"/>
      <c r="AL76" s="154"/>
      <c r="AM76" s="154"/>
      <c r="AN76" s="154"/>
    </row>
    <row r="77" spans="1:40" ht="15.75">
      <c r="A77" s="154" t="s">
        <v>279</v>
      </c>
      <c r="B77" s="154"/>
      <c r="C77" s="154"/>
      <c r="D77" s="154"/>
      <c r="E77" s="588"/>
      <c r="F77" s="154"/>
      <c r="G77" s="604">
        <f t="shared" si="55"/>
        <v>1.6476964769647697</v>
      </c>
      <c r="H77" s="604">
        <f t="shared" si="55"/>
        <v>1.5022461814914645</v>
      </c>
      <c r="I77" s="604">
        <f t="shared" ref="I77:J77" si="59">I66/I49</f>
        <v>1.5111891180342256</v>
      </c>
      <c r="J77" s="604">
        <f t="shared" si="59"/>
        <v>1.587362171331637</v>
      </c>
      <c r="K77" s="604">
        <f t="shared" ref="K77" si="60">K66/K49</f>
        <v>1.5959885386819483</v>
      </c>
      <c r="L77" s="605">
        <v>1.62</v>
      </c>
      <c r="M77" s="605">
        <f>L77+0.025</f>
        <v>1.645</v>
      </c>
      <c r="N77" s="605">
        <f t="shared" ref="N77:V77" si="61">M77+0.025</f>
        <v>1.67</v>
      </c>
      <c r="O77" s="605">
        <f t="shared" si="61"/>
        <v>1.6949999999999998</v>
      </c>
      <c r="P77" s="605">
        <f t="shared" si="61"/>
        <v>1.7199999999999998</v>
      </c>
      <c r="Q77" s="605">
        <f t="shared" si="61"/>
        <v>1.7449999999999997</v>
      </c>
      <c r="R77" s="605">
        <f t="shared" si="61"/>
        <v>1.7699999999999996</v>
      </c>
      <c r="S77" s="605">
        <f t="shared" si="61"/>
        <v>1.7949999999999995</v>
      </c>
      <c r="T77" s="605">
        <f t="shared" si="61"/>
        <v>1.8199999999999994</v>
      </c>
      <c r="U77" s="605">
        <f t="shared" si="61"/>
        <v>1.8449999999999993</v>
      </c>
      <c r="V77" s="605">
        <f t="shared" si="61"/>
        <v>1.8699999999999992</v>
      </c>
      <c r="W77" s="154"/>
      <c r="X77" s="154"/>
      <c r="Y77" s="154"/>
      <c r="Z77" s="154"/>
      <c r="AA77" s="154"/>
      <c r="AB77" s="154"/>
      <c r="AC77" s="154"/>
      <c r="AD77" s="154"/>
      <c r="AE77" s="154"/>
      <c r="AF77" s="154"/>
      <c r="AG77" s="154"/>
      <c r="AH77" s="154"/>
      <c r="AI77" s="154"/>
      <c r="AJ77" s="154"/>
      <c r="AK77" s="154"/>
      <c r="AL77" s="154"/>
      <c r="AM77" s="154"/>
      <c r="AN77" s="154"/>
    </row>
    <row r="78" spans="1:40" ht="15.75">
      <c r="A78" s="154" t="s">
        <v>202</v>
      </c>
      <c r="B78" s="154"/>
      <c r="C78" s="154"/>
      <c r="D78" s="154"/>
      <c r="E78" s="588"/>
      <c r="F78" s="154"/>
      <c r="G78" s="604">
        <f t="shared" si="55"/>
        <v>1.8482601254991444</v>
      </c>
      <c r="H78" s="604">
        <f t="shared" si="55"/>
        <v>1.6040114613180516</v>
      </c>
      <c r="I78" s="604">
        <f t="shared" ref="I78:J78" si="62">I67/I50</f>
        <v>1.569280343716434</v>
      </c>
      <c r="J78" s="604">
        <f t="shared" si="62"/>
        <v>1.5657264502394892</v>
      </c>
      <c r="K78" s="604">
        <f t="shared" ref="K78" si="63">K67/K50</f>
        <v>1.7642666666666666</v>
      </c>
      <c r="L78" s="605">
        <v>1.88</v>
      </c>
      <c r="M78" s="605">
        <f>L78+0.025</f>
        <v>1.9049999999999998</v>
      </c>
      <c r="N78" s="605">
        <f t="shared" ref="N78:V78" si="64">M78+0.025</f>
        <v>1.9299999999999997</v>
      </c>
      <c r="O78" s="605">
        <f t="shared" si="64"/>
        <v>1.9549999999999996</v>
      </c>
      <c r="P78" s="605">
        <f t="shared" si="64"/>
        <v>1.9799999999999995</v>
      </c>
      <c r="Q78" s="605">
        <f t="shared" si="64"/>
        <v>2.0049999999999994</v>
      </c>
      <c r="R78" s="605">
        <f t="shared" si="64"/>
        <v>2.0299999999999994</v>
      </c>
      <c r="S78" s="605">
        <f t="shared" si="64"/>
        <v>2.0549999999999993</v>
      </c>
      <c r="T78" s="605">
        <f t="shared" si="64"/>
        <v>2.0799999999999992</v>
      </c>
      <c r="U78" s="605">
        <f t="shared" si="64"/>
        <v>2.1049999999999991</v>
      </c>
      <c r="V78" s="605">
        <f t="shared" si="64"/>
        <v>2.129999999999999</v>
      </c>
      <c r="W78" s="154"/>
      <c r="X78" s="154"/>
      <c r="Y78" s="154"/>
      <c r="Z78" s="154"/>
      <c r="AA78" s="154"/>
      <c r="AB78" s="154"/>
      <c r="AC78" s="154"/>
      <c r="AD78" s="154"/>
      <c r="AE78" s="154"/>
      <c r="AF78" s="154"/>
      <c r="AG78" s="154"/>
      <c r="AH78" s="154"/>
      <c r="AI78" s="154"/>
      <c r="AJ78" s="154"/>
      <c r="AK78" s="154"/>
      <c r="AL78" s="154"/>
      <c r="AM78" s="154"/>
      <c r="AN78" s="154"/>
    </row>
    <row r="79" spans="1:40" ht="15.75">
      <c r="A79" s="154" t="s">
        <v>206</v>
      </c>
      <c r="B79" s="154"/>
      <c r="C79" s="154"/>
      <c r="D79" s="154"/>
      <c r="E79" s="588"/>
      <c r="F79" s="154"/>
      <c r="G79" s="604">
        <f t="shared" si="55"/>
        <v>2.4874739039665972</v>
      </c>
      <c r="H79" s="604">
        <f t="shared" si="55"/>
        <v>2.0782537067545306</v>
      </c>
      <c r="I79" s="604">
        <f t="shared" ref="I79:J80" si="65">I68/I51</f>
        <v>2.0265352539802879</v>
      </c>
      <c r="J79" s="604">
        <f t="shared" si="65"/>
        <v>1.9428172942817294</v>
      </c>
      <c r="K79" s="604">
        <f t="shared" ref="K79" si="66">K68/K51</f>
        <v>2.0519835841313268</v>
      </c>
      <c r="L79" s="605">
        <v>2.0699999999999998</v>
      </c>
      <c r="M79" s="605">
        <f t="shared" ref="M79:V79" si="67">L79+0.01</f>
        <v>2.0799999999999996</v>
      </c>
      <c r="N79" s="605">
        <f t="shared" si="67"/>
        <v>2.0899999999999994</v>
      </c>
      <c r="O79" s="605">
        <f t="shared" si="67"/>
        <v>2.0999999999999992</v>
      </c>
      <c r="P79" s="605">
        <f t="shared" si="67"/>
        <v>2.109999999999999</v>
      </c>
      <c r="Q79" s="605">
        <f t="shared" si="67"/>
        <v>2.1199999999999988</v>
      </c>
      <c r="R79" s="605">
        <f t="shared" si="67"/>
        <v>2.1299999999999986</v>
      </c>
      <c r="S79" s="605">
        <f t="shared" si="67"/>
        <v>2.1399999999999983</v>
      </c>
      <c r="T79" s="605">
        <f t="shared" si="67"/>
        <v>2.1499999999999981</v>
      </c>
      <c r="U79" s="605">
        <f t="shared" si="67"/>
        <v>2.1599999999999979</v>
      </c>
      <c r="V79" s="605">
        <f t="shared" si="67"/>
        <v>2.1699999999999977</v>
      </c>
      <c r="W79" s="154"/>
      <c r="X79" s="154"/>
      <c r="Y79" s="154"/>
      <c r="Z79" s="154"/>
      <c r="AA79" s="154"/>
      <c r="AB79" s="154"/>
      <c r="AC79" s="154"/>
      <c r="AD79" s="154"/>
      <c r="AE79" s="154"/>
      <c r="AF79" s="154"/>
      <c r="AG79" s="154"/>
      <c r="AH79" s="154"/>
      <c r="AI79" s="154"/>
      <c r="AJ79" s="154"/>
      <c r="AK79" s="154"/>
      <c r="AL79" s="154"/>
      <c r="AM79" s="154"/>
      <c r="AN79" s="154"/>
    </row>
    <row r="80" spans="1:40" ht="15.75">
      <c r="A80" s="154" t="s">
        <v>137</v>
      </c>
      <c r="B80" s="154"/>
      <c r="C80" s="154"/>
      <c r="D80" s="154"/>
      <c r="E80" s="588"/>
      <c r="F80" s="154"/>
      <c r="G80" s="604"/>
      <c r="H80" s="604"/>
      <c r="I80" s="604">
        <f t="shared" si="65"/>
        <v>1.2565454225970831</v>
      </c>
      <c r="J80" s="604">
        <f t="shared" si="65"/>
        <v>1.2741170268845545</v>
      </c>
      <c r="K80" s="604">
        <f t="shared" ref="K80" si="68">K69/K52</f>
        <v>1.2791147022659406</v>
      </c>
      <c r="L80" s="605">
        <v>1.29</v>
      </c>
      <c r="M80" s="605">
        <f>L80+0.0075</f>
        <v>1.2975000000000001</v>
      </c>
      <c r="N80" s="605">
        <f t="shared" ref="N80:V80" si="69">M80+0.0075</f>
        <v>1.3050000000000002</v>
      </c>
      <c r="O80" s="605">
        <f t="shared" si="69"/>
        <v>1.3125000000000002</v>
      </c>
      <c r="P80" s="605">
        <f t="shared" si="69"/>
        <v>1.3200000000000003</v>
      </c>
      <c r="Q80" s="605">
        <f t="shared" si="69"/>
        <v>1.3275000000000003</v>
      </c>
      <c r="R80" s="605">
        <f t="shared" si="69"/>
        <v>1.3350000000000004</v>
      </c>
      <c r="S80" s="605">
        <f t="shared" si="69"/>
        <v>1.3425000000000005</v>
      </c>
      <c r="T80" s="605">
        <f t="shared" si="69"/>
        <v>1.3500000000000005</v>
      </c>
      <c r="U80" s="605">
        <f t="shared" si="69"/>
        <v>1.3575000000000006</v>
      </c>
      <c r="V80" s="605">
        <f t="shared" si="69"/>
        <v>1.3650000000000007</v>
      </c>
      <c r="W80" s="154"/>
      <c r="X80" s="154"/>
      <c r="Y80" s="154"/>
      <c r="Z80" s="154"/>
      <c r="AA80" s="154"/>
      <c r="AB80" s="154"/>
      <c r="AC80" s="154"/>
      <c r="AD80" s="154"/>
      <c r="AE80" s="154"/>
      <c r="AF80" s="154"/>
      <c r="AG80" s="154"/>
      <c r="AH80" s="154"/>
      <c r="AI80" s="154"/>
      <c r="AJ80" s="154"/>
      <c r="AK80" s="154"/>
      <c r="AL80" s="154"/>
      <c r="AM80" s="154"/>
      <c r="AN80" s="154"/>
    </row>
    <row r="81" spans="1:40" ht="15.75">
      <c r="A81" s="525" t="s">
        <v>709</v>
      </c>
      <c r="B81" s="525"/>
      <c r="C81" s="525"/>
      <c r="D81" s="525"/>
      <c r="E81" s="590"/>
      <c r="F81" s="525"/>
      <c r="G81" s="606">
        <f t="shared" ref="G81:Q81" si="70">G70/G53</f>
        <v>1.7861544512914644</v>
      </c>
      <c r="H81" s="606">
        <f t="shared" si="70"/>
        <v>1.7029702970297029</v>
      </c>
      <c r="I81" s="607">
        <f t="shared" si="70"/>
        <v>1.5188447653429602</v>
      </c>
      <c r="J81" s="607">
        <f t="shared" si="70"/>
        <v>1.5362122936824132</v>
      </c>
      <c r="K81" s="607">
        <f t="shared" ref="K81" si="71">K70/K53</f>
        <v>1.58445778876722</v>
      </c>
      <c r="L81" s="607">
        <f t="shared" si="70"/>
        <v>1.5628082969928472</v>
      </c>
      <c r="M81" s="607">
        <f t="shared" si="70"/>
        <v>1.580771631060867</v>
      </c>
      <c r="N81" s="607">
        <f t="shared" si="70"/>
        <v>1.5984248967848418</v>
      </c>
      <c r="O81" s="607">
        <f t="shared" si="70"/>
        <v>1.6159373594675155</v>
      </c>
      <c r="P81" s="607">
        <f t="shared" si="70"/>
        <v>1.6333612865427924</v>
      </c>
      <c r="Q81" s="607">
        <f t="shared" si="70"/>
        <v>1.6507512186807058</v>
      </c>
      <c r="R81" s="607">
        <f t="shared" ref="R81:V81" si="72">R70/R53</f>
        <v>1.6677496405665357</v>
      </c>
      <c r="S81" s="607">
        <f t="shared" si="72"/>
        <v>1.6844622479557081</v>
      </c>
      <c r="T81" s="607">
        <f t="shared" si="72"/>
        <v>1.7010128398783544</v>
      </c>
      <c r="U81" s="607">
        <f t="shared" si="72"/>
        <v>1.7173895743968817</v>
      </c>
      <c r="V81" s="607">
        <f t="shared" si="72"/>
        <v>1.7334252962750789</v>
      </c>
      <c r="W81" s="154"/>
      <c r="X81" s="154"/>
      <c r="Y81" s="154"/>
      <c r="Z81" s="154"/>
      <c r="AA81" s="154"/>
      <c r="AB81" s="154"/>
      <c r="AC81" s="154"/>
      <c r="AD81" s="154"/>
      <c r="AE81" s="154"/>
      <c r="AF81" s="154"/>
      <c r="AG81" s="154"/>
      <c r="AH81" s="154"/>
      <c r="AI81" s="154"/>
      <c r="AJ81" s="154"/>
      <c r="AK81" s="154"/>
      <c r="AL81" s="154"/>
      <c r="AM81" s="154"/>
      <c r="AN81" s="154"/>
    </row>
    <row r="82" spans="1:40" ht="15.75">
      <c r="A82" s="530" t="s">
        <v>637</v>
      </c>
      <c r="B82" s="561"/>
      <c r="C82" s="561"/>
      <c r="D82" s="561"/>
      <c r="E82" s="561"/>
      <c r="F82" s="561"/>
      <c r="G82" s="561"/>
      <c r="H82" s="562"/>
      <c r="I82" s="562"/>
      <c r="J82" s="608"/>
      <c r="K82" s="568"/>
      <c r="L82" s="568">
        <f t="shared" ref="L82:N82" si="73">L72/L54</f>
        <v>1.5779169159879485</v>
      </c>
      <c r="M82" s="568">
        <f t="shared" si="73"/>
        <v>1.6046381491147899</v>
      </c>
      <c r="N82" s="568">
        <f t="shared" si="73"/>
        <v>1.6316774921598043</v>
      </c>
      <c r="O82" s="154"/>
      <c r="P82" s="154"/>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row>
    <row r="83" spans="1:40" ht="15.75">
      <c r="A83" s="154"/>
      <c r="B83" s="154"/>
      <c r="C83" s="154"/>
      <c r="D83" s="154"/>
      <c r="E83" s="540"/>
      <c r="F83" s="154"/>
      <c r="G83" s="154"/>
      <c r="H83" s="154"/>
      <c r="I83" s="154"/>
      <c r="J83" s="154"/>
      <c r="K83" s="154"/>
      <c r="L83" s="154"/>
      <c r="M83" s="154"/>
      <c r="N83" s="154"/>
      <c r="O83" s="154"/>
      <c r="P83" s="154"/>
      <c r="Q83" s="154"/>
      <c r="R83" s="154"/>
      <c r="S83" s="154"/>
      <c r="T83" s="154"/>
      <c r="U83" s="154"/>
      <c r="V83" s="154"/>
      <c r="W83" s="154"/>
      <c r="X83" s="154"/>
      <c r="Y83" s="154"/>
      <c r="Z83" s="154"/>
      <c r="AA83" s="154"/>
      <c r="AB83" s="154"/>
      <c r="AC83" s="154"/>
      <c r="AD83" s="154"/>
      <c r="AE83" s="154"/>
      <c r="AF83" s="154"/>
      <c r="AG83" s="154"/>
      <c r="AH83" s="154"/>
      <c r="AI83" s="154"/>
      <c r="AJ83" s="154"/>
      <c r="AK83" s="154"/>
      <c r="AL83" s="154"/>
      <c r="AM83" s="154"/>
      <c r="AN83" s="154"/>
    </row>
    <row r="84" spans="1:40" ht="15.75">
      <c r="A84" s="154" t="s">
        <v>2</v>
      </c>
      <c r="B84" s="540"/>
      <c r="C84" s="540"/>
      <c r="D84" s="540"/>
      <c r="E84" s="540"/>
      <c r="F84" s="586">
        <v>13402</v>
      </c>
      <c r="G84" s="540">
        <f t="shared" ref="G84:Q84" si="74">G70</f>
        <v>13623</v>
      </c>
      <c r="H84" s="540">
        <f t="shared" si="74"/>
        <v>13416</v>
      </c>
      <c r="I84" s="540">
        <f t="shared" si="74"/>
        <v>21036</v>
      </c>
      <c r="J84" s="540">
        <f t="shared" si="74"/>
        <v>21593</v>
      </c>
      <c r="K84" s="540">
        <f t="shared" si="74"/>
        <v>22428</v>
      </c>
      <c r="L84" s="540">
        <f t="shared" si="74"/>
        <v>19879.969655113899</v>
      </c>
      <c r="M84" s="540">
        <f t="shared" si="74"/>
        <v>20231.594522314354</v>
      </c>
      <c r="N84" s="540">
        <f t="shared" si="74"/>
        <v>20574.483095854925</v>
      </c>
      <c r="O84" s="540">
        <f t="shared" si="74"/>
        <v>20922.829662574433</v>
      </c>
      <c r="P84" s="540">
        <f t="shared" si="74"/>
        <v>21282.066974394445</v>
      </c>
      <c r="Q84" s="540">
        <f t="shared" si="74"/>
        <v>21648.904264981018</v>
      </c>
      <c r="R84" s="540">
        <f t="shared" ref="R84:V84" si="75">R70</f>
        <v>22042.139790570112</v>
      </c>
      <c r="S84" s="540">
        <f t="shared" si="75"/>
        <v>22455.306538474542</v>
      </c>
      <c r="T84" s="540">
        <f t="shared" si="75"/>
        <v>22881.493737500248</v>
      </c>
      <c r="U84" s="540">
        <f t="shared" si="75"/>
        <v>23321.122377596112</v>
      </c>
      <c r="V84" s="540">
        <f t="shared" si="75"/>
        <v>23782.536263636051</v>
      </c>
      <c r="W84" s="154"/>
      <c r="X84" s="154"/>
      <c r="Y84" s="154"/>
      <c r="Z84" s="154"/>
      <c r="AA84" s="154"/>
      <c r="AB84" s="154"/>
      <c r="AC84" s="154"/>
      <c r="AD84" s="154"/>
      <c r="AE84" s="154"/>
      <c r="AF84" s="154"/>
      <c r="AG84" s="154"/>
      <c r="AH84" s="154"/>
      <c r="AI84" s="154"/>
      <c r="AJ84" s="154"/>
      <c r="AK84" s="154"/>
      <c r="AL84" s="154"/>
      <c r="AM84" s="154"/>
      <c r="AN84" s="154"/>
    </row>
    <row r="85" spans="1:40" ht="15.75">
      <c r="A85" s="154" t="s">
        <v>633</v>
      </c>
      <c r="B85" s="154"/>
      <c r="C85" s="159"/>
      <c r="D85" s="159"/>
      <c r="E85" s="159"/>
      <c r="F85" s="159"/>
      <c r="G85" s="159"/>
      <c r="H85" s="467">
        <f t="shared" ref="H85:V85" si="76">H84/G84-1</f>
        <v>-1.5194890993173282E-2</v>
      </c>
      <c r="I85" s="467">
        <f t="shared" si="76"/>
        <v>0.56797853309481217</v>
      </c>
      <c r="J85" s="467">
        <f t="shared" si="76"/>
        <v>2.6478417950180688E-2</v>
      </c>
      <c r="K85" s="467">
        <f t="shared" si="76"/>
        <v>3.8669939332190983E-2</v>
      </c>
      <c r="L85" s="467">
        <f t="shared" si="76"/>
        <v>-0.11360934300366066</v>
      </c>
      <c r="M85" s="467">
        <f t="shared" si="76"/>
        <v>1.7687394563502323E-2</v>
      </c>
      <c r="N85" s="467">
        <f t="shared" si="76"/>
        <v>1.6948173470083372E-2</v>
      </c>
      <c r="O85" s="467">
        <f t="shared" si="76"/>
        <v>1.6930999680360825E-2</v>
      </c>
      <c r="P85" s="467">
        <f t="shared" si="76"/>
        <v>1.716963324815457E-2</v>
      </c>
      <c r="Q85" s="467">
        <f t="shared" si="76"/>
        <v>1.7236920221514795E-2</v>
      </c>
      <c r="R85" s="467">
        <f t="shared" si="76"/>
        <v>1.8164223037615113E-2</v>
      </c>
      <c r="S85" s="467">
        <f t="shared" si="76"/>
        <v>1.8744402849726338E-2</v>
      </c>
      <c r="T85" s="467">
        <f t="shared" si="76"/>
        <v>1.8979353423453915E-2</v>
      </c>
      <c r="U85" s="467">
        <f t="shared" si="76"/>
        <v>1.9213284112451046E-2</v>
      </c>
      <c r="V85" s="467">
        <f t="shared" si="76"/>
        <v>1.9785234971503973E-2</v>
      </c>
      <c r="W85" s="154"/>
      <c r="X85" s="154"/>
      <c r="Y85" s="154"/>
      <c r="Z85" s="154"/>
      <c r="AA85" s="154"/>
      <c r="AB85" s="154"/>
      <c r="AC85" s="154"/>
      <c r="AD85" s="154"/>
      <c r="AE85" s="154"/>
      <c r="AF85" s="154"/>
      <c r="AG85" s="154"/>
      <c r="AH85" s="154"/>
      <c r="AI85" s="154"/>
      <c r="AJ85" s="154"/>
      <c r="AK85" s="154"/>
      <c r="AL85" s="154"/>
      <c r="AM85" s="154"/>
      <c r="AN85" s="154"/>
    </row>
    <row r="86" spans="1:40" ht="15.75">
      <c r="A86" s="154" t="s">
        <v>4</v>
      </c>
      <c r="B86" s="540"/>
      <c r="C86" s="540"/>
      <c r="D86" s="540"/>
      <c r="E86" s="540"/>
      <c r="F86" s="540"/>
      <c r="G86" s="540">
        <f t="shared" ref="G86:L86" si="77">G84-F84</f>
        <v>221</v>
      </c>
      <c r="H86" s="540">
        <f t="shared" si="77"/>
        <v>-207</v>
      </c>
      <c r="I86" s="540">
        <f t="shared" si="77"/>
        <v>7620</v>
      </c>
      <c r="J86" s="540">
        <f t="shared" si="77"/>
        <v>557</v>
      </c>
      <c r="K86" s="540">
        <f t="shared" si="77"/>
        <v>835</v>
      </c>
      <c r="L86" s="540">
        <f t="shared" si="77"/>
        <v>-2548.0303448861014</v>
      </c>
      <c r="M86" s="540">
        <f t="shared" ref="M86:V86" si="78">M84-L84</f>
        <v>351.6248672004549</v>
      </c>
      <c r="N86" s="540">
        <f t="shared" si="78"/>
        <v>342.88857354057109</v>
      </c>
      <c r="O86" s="540">
        <f t="shared" si="78"/>
        <v>348.3465667195087</v>
      </c>
      <c r="P86" s="540">
        <f t="shared" si="78"/>
        <v>359.23731182001211</v>
      </c>
      <c r="Q86" s="540">
        <f t="shared" si="78"/>
        <v>366.83729058657264</v>
      </c>
      <c r="R86" s="540">
        <f t="shared" si="78"/>
        <v>393.23552558909432</v>
      </c>
      <c r="S86" s="540">
        <f t="shared" si="78"/>
        <v>413.16674790442994</v>
      </c>
      <c r="T86" s="540">
        <f t="shared" si="78"/>
        <v>426.18719902570592</v>
      </c>
      <c r="U86" s="540">
        <f t="shared" si="78"/>
        <v>439.62864009586337</v>
      </c>
      <c r="V86" s="540">
        <f t="shared" si="78"/>
        <v>461.41388603993983</v>
      </c>
      <c r="W86" s="154"/>
      <c r="X86" s="154"/>
      <c r="Y86" s="154"/>
      <c r="Z86" s="154"/>
      <c r="AA86" s="154"/>
      <c r="AB86" s="154"/>
      <c r="AC86" s="154"/>
      <c r="AD86" s="154"/>
      <c r="AE86" s="154"/>
      <c r="AF86" s="154"/>
      <c r="AG86" s="154"/>
      <c r="AH86" s="154"/>
      <c r="AI86" s="154"/>
      <c r="AJ86" s="154"/>
      <c r="AK86" s="154"/>
      <c r="AL86" s="154"/>
      <c r="AM86" s="154"/>
      <c r="AN86" s="154"/>
    </row>
    <row r="87" spans="1:40" ht="15.75">
      <c r="A87" s="154" t="s">
        <v>146</v>
      </c>
      <c r="B87" s="154"/>
      <c r="C87" s="529"/>
      <c r="D87" s="529"/>
      <c r="E87" s="529"/>
      <c r="F87" s="529"/>
      <c r="G87" s="529">
        <f t="shared" ref="G87:Q87" si="79">G86-G62</f>
        <v>194</v>
      </c>
      <c r="H87" s="529">
        <f t="shared" si="79"/>
        <v>-458</v>
      </c>
      <c r="I87" s="529">
        <f t="shared" si="79"/>
        <v>1648</v>
      </c>
      <c r="J87" s="529">
        <f t="shared" si="79"/>
        <v>351</v>
      </c>
      <c r="K87" s="529">
        <f t="shared" si="79"/>
        <v>736</v>
      </c>
      <c r="L87" s="529">
        <f t="shared" si="79"/>
        <v>-1113.7010076711013</v>
      </c>
      <c r="M87" s="529">
        <f t="shared" si="79"/>
        <v>273.73935350803004</v>
      </c>
      <c r="N87" s="529">
        <f t="shared" si="79"/>
        <v>269.72138207024182</v>
      </c>
      <c r="O87" s="529">
        <f t="shared" si="79"/>
        <v>272.27245972743367</v>
      </c>
      <c r="P87" s="529">
        <f t="shared" si="79"/>
        <v>277.42085520858927</v>
      </c>
      <c r="Q87" s="529">
        <f t="shared" si="79"/>
        <v>281.87404055439765</v>
      </c>
      <c r="R87" s="529">
        <f t="shared" ref="R87:V87" si="80">R86-R62</f>
        <v>291.1168348338033</v>
      </c>
      <c r="S87" s="529">
        <f t="shared" si="80"/>
        <v>299.01678755875037</v>
      </c>
      <c r="T87" s="529">
        <f t="shared" si="80"/>
        <v>305.34518957918408</v>
      </c>
      <c r="U87" s="529">
        <f t="shared" si="80"/>
        <v>311.91508997942583</v>
      </c>
      <c r="V87" s="529">
        <f t="shared" si="80"/>
        <v>320.8492002902567</v>
      </c>
      <c r="W87" s="154"/>
      <c r="X87" s="154"/>
      <c r="Y87" s="154"/>
      <c r="Z87" s="154"/>
      <c r="AA87" s="154"/>
      <c r="AB87" s="154"/>
      <c r="AC87" s="154"/>
      <c r="AD87" s="154"/>
      <c r="AE87" s="154"/>
      <c r="AF87" s="154"/>
      <c r="AG87" s="154"/>
      <c r="AH87" s="154"/>
      <c r="AI87" s="154"/>
      <c r="AJ87" s="154"/>
      <c r="AK87" s="154"/>
      <c r="AL87" s="154"/>
      <c r="AM87" s="154"/>
      <c r="AN87" s="154"/>
    </row>
    <row r="88" spans="1:40" ht="15.75">
      <c r="A88" s="154"/>
      <c r="B88" s="154"/>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c r="AA88" s="154"/>
      <c r="AB88" s="154"/>
      <c r="AC88" s="154"/>
      <c r="AD88" s="154"/>
      <c r="AE88" s="154"/>
      <c r="AF88" s="154"/>
      <c r="AG88" s="154"/>
      <c r="AH88" s="154"/>
      <c r="AI88" s="154"/>
      <c r="AJ88" s="154"/>
      <c r="AK88" s="154"/>
      <c r="AL88" s="154"/>
      <c r="AM88" s="154"/>
      <c r="AN88" s="154"/>
    </row>
    <row r="89" spans="1:40" ht="15.75">
      <c r="A89" s="154" t="s">
        <v>6</v>
      </c>
      <c r="B89" s="154"/>
      <c r="C89" s="540"/>
      <c r="D89" s="540"/>
      <c r="E89" s="540"/>
      <c r="F89" s="540"/>
      <c r="G89" s="540">
        <f t="shared" ref="G89:L89" si="81">G98/AVERAGE(F84:G84)/12*1000000</f>
        <v>1932.8769657724329</v>
      </c>
      <c r="H89" s="540">
        <f t="shared" si="81"/>
        <v>2120.0549823095034</v>
      </c>
      <c r="I89" s="540">
        <f t="shared" si="81"/>
        <v>1997.0974108905145</v>
      </c>
      <c r="J89" s="540">
        <f t="shared" si="81"/>
        <v>1966.7714466677614</v>
      </c>
      <c r="K89" s="540">
        <f t="shared" si="81"/>
        <v>1831.8605514034966</v>
      </c>
      <c r="L89" s="540">
        <f t="shared" si="81"/>
        <v>1909.4117253052534</v>
      </c>
      <c r="M89" s="540">
        <f t="shared" ref="M89:V89" si="82">L89*(1+M90)</f>
        <v>1957.1470184378845</v>
      </c>
      <c r="N89" s="540">
        <f t="shared" si="82"/>
        <v>2020.7542965371158</v>
      </c>
      <c r="O89" s="540">
        <f t="shared" si="82"/>
        <v>2106.6363541399433</v>
      </c>
      <c r="P89" s="540">
        <f t="shared" si="82"/>
        <v>2193.0084446596807</v>
      </c>
      <c r="Q89" s="540">
        <f t="shared" si="82"/>
        <v>2282.9217908907276</v>
      </c>
      <c r="R89" s="540">
        <f t="shared" si="82"/>
        <v>2376.5215843172473</v>
      </c>
      <c r="S89" s="540">
        <f t="shared" si="82"/>
        <v>2473.9589692742543</v>
      </c>
      <c r="T89" s="540">
        <f t="shared" si="82"/>
        <v>2575.3912870144986</v>
      </c>
      <c r="U89" s="540">
        <f t="shared" si="82"/>
        <v>2680.9823297820931</v>
      </c>
      <c r="V89" s="540">
        <f t="shared" si="82"/>
        <v>2790.9026053031589</v>
      </c>
      <c r="W89" s="154"/>
      <c r="X89" s="154"/>
      <c r="Y89" s="154"/>
      <c r="Z89" s="154"/>
      <c r="AA89" s="154"/>
      <c r="AB89" s="154"/>
      <c r="AC89" s="154"/>
      <c r="AD89" s="154"/>
      <c r="AE89" s="154"/>
      <c r="AF89" s="154"/>
      <c r="AG89" s="154"/>
      <c r="AH89" s="154"/>
      <c r="AI89" s="154"/>
      <c r="AJ89" s="154"/>
      <c r="AK89" s="154"/>
      <c r="AL89" s="154"/>
      <c r="AM89" s="154"/>
      <c r="AN89" s="154"/>
    </row>
    <row r="90" spans="1:40" ht="15.75">
      <c r="A90" s="154" t="s">
        <v>633</v>
      </c>
      <c r="B90" s="154"/>
      <c r="C90" s="154"/>
      <c r="D90" s="467"/>
      <c r="E90" s="467"/>
      <c r="F90" s="467"/>
      <c r="G90" s="467"/>
      <c r="H90" s="467">
        <f>H89/G89-1</f>
        <v>9.6839074525506108E-2</v>
      </c>
      <c r="I90" s="467">
        <f>I89/H89-1</f>
        <v>-5.7997350278644055E-2</v>
      </c>
      <c r="J90" s="467">
        <f>J89/I89-1</f>
        <v>-1.5185020048286257E-2</v>
      </c>
      <c r="K90" s="467">
        <f>K89/J89-1</f>
        <v>-6.8595105696109271E-2</v>
      </c>
      <c r="L90" s="467">
        <f>L89/K89-1</f>
        <v>4.2334649240816979E-2</v>
      </c>
      <c r="M90" s="983">
        <v>2.5000000000000001E-2</v>
      </c>
      <c r="N90" s="983">
        <v>3.2500000000000001E-2</v>
      </c>
      <c r="O90" s="983">
        <v>4.2500000000000003E-2</v>
      </c>
      <c r="P90" s="983">
        <v>4.1000000000000002E-2</v>
      </c>
      <c r="Q90" s="983">
        <v>4.1000000000000002E-2</v>
      </c>
      <c r="R90" s="983">
        <v>4.1000000000000002E-2</v>
      </c>
      <c r="S90" s="983">
        <v>4.1000000000000002E-2</v>
      </c>
      <c r="T90" s="983">
        <v>4.1000000000000002E-2</v>
      </c>
      <c r="U90" s="983">
        <v>4.1000000000000002E-2</v>
      </c>
      <c r="V90" s="983">
        <v>4.1000000000000002E-2</v>
      </c>
      <c r="W90" s="154"/>
      <c r="X90" s="154"/>
      <c r="Y90" s="154"/>
      <c r="Z90" s="154"/>
      <c r="AA90" s="154"/>
      <c r="AB90" s="154"/>
      <c r="AC90" s="154"/>
      <c r="AD90" s="154"/>
      <c r="AE90" s="154"/>
      <c r="AF90" s="154"/>
      <c r="AG90" s="154"/>
      <c r="AH90" s="154"/>
      <c r="AI90" s="154"/>
      <c r="AJ90" s="154"/>
      <c r="AK90" s="154"/>
      <c r="AL90" s="154"/>
      <c r="AM90" s="154"/>
      <c r="AN90" s="154"/>
    </row>
    <row r="91" spans="1:40" ht="15.75">
      <c r="A91" s="154" t="s">
        <v>7</v>
      </c>
      <c r="B91" s="154"/>
      <c r="C91" s="540"/>
      <c r="D91" s="540"/>
      <c r="E91" s="540"/>
      <c r="F91" s="540"/>
      <c r="G91" s="540">
        <f t="shared" ref="G91:V91" si="83">G98/AVERAGE(F53:G53)/12*1000000</f>
        <v>3430.4853221251724</v>
      </c>
      <c r="H91" s="540">
        <f t="shared" si="83"/>
        <v>3697.1407072987208</v>
      </c>
      <c r="I91" s="540">
        <f t="shared" si="83"/>
        <v>3166.6053019145802</v>
      </c>
      <c r="J91" s="540">
        <f t="shared" si="83"/>
        <v>3004.4255715616709</v>
      </c>
      <c r="K91" s="540">
        <f t="shared" si="83"/>
        <v>2858.4712818876797</v>
      </c>
      <c r="L91" s="540">
        <f t="shared" si="83"/>
        <v>3005.8164630360202</v>
      </c>
      <c r="M91" s="540">
        <f t="shared" si="83"/>
        <v>3076.2776916874082</v>
      </c>
      <c r="N91" s="540">
        <f t="shared" si="83"/>
        <v>3212.238360281131</v>
      </c>
      <c r="O91" s="540">
        <f t="shared" si="83"/>
        <v>3385.8005416899045</v>
      </c>
      <c r="P91" s="540">
        <f t="shared" si="83"/>
        <v>3562.9298578893208</v>
      </c>
      <c r="Q91" s="540">
        <f t="shared" si="83"/>
        <v>3748.7505091421526</v>
      </c>
      <c r="R91" s="540">
        <f t="shared" si="83"/>
        <v>3943.3227944103051</v>
      </c>
      <c r="S91" s="540">
        <f t="shared" si="83"/>
        <v>4146.7062253342428</v>
      </c>
      <c r="T91" s="540">
        <f t="shared" si="83"/>
        <v>4359.5576814921005</v>
      </c>
      <c r="U91" s="540">
        <f t="shared" si="83"/>
        <v>4582.4419549006661</v>
      </c>
      <c r="V91" s="540">
        <f t="shared" si="83"/>
        <v>4815.5593262157226</v>
      </c>
      <c r="W91" s="154"/>
      <c r="X91" s="154"/>
      <c r="Y91" s="154"/>
      <c r="Z91" s="154"/>
      <c r="AA91" s="154"/>
      <c r="AB91" s="154"/>
      <c r="AC91" s="154"/>
      <c r="AD91" s="154"/>
      <c r="AE91" s="154"/>
      <c r="AF91" s="154"/>
      <c r="AG91" s="154"/>
      <c r="AH91" s="154"/>
      <c r="AI91" s="154"/>
      <c r="AJ91" s="154"/>
      <c r="AK91" s="154"/>
      <c r="AL91" s="154"/>
      <c r="AM91" s="154"/>
      <c r="AN91" s="154"/>
    </row>
    <row r="92" spans="1:40" ht="15.75">
      <c r="A92" s="154" t="s">
        <v>633</v>
      </c>
      <c r="B92" s="154"/>
      <c r="C92" s="154"/>
      <c r="D92" s="467"/>
      <c r="E92" s="467"/>
      <c r="F92" s="467"/>
      <c r="G92" s="467"/>
      <c r="H92" s="467">
        <f t="shared" ref="H92:V92" si="84">H91/G91-1</f>
        <v>7.7731096371039587E-2</v>
      </c>
      <c r="I92" s="467">
        <f t="shared" si="84"/>
        <v>-0.1434988406951303</v>
      </c>
      <c r="J92" s="467">
        <f t="shared" si="84"/>
        <v>-5.1215644164699925E-2</v>
      </c>
      <c r="K92" s="467">
        <f t="shared" si="84"/>
        <v>-4.8579765481800763E-2</v>
      </c>
      <c r="L92" s="467">
        <f t="shared" si="84"/>
        <v>5.1546846764553234E-2</v>
      </c>
      <c r="M92" s="467">
        <f t="shared" si="84"/>
        <v>2.3441627097956275E-2</v>
      </c>
      <c r="N92" s="467">
        <f t="shared" si="84"/>
        <v>4.4196487515125948E-2</v>
      </c>
      <c r="O92" s="467">
        <f t="shared" si="84"/>
        <v>5.4031538740974216E-2</v>
      </c>
      <c r="P92" s="467">
        <f t="shared" si="84"/>
        <v>5.2315342861575687E-2</v>
      </c>
      <c r="Q92" s="467">
        <f t="shared" si="84"/>
        <v>5.2153889822268873E-2</v>
      </c>
      <c r="R92" s="467">
        <f t="shared" si="84"/>
        <v>5.1903236770130423E-2</v>
      </c>
      <c r="S92" s="467">
        <f t="shared" si="84"/>
        <v>5.1576663014307522E-2</v>
      </c>
      <c r="T92" s="467">
        <f t="shared" si="84"/>
        <v>5.133024733159175E-2</v>
      </c>
      <c r="U92" s="467">
        <f t="shared" si="84"/>
        <v>5.1125432828837303E-2</v>
      </c>
      <c r="V92" s="467">
        <f t="shared" si="84"/>
        <v>5.0871865614304346E-2</v>
      </c>
      <c r="W92" s="154"/>
      <c r="X92" s="154"/>
      <c r="Y92" s="154"/>
      <c r="Z92" s="154"/>
      <c r="AA92" s="154"/>
      <c r="AB92" s="154"/>
      <c r="AC92" s="154"/>
      <c r="AD92" s="154"/>
      <c r="AE92" s="154"/>
      <c r="AF92" s="154"/>
      <c r="AG92" s="154"/>
      <c r="AH92" s="154"/>
      <c r="AI92" s="154"/>
      <c r="AJ92" s="154"/>
      <c r="AK92" s="154"/>
      <c r="AL92" s="154"/>
      <c r="AM92" s="154"/>
      <c r="AN92" s="154"/>
    </row>
    <row r="93" spans="1:40" ht="15.75">
      <c r="A93" s="154"/>
      <c r="B93" s="154"/>
      <c r="C93" s="154"/>
      <c r="D93" s="467"/>
      <c r="E93" s="467"/>
      <c r="F93" s="467"/>
      <c r="G93" s="467"/>
      <c r="H93" s="467"/>
      <c r="I93" s="467"/>
      <c r="J93" s="467"/>
      <c r="K93" s="467"/>
      <c r="L93" s="467"/>
      <c r="M93" s="467"/>
      <c r="N93" s="467"/>
      <c r="O93" s="467"/>
      <c r="P93" s="467"/>
      <c r="Q93" s="467"/>
      <c r="R93" s="467"/>
      <c r="S93" s="467"/>
      <c r="T93" s="467"/>
      <c r="U93" s="467"/>
      <c r="V93" s="467"/>
      <c r="W93" s="154"/>
      <c r="X93" s="154"/>
      <c r="Y93" s="154"/>
      <c r="Z93" s="154"/>
      <c r="AA93" s="154"/>
      <c r="AB93" s="154"/>
      <c r="AC93" s="154"/>
      <c r="AD93" s="154"/>
      <c r="AE93" s="154"/>
      <c r="AF93" s="154"/>
      <c r="AG93" s="154"/>
      <c r="AH93" s="154"/>
      <c r="AI93" s="154"/>
      <c r="AJ93" s="154"/>
      <c r="AK93" s="154"/>
      <c r="AL93" s="154"/>
      <c r="AM93" s="154"/>
      <c r="AN93" s="154"/>
    </row>
    <row r="94" spans="1:40" ht="15.75">
      <c r="A94" s="154"/>
      <c r="B94" s="154"/>
      <c r="C94" s="154"/>
      <c r="D94" s="154"/>
      <c r="E94" s="154"/>
      <c r="F94" s="154"/>
      <c r="G94" s="154"/>
      <c r="H94" s="154"/>
      <c r="I94" s="154"/>
      <c r="J94" s="154"/>
      <c r="K94" s="154"/>
      <c r="L94" s="936">
        <v>482.37118421099194</v>
      </c>
      <c r="M94" s="936">
        <v>491.08862712838578</v>
      </c>
      <c r="N94" s="936">
        <v>515.09251527303184</v>
      </c>
      <c r="O94" s="936">
        <v>544.87819482879047</v>
      </c>
      <c r="P94" s="936">
        <v>575.97310150991927</v>
      </c>
      <c r="Q94" s="936">
        <v>608.81479976856167</v>
      </c>
      <c r="R94" s="936">
        <v>608.81479976856167</v>
      </c>
      <c r="S94" s="936">
        <v>608.81479976856167</v>
      </c>
      <c r="T94" s="936">
        <v>608.81479976856167</v>
      </c>
      <c r="U94" s="936">
        <v>608.81479976856167</v>
      </c>
      <c r="V94" s="936">
        <v>608.81479976856167</v>
      </c>
      <c r="W94" s="154"/>
      <c r="X94" s="154"/>
      <c r="Y94" s="154"/>
      <c r="Z94" s="154"/>
      <c r="AA94" s="154"/>
      <c r="AB94" s="154"/>
      <c r="AC94" s="154"/>
      <c r="AD94" s="154"/>
      <c r="AE94" s="154"/>
      <c r="AF94" s="154"/>
      <c r="AG94" s="154"/>
      <c r="AH94" s="154"/>
      <c r="AI94" s="154"/>
      <c r="AJ94" s="154"/>
      <c r="AK94" s="154"/>
      <c r="AL94" s="154"/>
      <c r="AM94" s="154"/>
      <c r="AN94" s="154"/>
    </row>
    <row r="95" spans="1:40" ht="15.75">
      <c r="A95" s="154"/>
      <c r="B95" s="154"/>
      <c r="C95" s="154"/>
      <c r="D95" s="154"/>
      <c r="E95" s="154"/>
      <c r="F95" s="154"/>
      <c r="G95" s="154"/>
      <c r="H95" s="154"/>
      <c r="I95" s="154"/>
      <c r="J95" s="154"/>
      <c r="K95" s="154"/>
      <c r="L95" s="936">
        <f>L98-L94</f>
        <v>2.328815789008047</v>
      </c>
      <c r="M95" s="936">
        <f t="shared" ref="M95:Q95" si="85">M98-M94</f>
        <v>-20.063257719984392</v>
      </c>
      <c r="N95" s="936">
        <f t="shared" si="85"/>
        <v>-20.338175242576256</v>
      </c>
      <c r="O95" s="936">
        <f t="shared" si="85"/>
        <v>-20.359708892655021</v>
      </c>
      <c r="P95" s="936">
        <f t="shared" si="85"/>
        <v>-20.638933124749087</v>
      </c>
      <c r="Q95" s="936">
        <f t="shared" si="85"/>
        <v>-20.766501289721532</v>
      </c>
      <c r="R95" s="936">
        <f t="shared" ref="R95:V95" si="86">R98-R94</f>
        <v>14.18145566767646</v>
      </c>
      <c r="S95" s="936">
        <f t="shared" si="86"/>
        <v>51.694338964677058</v>
      </c>
      <c r="T95" s="936">
        <f t="shared" si="86"/>
        <v>91.745202702610186</v>
      </c>
      <c r="U95" s="936">
        <f t="shared" si="86"/>
        <v>134.39558459711066</v>
      </c>
      <c r="V95" s="936">
        <f t="shared" si="86"/>
        <v>179.95554195819136</v>
      </c>
      <c r="W95" s="154"/>
      <c r="X95" s="154"/>
      <c r="Y95" s="154"/>
      <c r="Z95" s="154"/>
      <c r="AA95" s="154"/>
      <c r="AB95" s="154"/>
      <c r="AC95" s="154"/>
      <c r="AD95" s="154"/>
      <c r="AE95" s="154"/>
      <c r="AF95" s="154"/>
      <c r="AG95" s="154"/>
      <c r="AH95" s="154"/>
      <c r="AI95" s="154"/>
      <c r="AJ95" s="154"/>
      <c r="AK95" s="154"/>
      <c r="AL95" s="154"/>
      <c r="AM95" s="154"/>
      <c r="AN95" s="154"/>
    </row>
    <row r="96" spans="1:40" ht="15.75">
      <c r="A96" s="163" t="s">
        <v>673</v>
      </c>
      <c r="B96" s="164"/>
      <c r="C96" s="164"/>
      <c r="D96" s="164"/>
      <c r="E96" s="164"/>
      <c r="F96" s="164"/>
      <c r="G96" s="164"/>
      <c r="H96" s="164"/>
      <c r="I96" s="164"/>
      <c r="J96" s="164"/>
      <c r="K96" s="164"/>
      <c r="L96" s="164"/>
      <c r="M96" s="164"/>
      <c r="N96" s="164"/>
      <c r="O96" s="164"/>
      <c r="P96" s="164"/>
      <c r="Q96" s="164"/>
      <c r="R96" s="164"/>
      <c r="S96" s="164"/>
      <c r="T96" s="164"/>
      <c r="U96" s="164"/>
      <c r="V96" s="164"/>
      <c r="W96" s="154"/>
      <c r="X96" s="154"/>
      <c r="Y96" s="154"/>
      <c r="Z96" s="154"/>
      <c r="AA96" s="154"/>
      <c r="AB96" s="154"/>
      <c r="AC96" s="154"/>
      <c r="AD96" s="154"/>
      <c r="AE96" s="154"/>
      <c r="AF96" s="154"/>
      <c r="AG96" s="154"/>
      <c r="AH96" s="154"/>
      <c r="AI96" s="154"/>
      <c r="AJ96" s="154"/>
      <c r="AK96" s="154"/>
      <c r="AL96" s="154"/>
      <c r="AM96" s="154"/>
      <c r="AN96" s="154"/>
    </row>
    <row r="97" spans="1:40" ht="15.75">
      <c r="A97" s="154"/>
      <c r="B97" s="154"/>
      <c r="C97" s="154"/>
      <c r="D97" s="154"/>
      <c r="E97" s="154"/>
      <c r="F97" s="154"/>
      <c r="G97" s="154"/>
      <c r="H97" s="154"/>
      <c r="I97" s="154"/>
      <c r="J97" s="529"/>
      <c r="K97" s="460"/>
      <c r="L97" s="460"/>
      <c r="M97" s="460"/>
      <c r="N97" s="460"/>
      <c r="O97" s="460"/>
      <c r="P97" s="460"/>
      <c r="Q97" s="460"/>
      <c r="R97" s="460"/>
      <c r="S97" s="460"/>
      <c r="T97" s="460"/>
      <c r="U97" s="460"/>
      <c r="V97" s="460"/>
      <c r="W97" s="154"/>
      <c r="X97" s="154"/>
      <c r="Y97" s="154"/>
      <c r="Z97" s="154"/>
      <c r="AA97" s="154"/>
      <c r="AB97" s="154"/>
      <c r="AC97" s="154"/>
      <c r="AD97" s="154"/>
      <c r="AE97" s="154"/>
      <c r="AF97" s="154"/>
      <c r="AG97" s="154"/>
      <c r="AH97" s="154"/>
      <c r="AI97" s="154"/>
      <c r="AJ97" s="154"/>
      <c r="AK97" s="154"/>
      <c r="AL97" s="154"/>
      <c r="AM97" s="154"/>
      <c r="AN97" s="154"/>
    </row>
    <row r="98" spans="1:40" ht="15.75">
      <c r="A98" s="160" t="s">
        <v>5</v>
      </c>
      <c r="B98" s="609"/>
      <c r="C98" s="610">
        <v>254</v>
      </c>
      <c r="D98" s="610">
        <v>286</v>
      </c>
      <c r="E98" s="610">
        <v>315</v>
      </c>
      <c r="F98" s="610">
        <v>305.35199999999998</v>
      </c>
      <c r="G98" s="610">
        <v>313.416</v>
      </c>
      <c r="H98" s="610">
        <v>343.94499999999999</v>
      </c>
      <c r="I98" s="610">
        <v>412.82400000000001</v>
      </c>
      <c r="J98" s="610">
        <v>503.04899999999998</v>
      </c>
      <c r="K98" s="610">
        <v>483.84199999999998</v>
      </c>
      <c r="L98" s="1076">
        <f>Interims!AI114+Interims!AJ114+128+128-20</f>
        <v>484.7</v>
      </c>
      <c r="M98" s="591">
        <f t="shared" ref="M98:V98" si="87">M89*AVERAGE(L84,M84)*12/1000000</f>
        <v>471.02536940840139</v>
      </c>
      <c r="N98" s="591">
        <f t="shared" si="87"/>
        <v>494.75434003045558</v>
      </c>
      <c r="O98" s="591">
        <f t="shared" si="87"/>
        <v>524.51848593613545</v>
      </c>
      <c r="P98" s="591">
        <f t="shared" si="87"/>
        <v>555.33416838517019</v>
      </c>
      <c r="Q98" s="591">
        <f t="shared" si="87"/>
        <v>588.04829847884014</v>
      </c>
      <c r="R98" s="591">
        <f t="shared" si="87"/>
        <v>622.99625543623813</v>
      </c>
      <c r="S98" s="591">
        <f t="shared" si="87"/>
        <v>660.50913873323873</v>
      </c>
      <c r="T98" s="591">
        <f t="shared" si="87"/>
        <v>700.56000247117186</v>
      </c>
      <c r="U98" s="591">
        <f t="shared" si="87"/>
        <v>743.21038436567233</v>
      </c>
      <c r="V98" s="591">
        <f t="shared" si="87"/>
        <v>788.77034172675303</v>
      </c>
      <c r="W98" s="154"/>
      <c r="X98" s="154"/>
      <c r="Y98" s="154"/>
      <c r="Z98" s="154"/>
      <c r="AA98" s="154"/>
      <c r="AB98" s="154"/>
      <c r="AC98" s="154"/>
      <c r="AD98" s="154"/>
      <c r="AE98" s="154"/>
      <c r="AF98" s="154"/>
      <c r="AG98" s="154"/>
      <c r="AH98" s="154"/>
      <c r="AI98" s="154"/>
      <c r="AJ98" s="154"/>
      <c r="AK98" s="154"/>
      <c r="AL98" s="154"/>
      <c r="AM98" s="154"/>
      <c r="AN98" s="154"/>
    </row>
    <row r="99" spans="1:40" ht="15.75">
      <c r="A99" s="154" t="s">
        <v>3</v>
      </c>
      <c r="B99" s="154"/>
      <c r="C99" s="159"/>
      <c r="D99" s="467">
        <f>D98/C98-1</f>
        <v>0.12598425196850394</v>
      </c>
      <c r="E99" s="467">
        <f>E98/D98-1</f>
        <v>0.10139860139860146</v>
      </c>
      <c r="F99" s="467">
        <f>F98/E98-1</f>
        <v>-3.062857142857156E-2</v>
      </c>
      <c r="G99" s="467">
        <f t="shared" ref="G99:V99" si="88">G98/F98-1</f>
        <v>2.6408865833529971E-2</v>
      </c>
      <c r="H99" s="467">
        <f t="shared" si="88"/>
        <v>9.740727978150443E-2</v>
      </c>
      <c r="I99" s="467">
        <f t="shared" si="88"/>
        <v>0.20026166974370918</v>
      </c>
      <c r="J99" s="467">
        <f t="shared" si="88"/>
        <v>0.21855560723213752</v>
      </c>
      <c r="K99" s="467">
        <f t="shared" si="88"/>
        <v>-3.8181171217913201E-2</v>
      </c>
      <c r="L99" s="467">
        <f t="shared" si="88"/>
        <v>1.7733061619289447E-3</v>
      </c>
      <c r="M99" s="467">
        <f t="shared" si="88"/>
        <v>-2.8212565693415681E-2</v>
      </c>
      <c r="N99" s="467">
        <f t="shared" si="88"/>
        <v>5.037726662548403E-2</v>
      </c>
      <c r="O99" s="467">
        <f t="shared" si="88"/>
        <v>6.0159443783449618E-2</v>
      </c>
      <c r="P99" s="467">
        <f t="shared" si="88"/>
        <v>5.8750422101971012E-2</v>
      </c>
      <c r="Q99" s="467">
        <f t="shared" si="88"/>
        <v>5.8908909186693448E-2</v>
      </c>
      <c r="R99" s="467">
        <f t="shared" si="88"/>
        <v>5.9430419317258787E-2</v>
      </c>
      <c r="S99" s="467">
        <f t="shared" si="88"/>
        <v>6.0213657738172222E-2</v>
      </c>
      <c r="T99" s="467">
        <f t="shared" si="88"/>
        <v>6.0636350641180892E-2</v>
      </c>
      <c r="U99" s="467">
        <f t="shared" si="88"/>
        <v>6.0880412447262833E-2</v>
      </c>
      <c r="V99" s="467">
        <f t="shared" si="88"/>
        <v>6.1301561871967003E-2</v>
      </c>
      <c r="W99" s="154"/>
      <c r="X99" s="154"/>
      <c r="Y99" s="540"/>
      <c r="Z99" s="154"/>
      <c r="AA99" s="154"/>
      <c r="AB99" s="154"/>
      <c r="AC99" s="154"/>
      <c r="AD99" s="154"/>
      <c r="AE99" s="154"/>
      <c r="AF99" s="154"/>
      <c r="AG99" s="154"/>
      <c r="AH99" s="154"/>
      <c r="AI99" s="154"/>
      <c r="AJ99" s="154"/>
      <c r="AK99" s="154"/>
      <c r="AL99" s="154"/>
      <c r="AM99" s="154"/>
      <c r="AN99" s="154"/>
    </row>
    <row r="100" spans="1:40" ht="15.75">
      <c r="A100" s="154" t="s">
        <v>634</v>
      </c>
      <c r="B100" s="154"/>
      <c r="C100" s="154"/>
      <c r="D100" s="154"/>
      <c r="E100" s="154"/>
      <c r="F100" s="154"/>
      <c r="G100" s="154"/>
      <c r="H100" s="154"/>
      <c r="I100" s="527">
        <v>5.1999999999999998E-2</v>
      </c>
      <c r="J100" s="527">
        <v>0.159</v>
      </c>
      <c r="K100" s="527">
        <v>1.6E-2</v>
      </c>
      <c r="L100" s="467"/>
      <c r="M100" s="467"/>
      <c r="N100" s="467"/>
      <c r="O100" s="467"/>
      <c r="P100" s="467"/>
      <c r="Q100" s="467"/>
      <c r="R100" s="467"/>
      <c r="S100" s="467"/>
      <c r="T100" s="467"/>
      <c r="U100" s="467"/>
      <c r="V100" s="467"/>
      <c r="W100" s="154"/>
      <c r="X100" s="154"/>
      <c r="Y100" s="540"/>
      <c r="Z100" s="154"/>
      <c r="AA100" s="154"/>
      <c r="AB100" s="154"/>
      <c r="AC100" s="154"/>
      <c r="AD100" s="154"/>
      <c r="AE100" s="154"/>
      <c r="AF100" s="154"/>
      <c r="AG100" s="154"/>
      <c r="AH100" s="154"/>
      <c r="AI100" s="154"/>
      <c r="AJ100" s="154"/>
      <c r="AK100" s="154"/>
      <c r="AL100" s="154"/>
      <c r="AM100" s="154"/>
      <c r="AN100" s="154"/>
    </row>
    <row r="101" spans="1:40" ht="15.75">
      <c r="A101" s="530" t="s">
        <v>637</v>
      </c>
      <c r="B101" s="561"/>
      <c r="C101" s="561"/>
      <c r="D101" s="561"/>
      <c r="E101" s="561"/>
      <c r="F101" s="561"/>
      <c r="G101" s="561"/>
      <c r="H101" s="562"/>
      <c r="I101" s="562"/>
      <c r="J101" s="562"/>
      <c r="K101" s="562"/>
      <c r="L101" s="562" cm="1">
        <f t="array" ref="L101">_xll.VAData("IHS_US", "FY-2025", "Revenue - Rest of Africa", "Consensus", "CD", "","","")</f>
        <v>473.366933420039</v>
      </c>
      <c r="M101" s="562" cm="1">
        <f t="array" ref="M101">_xll.VAData("IHS_US", "FY-2026", "Revenue - Rest of Africa", "Consensus", "CD", "","","")</f>
        <v>499.98324086776302</v>
      </c>
      <c r="N101" s="562" cm="1">
        <f t="array" ref="N101">_xll.VAData("IHS_US", "FY-2027", "Revenue - Rest of Africa", "Consensus", "CD", "","","")</f>
        <v>536.38521156235095</v>
      </c>
      <c r="O101" s="159"/>
      <c r="P101" s="159"/>
      <c r="Q101" s="159"/>
      <c r="R101" s="159"/>
      <c r="S101" s="159"/>
      <c r="T101" s="159"/>
      <c r="U101" s="159"/>
      <c r="V101" s="159"/>
      <c r="W101" s="154"/>
      <c r="X101" s="540">
        <f>Latam!X75</f>
        <v>1725.2777405198199</v>
      </c>
      <c r="Y101" s="540">
        <f>Latam!Y75</f>
        <v>1700</v>
      </c>
      <c r="Z101" s="540">
        <f>Latam!Z75</f>
        <v>1730</v>
      </c>
      <c r="AA101" s="154"/>
      <c r="AB101" s="154"/>
      <c r="AC101" s="154"/>
      <c r="AD101" s="154"/>
      <c r="AE101" s="154"/>
      <c r="AF101" s="154"/>
      <c r="AG101" s="154"/>
      <c r="AH101" s="154"/>
      <c r="AI101" s="154"/>
      <c r="AJ101" s="154"/>
      <c r="AK101" s="154"/>
      <c r="AL101" s="154"/>
      <c r="AM101" s="154"/>
      <c r="AN101" s="154"/>
    </row>
    <row r="102" spans="1:40" ht="15.75">
      <c r="A102" s="154"/>
      <c r="B102" s="154"/>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540">
        <f>Latam!X76</f>
        <v>998.65849699308114</v>
      </c>
      <c r="Y102" s="540">
        <f>Latam!Y76</f>
        <v>985</v>
      </c>
      <c r="Z102" s="540">
        <f>Latam!Z76</f>
        <v>1005</v>
      </c>
      <c r="AA102" s="154"/>
      <c r="AB102" s="154"/>
      <c r="AC102" s="154"/>
      <c r="AD102" s="154"/>
      <c r="AE102" s="154"/>
      <c r="AF102" s="154"/>
      <c r="AG102" s="154"/>
      <c r="AH102" s="154"/>
      <c r="AI102" s="154"/>
      <c r="AJ102" s="154"/>
      <c r="AK102" s="154"/>
      <c r="AL102" s="154"/>
      <c r="AM102" s="154"/>
      <c r="AN102" s="154"/>
    </row>
    <row r="103" spans="1:40" ht="15.75">
      <c r="A103" s="154" t="s">
        <v>956</v>
      </c>
      <c r="B103" s="154"/>
      <c r="C103" s="154"/>
      <c r="D103" s="154"/>
      <c r="E103" s="154"/>
      <c r="F103" s="154"/>
      <c r="G103" s="154"/>
      <c r="H103" s="154"/>
      <c r="I103" s="725">
        <v>70.400000000000006</v>
      </c>
      <c r="J103" s="725">
        <v>46.6</v>
      </c>
      <c r="K103" s="725">
        <v>0</v>
      </c>
      <c r="L103" s="154"/>
      <c r="M103" s="154"/>
      <c r="N103" s="154"/>
      <c r="O103" s="154"/>
      <c r="P103" s="154"/>
      <c r="Q103" s="154"/>
      <c r="R103" s="154"/>
      <c r="S103" s="154"/>
      <c r="T103" s="154"/>
      <c r="U103" s="154"/>
      <c r="V103" s="154"/>
      <c r="W103" s="154"/>
      <c r="X103" s="540">
        <f>Latam!X77</f>
        <v>258.79166107797295</v>
      </c>
      <c r="Y103" s="540">
        <f>Latam!Y77</f>
        <v>240</v>
      </c>
      <c r="Z103" s="540">
        <f>Latam!Z77</f>
        <v>270</v>
      </c>
      <c r="AA103" s="154"/>
      <c r="AB103" s="154"/>
      <c r="AC103" s="154"/>
      <c r="AD103" s="154"/>
      <c r="AE103" s="154"/>
      <c r="AF103" s="154"/>
      <c r="AG103" s="154"/>
      <c r="AH103" s="154"/>
      <c r="AI103" s="154"/>
      <c r="AJ103" s="154"/>
      <c r="AK103" s="154"/>
      <c r="AL103" s="154"/>
      <c r="AM103" s="154"/>
      <c r="AN103" s="154"/>
    </row>
    <row r="104" spans="1:40" ht="15.75">
      <c r="A104" s="154" t="s">
        <v>957</v>
      </c>
      <c r="B104" s="154"/>
      <c r="C104" s="154"/>
      <c r="D104" s="154"/>
      <c r="E104" s="154"/>
      <c r="F104" s="154"/>
      <c r="G104" s="154"/>
      <c r="H104" s="154"/>
      <c r="I104" s="725">
        <v>-19.3</v>
      </c>
      <c r="J104" s="725">
        <v>-22</v>
      </c>
      <c r="K104" s="725">
        <v>-27.4</v>
      </c>
      <c r="L104" s="154"/>
      <c r="M104" s="154"/>
      <c r="N104" s="154"/>
      <c r="O104" s="154"/>
      <c r="P104" s="154"/>
      <c r="Q104" s="154"/>
      <c r="R104" s="154"/>
      <c r="S104" s="154"/>
      <c r="T104" s="154"/>
      <c r="U104" s="154"/>
      <c r="V104" s="154"/>
      <c r="W104" s="154"/>
      <c r="X104" s="540">
        <f>Latam!X78</f>
        <v>400.40542278029807</v>
      </c>
      <c r="Y104" s="540">
        <f>Latam!Y78</f>
        <v>390</v>
      </c>
      <c r="Z104" s="540">
        <f>Latam!Z78</f>
        <v>410</v>
      </c>
      <c r="AA104" s="154"/>
      <c r="AB104" s="154"/>
      <c r="AC104" s="154"/>
      <c r="AD104" s="154"/>
      <c r="AE104" s="154"/>
      <c r="AF104" s="154"/>
      <c r="AG104" s="154"/>
      <c r="AH104" s="154"/>
      <c r="AI104" s="154"/>
      <c r="AJ104" s="154"/>
      <c r="AK104" s="154"/>
      <c r="AL104" s="154"/>
      <c r="AM104" s="154"/>
      <c r="AN104" s="154"/>
    </row>
    <row r="105" spans="1:40" ht="15.75">
      <c r="A105" s="154" t="s">
        <v>958</v>
      </c>
      <c r="B105" s="154"/>
      <c r="C105" s="154"/>
      <c r="D105" s="154"/>
      <c r="E105" s="154"/>
      <c r="F105" s="154"/>
      <c r="G105" s="154"/>
      <c r="H105" s="154"/>
      <c r="I105" s="529">
        <f>I98-I103-I104</f>
        <v>361.72399999999999</v>
      </c>
      <c r="J105" s="529">
        <f>J98-J103-J104</f>
        <v>478.44899999999996</v>
      </c>
      <c r="K105" s="529">
        <f>K98-K103-K104</f>
        <v>511.24199999999996</v>
      </c>
      <c r="L105" s="154"/>
      <c r="M105" s="154"/>
      <c r="N105" s="154"/>
      <c r="O105" s="154"/>
      <c r="P105" s="154"/>
      <c r="Q105" s="154"/>
      <c r="R105" s="154"/>
      <c r="S105" s="154"/>
      <c r="T105" s="154"/>
      <c r="U105" s="154"/>
      <c r="V105" s="154"/>
      <c r="W105" s="154"/>
      <c r="X105" s="154"/>
      <c r="Y105" s="154"/>
      <c r="Z105" s="154"/>
      <c r="AA105" s="154"/>
      <c r="AB105" s="154"/>
      <c r="AC105" s="154"/>
      <c r="AD105" s="154"/>
      <c r="AE105" s="154"/>
      <c r="AF105" s="154"/>
      <c r="AG105" s="154"/>
      <c r="AH105" s="154"/>
      <c r="AI105" s="154"/>
      <c r="AJ105" s="154"/>
      <c r="AK105" s="154"/>
      <c r="AL105" s="154"/>
      <c r="AM105" s="154"/>
      <c r="AN105" s="154"/>
    </row>
    <row r="106" spans="1:40" ht="15.75">
      <c r="A106" s="154" t="s">
        <v>633</v>
      </c>
      <c r="B106" s="154"/>
      <c r="C106" s="154"/>
      <c r="D106" s="154"/>
      <c r="E106" s="154"/>
      <c r="F106" s="154"/>
      <c r="G106" s="154"/>
      <c r="H106" s="154"/>
      <c r="I106" s="157">
        <f>I105/H98-1</f>
        <v>5.1691404148919151E-2</v>
      </c>
      <c r="J106" s="157">
        <f>J105/I98-1</f>
        <v>0.15896604848555307</v>
      </c>
      <c r="K106" s="157">
        <f>K105/J98-1</f>
        <v>1.628668380217424E-2</v>
      </c>
      <c r="L106" s="154"/>
      <c r="M106" s="154"/>
      <c r="N106" s="154"/>
      <c r="O106" s="154"/>
      <c r="P106" s="154"/>
      <c r="Q106" s="154"/>
      <c r="R106" s="154"/>
      <c r="S106" s="154"/>
      <c r="T106" s="154"/>
      <c r="U106" s="154"/>
      <c r="V106" s="154"/>
      <c r="W106" s="154"/>
      <c r="X106" s="154"/>
      <c r="Y106" s="154"/>
      <c r="Z106" s="154"/>
      <c r="AA106" s="154"/>
      <c r="AB106" s="154"/>
      <c r="AC106" s="154"/>
      <c r="AD106" s="154"/>
      <c r="AE106" s="154"/>
      <c r="AF106" s="154"/>
      <c r="AG106" s="154"/>
      <c r="AH106" s="154"/>
      <c r="AI106" s="154"/>
      <c r="AJ106" s="154"/>
      <c r="AK106" s="154"/>
      <c r="AL106" s="154"/>
      <c r="AM106" s="154"/>
      <c r="AN106" s="154"/>
    </row>
    <row r="107" spans="1:40" ht="15.75">
      <c r="A107" s="154"/>
      <c r="B107" s="154"/>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c r="AA107" s="154"/>
      <c r="AB107" s="154"/>
      <c r="AC107" s="154"/>
      <c r="AD107" s="154"/>
      <c r="AE107" s="154"/>
      <c r="AF107" s="154"/>
      <c r="AG107" s="154"/>
      <c r="AH107" s="154"/>
      <c r="AI107" s="154"/>
      <c r="AJ107" s="154"/>
      <c r="AK107" s="154"/>
      <c r="AL107" s="154"/>
      <c r="AM107" s="154"/>
      <c r="AN107" s="154"/>
    </row>
    <row r="108" spans="1:40" ht="15.75">
      <c r="A108" s="154" t="s">
        <v>282</v>
      </c>
      <c r="B108" s="612"/>
      <c r="C108" s="612">
        <f t="shared" ref="C108:Q108" si="89">C98-C112</f>
        <v>128</v>
      </c>
      <c r="D108" s="612">
        <f t="shared" si="89"/>
        <v>141</v>
      </c>
      <c r="E108" s="612">
        <f t="shared" si="89"/>
        <v>164</v>
      </c>
      <c r="F108" s="612">
        <f t="shared" si="89"/>
        <v>139.72599999999997</v>
      </c>
      <c r="G108" s="612">
        <f t="shared" si="89"/>
        <v>142.63200000000001</v>
      </c>
      <c r="H108" s="612">
        <f t="shared" si="89"/>
        <v>153.291</v>
      </c>
      <c r="I108" s="612">
        <f t="shared" si="89"/>
        <v>182.30300000000003</v>
      </c>
      <c r="J108" s="612">
        <f t="shared" si="89"/>
        <v>245.97699999999998</v>
      </c>
      <c r="K108" s="612">
        <f t="shared" si="89"/>
        <v>175.88799999999998</v>
      </c>
      <c r="L108" s="612">
        <f t="shared" si="89"/>
        <v>197.7</v>
      </c>
      <c r="M108" s="612">
        <f t="shared" si="89"/>
        <v>187.41212206832768</v>
      </c>
      <c r="N108" s="612">
        <f t="shared" si="89"/>
        <v>191.90588911030704</v>
      </c>
      <c r="O108" s="612">
        <f t="shared" si="89"/>
        <v>198.2056557985901</v>
      </c>
      <c r="P108" s="612">
        <f t="shared" si="89"/>
        <v>204.29698005590353</v>
      </c>
      <c r="Q108" s="612">
        <f t="shared" si="89"/>
        <v>210.4514093163441</v>
      </c>
      <c r="R108" s="612">
        <f t="shared" ref="R108:V108" si="90">R98-R112</f>
        <v>216.72866226356007</v>
      </c>
      <c r="S108" s="612">
        <f t="shared" si="90"/>
        <v>223.17359636781765</v>
      </c>
      <c r="T108" s="612">
        <f t="shared" si="90"/>
        <v>229.7004287863183</v>
      </c>
      <c r="U108" s="612">
        <f t="shared" si="90"/>
        <v>236.25258178648579</v>
      </c>
      <c r="V108" s="612">
        <f t="shared" si="90"/>
        <v>242.8475306290145</v>
      </c>
      <c r="W108" s="154"/>
      <c r="X108" s="154"/>
      <c r="Y108" s="154"/>
      <c r="Z108" s="154"/>
      <c r="AA108" s="154"/>
      <c r="AB108" s="154"/>
      <c r="AC108" s="154"/>
      <c r="AD108" s="154"/>
      <c r="AE108" s="154"/>
      <c r="AF108" s="154"/>
      <c r="AG108" s="154"/>
      <c r="AH108" s="154"/>
      <c r="AI108" s="154"/>
      <c r="AJ108" s="154"/>
      <c r="AK108" s="154"/>
      <c r="AL108" s="154"/>
      <c r="AM108" s="154"/>
      <c r="AN108" s="154"/>
    </row>
    <row r="109" spans="1:40" ht="15.75">
      <c r="A109" s="154" t="s">
        <v>283</v>
      </c>
      <c r="B109" s="612"/>
      <c r="C109" s="612"/>
      <c r="D109" s="612"/>
      <c r="E109" s="612"/>
      <c r="F109" s="612"/>
      <c r="G109" s="612">
        <f t="shared" ref="G109:V109" si="91">G108/AVERAGE(F53:G53)/12*1000000</f>
        <v>1561.174229986209</v>
      </c>
      <c r="H109" s="612">
        <f t="shared" si="91"/>
        <v>1647.7587874879071</v>
      </c>
      <c r="I109" s="612">
        <f t="shared" si="91"/>
        <v>1398.3722999509082</v>
      </c>
      <c r="J109" s="612">
        <f t="shared" si="91"/>
        <v>1469.0807233808737</v>
      </c>
      <c r="K109" s="612">
        <f t="shared" si="91"/>
        <v>1039.1218555409828</v>
      </c>
      <c r="L109" s="612">
        <f t="shared" si="91"/>
        <v>1226.0159165302684</v>
      </c>
      <c r="M109" s="612">
        <f t="shared" si="91"/>
        <v>1223.992947544856</v>
      </c>
      <c r="N109" s="612">
        <f t="shared" si="91"/>
        <v>1245.9667529668131</v>
      </c>
      <c r="O109" s="612">
        <f t="shared" si="91"/>
        <v>1279.4302484328061</v>
      </c>
      <c r="P109" s="612">
        <f t="shared" si="91"/>
        <v>1310.7347819681463</v>
      </c>
      <c r="Q109" s="612">
        <f t="shared" si="91"/>
        <v>1341.6071942817068</v>
      </c>
      <c r="R109" s="612">
        <f t="shared" si="91"/>
        <v>1371.8077221949175</v>
      </c>
      <c r="S109" s="612">
        <f t="shared" si="91"/>
        <v>1401.0939245496475</v>
      </c>
      <c r="T109" s="612">
        <f t="shared" si="91"/>
        <v>1429.4168454166504</v>
      </c>
      <c r="U109" s="612">
        <f t="shared" si="91"/>
        <v>1456.6719807824009</v>
      </c>
      <c r="V109" s="612">
        <f t="shared" si="91"/>
        <v>1482.6200087707284</v>
      </c>
      <c r="W109" s="154"/>
      <c r="X109" s="154"/>
      <c r="Y109" s="154"/>
      <c r="Z109" s="154"/>
      <c r="AA109" s="154"/>
      <c r="AB109" s="154"/>
      <c r="AC109" s="154"/>
      <c r="AD109" s="154"/>
      <c r="AE109" s="154"/>
      <c r="AF109" s="154"/>
      <c r="AG109" s="154"/>
      <c r="AH109" s="154"/>
      <c r="AI109" s="154"/>
      <c r="AJ109" s="154"/>
      <c r="AK109" s="154"/>
      <c r="AL109" s="154"/>
      <c r="AM109" s="154"/>
      <c r="AN109" s="154"/>
    </row>
    <row r="110" spans="1:40" ht="15.75">
      <c r="A110" s="154" t="s">
        <v>3</v>
      </c>
      <c r="B110" s="154"/>
      <c r="C110" s="159"/>
      <c r="D110" s="159"/>
      <c r="E110" s="159"/>
      <c r="F110" s="159"/>
      <c r="G110" s="159"/>
      <c r="H110" s="613">
        <f>H109/G109-1</f>
        <v>5.5461175209420954E-2</v>
      </c>
      <c r="I110" s="613">
        <f t="shared" ref="I110:V110" si="92">I109/H109-1</f>
        <v>-0.15134890460344708</v>
      </c>
      <c r="J110" s="613">
        <f t="shared" si="92"/>
        <v>5.0564805547455238E-2</v>
      </c>
      <c r="K110" s="613">
        <f t="shared" si="92"/>
        <v>-0.29267205062115553</v>
      </c>
      <c r="L110" s="613">
        <f t="shared" si="92"/>
        <v>0.179857694256643</v>
      </c>
      <c r="M110" s="613">
        <f t="shared" si="92"/>
        <v>-1.6500348471312209E-3</v>
      </c>
      <c r="N110" s="613">
        <f t="shared" si="92"/>
        <v>1.7952558849324562E-2</v>
      </c>
      <c r="O110" s="613">
        <f t="shared" si="92"/>
        <v>2.6857454571971529E-2</v>
      </c>
      <c r="P110" s="613">
        <f t="shared" si="92"/>
        <v>2.4467557784948024E-2</v>
      </c>
      <c r="Q110" s="613">
        <f t="shared" si="92"/>
        <v>2.3553515736573161E-2</v>
      </c>
      <c r="R110" s="613">
        <f t="shared" si="92"/>
        <v>2.2510708083508746E-2</v>
      </c>
      <c r="S110" s="613">
        <f t="shared" si="92"/>
        <v>2.1348620423182529E-2</v>
      </c>
      <c r="T110" s="613">
        <f t="shared" si="92"/>
        <v>2.0214862380555143E-2</v>
      </c>
      <c r="U110" s="613">
        <f t="shared" si="92"/>
        <v>1.9067310877958876E-2</v>
      </c>
      <c r="V110" s="613">
        <f t="shared" si="92"/>
        <v>1.7813226540123628E-2</v>
      </c>
      <c r="W110" s="154"/>
      <c r="X110" s="154"/>
      <c r="Y110" s="154"/>
      <c r="Z110" s="154"/>
      <c r="AA110" s="154"/>
      <c r="AB110" s="154"/>
      <c r="AC110" s="154"/>
      <c r="AD110" s="154"/>
      <c r="AE110" s="154"/>
      <c r="AF110" s="154"/>
      <c r="AG110" s="154"/>
      <c r="AH110" s="154"/>
      <c r="AI110" s="154"/>
      <c r="AJ110" s="154"/>
      <c r="AK110" s="154"/>
      <c r="AL110" s="154"/>
      <c r="AM110" s="154"/>
      <c r="AN110" s="154"/>
    </row>
    <row r="111" spans="1:40" ht="15.75">
      <c r="A111" s="154"/>
      <c r="B111" s="154"/>
      <c r="C111" s="154"/>
      <c r="D111" s="157"/>
      <c r="E111" s="157"/>
      <c r="F111" s="157"/>
      <c r="G111" s="157"/>
      <c r="H111" s="157"/>
      <c r="I111" s="157"/>
      <c r="J111" s="157"/>
      <c r="K111" s="157"/>
      <c r="L111" s="157"/>
      <c r="M111" s="157"/>
      <c r="N111" s="157"/>
      <c r="O111" s="157"/>
      <c r="P111" s="157"/>
      <c r="Q111" s="157"/>
      <c r="R111" s="157"/>
      <c r="S111" s="157"/>
      <c r="T111" s="157"/>
      <c r="U111" s="157"/>
      <c r="V111" s="157"/>
      <c r="W111" s="154"/>
      <c r="X111" s="154"/>
      <c r="Y111" s="154"/>
      <c r="Z111" s="154"/>
      <c r="AA111" s="154"/>
      <c r="AB111" s="154"/>
      <c r="AC111" s="154"/>
      <c r="AD111" s="154"/>
      <c r="AE111" s="154"/>
      <c r="AF111" s="154"/>
      <c r="AG111" s="154"/>
      <c r="AH111" s="154"/>
      <c r="AI111" s="154"/>
      <c r="AJ111" s="154"/>
      <c r="AK111" s="154"/>
      <c r="AL111" s="154"/>
      <c r="AM111" s="154"/>
      <c r="AN111" s="154"/>
    </row>
    <row r="112" spans="1:40" ht="15.75">
      <c r="A112" s="160" t="s">
        <v>10</v>
      </c>
      <c r="B112" s="614"/>
      <c r="C112" s="615">
        <v>126</v>
      </c>
      <c r="D112" s="615">
        <v>145</v>
      </c>
      <c r="E112" s="615">
        <v>151</v>
      </c>
      <c r="F112" s="615">
        <v>165.626</v>
      </c>
      <c r="G112" s="615">
        <v>170.78399999999999</v>
      </c>
      <c r="H112" s="615">
        <v>190.654</v>
      </c>
      <c r="I112" s="615">
        <v>230.52099999999999</v>
      </c>
      <c r="J112" s="615">
        <v>257.072</v>
      </c>
      <c r="K112" s="615">
        <v>307.95400000000001</v>
      </c>
      <c r="L112" s="1127">
        <f>299-12</f>
        <v>287</v>
      </c>
      <c r="M112" s="616">
        <f t="shared" ref="M112:Q112" si="93">M98*M113</f>
        <v>283.61324734007371</v>
      </c>
      <c r="N112" s="616">
        <f t="shared" si="93"/>
        <v>302.84845092014854</v>
      </c>
      <c r="O112" s="616">
        <f t="shared" si="93"/>
        <v>326.31283013754535</v>
      </c>
      <c r="P112" s="616">
        <f t="shared" si="93"/>
        <v>351.03718832926666</v>
      </c>
      <c r="Q112" s="616">
        <f t="shared" si="93"/>
        <v>377.59688916249604</v>
      </c>
      <c r="R112" s="616">
        <f t="shared" ref="R112:V112" si="94">R98*R113</f>
        <v>406.26759317267806</v>
      </c>
      <c r="S112" s="616">
        <f t="shared" si="94"/>
        <v>437.33554236542108</v>
      </c>
      <c r="T112" s="616">
        <f t="shared" si="94"/>
        <v>470.85957368485356</v>
      </c>
      <c r="U112" s="616">
        <f t="shared" si="94"/>
        <v>506.95780257918653</v>
      </c>
      <c r="V112" s="616">
        <f t="shared" si="94"/>
        <v>545.92281109773853</v>
      </c>
      <c r="W112" s="154"/>
      <c r="X112" s="154"/>
      <c r="Y112" s="540"/>
      <c r="Z112" s="154"/>
      <c r="AA112" s="154"/>
      <c r="AB112" s="154"/>
      <c r="AC112" s="154"/>
      <c r="AD112" s="154"/>
      <c r="AE112" s="154"/>
      <c r="AF112" s="154"/>
      <c r="AG112" s="154"/>
      <c r="AH112" s="154"/>
      <c r="AI112" s="154"/>
      <c r="AJ112" s="154"/>
      <c r="AK112" s="154"/>
      <c r="AL112" s="154"/>
      <c r="AM112" s="154"/>
      <c r="AN112" s="154"/>
    </row>
    <row r="113" spans="1:40" ht="15.75">
      <c r="A113" s="154" t="s">
        <v>11</v>
      </c>
      <c r="B113" s="467"/>
      <c r="C113" s="467">
        <f t="shared" ref="C113:J113" si="95">C112/C98</f>
        <v>0.49606299212598426</v>
      </c>
      <c r="D113" s="467">
        <f t="shared" si="95"/>
        <v>0.50699300699300698</v>
      </c>
      <c r="E113" s="467">
        <f t="shared" si="95"/>
        <v>0.47936507936507938</v>
      </c>
      <c r="F113" s="467">
        <f t="shared" si="95"/>
        <v>0.54241007100002625</v>
      </c>
      <c r="G113" s="467">
        <f t="shared" si="95"/>
        <v>0.54491155524925339</v>
      </c>
      <c r="H113" s="467">
        <f t="shared" si="95"/>
        <v>0.55431537019000132</v>
      </c>
      <c r="I113" s="467">
        <f t="shared" si="95"/>
        <v>0.55840018991143925</v>
      </c>
      <c r="J113" s="467">
        <f t="shared" si="95"/>
        <v>0.51102775276364731</v>
      </c>
      <c r="K113" s="467">
        <f t="shared" ref="K113:L113" si="96">K112/K98</f>
        <v>0.63647637038537375</v>
      </c>
      <c r="L113" s="467">
        <f t="shared" si="96"/>
        <v>0.5921188363936456</v>
      </c>
      <c r="M113" s="547">
        <f>L113+1%</f>
        <v>0.60211883639364561</v>
      </c>
      <c r="N113" s="547">
        <f t="shared" ref="N113:V113" si="97">M113+1%</f>
        <v>0.61211883639364562</v>
      </c>
      <c r="O113" s="547">
        <f t="shared" si="97"/>
        <v>0.62211883639364562</v>
      </c>
      <c r="P113" s="547">
        <f t="shared" si="97"/>
        <v>0.63211883639364563</v>
      </c>
      <c r="Q113" s="547">
        <f t="shared" si="97"/>
        <v>0.64211883639364564</v>
      </c>
      <c r="R113" s="547">
        <f t="shared" si="97"/>
        <v>0.65211883639364565</v>
      </c>
      <c r="S113" s="547">
        <f t="shared" si="97"/>
        <v>0.66211883639364566</v>
      </c>
      <c r="T113" s="547">
        <f t="shared" si="97"/>
        <v>0.67211883639364567</v>
      </c>
      <c r="U113" s="547">
        <f t="shared" si="97"/>
        <v>0.68211883639364568</v>
      </c>
      <c r="V113" s="547">
        <f t="shared" si="97"/>
        <v>0.69211883639364569</v>
      </c>
      <c r="W113" s="154"/>
      <c r="X113" s="167"/>
      <c r="Y113" s="154"/>
      <c r="Z113" s="154"/>
      <c r="AA113" s="154"/>
      <c r="AB113" s="154"/>
      <c r="AC113" s="154"/>
      <c r="AD113" s="154"/>
      <c r="AE113" s="154"/>
      <c r="AF113" s="154"/>
      <c r="AG113" s="154"/>
      <c r="AH113" s="154"/>
      <c r="AI113" s="154"/>
      <c r="AJ113" s="154"/>
      <c r="AK113" s="154"/>
      <c r="AL113" s="154"/>
      <c r="AM113" s="154"/>
      <c r="AN113" s="154"/>
    </row>
    <row r="114" spans="1:40" ht="15.75">
      <c r="A114" s="154" t="s">
        <v>3</v>
      </c>
      <c r="B114" s="154"/>
      <c r="C114" s="159"/>
      <c r="D114" s="467">
        <f>D112/C112-1</f>
        <v>0.1507936507936507</v>
      </c>
      <c r="E114" s="467">
        <f>E112/D112-1</f>
        <v>4.1379310344827669E-2</v>
      </c>
      <c r="F114" s="467">
        <f>F112/E112-1</f>
        <v>9.6860927152317977E-2</v>
      </c>
      <c r="G114" s="467">
        <f t="shared" ref="G114:L114" si="98">G112/F112-1</f>
        <v>3.1142453479526155E-2</v>
      </c>
      <c r="H114" s="467">
        <f t="shared" si="98"/>
        <v>0.11634579351695717</v>
      </c>
      <c r="I114" s="467">
        <f t="shared" si="98"/>
        <v>0.2091065490364743</v>
      </c>
      <c r="J114" s="467">
        <f t="shared" si="98"/>
        <v>0.11517822671253386</v>
      </c>
      <c r="K114" s="467">
        <f t="shared" si="98"/>
        <v>0.19792898487583255</v>
      </c>
      <c r="L114" s="467">
        <f t="shared" si="98"/>
        <v>-6.8042629743403249E-2</v>
      </c>
      <c r="M114" s="467">
        <f t="shared" ref="M114:V114" si="99">M112/L112-1</f>
        <v>-1.1800531916119517E-2</v>
      </c>
      <c r="N114" s="467">
        <f t="shared" si="99"/>
        <v>6.7821950351318883E-2</v>
      </c>
      <c r="O114" s="467">
        <f t="shared" si="99"/>
        <v>7.747894746070072E-2</v>
      </c>
      <c r="P114" s="467">
        <f t="shared" si="99"/>
        <v>7.5768881601436355E-2</v>
      </c>
      <c r="Q114" s="467">
        <f t="shared" si="99"/>
        <v>7.5660647122996139E-2</v>
      </c>
      <c r="R114" s="467">
        <f t="shared" si="99"/>
        <v>7.5929396753700029E-2</v>
      </c>
      <c r="S114" s="467">
        <f t="shared" si="99"/>
        <v>7.6471640157471432E-2</v>
      </c>
      <c r="T114" s="467">
        <f t="shared" si="99"/>
        <v>7.6655172223393242E-2</v>
      </c>
      <c r="U114" s="467">
        <f t="shared" si="99"/>
        <v>7.6664532085087389E-2</v>
      </c>
      <c r="V114" s="467">
        <f t="shared" si="99"/>
        <v>7.68604572615601E-2</v>
      </c>
      <c r="W114" s="154"/>
      <c r="X114" s="154"/>
      <c r="Y114" s="154"/>
      <c r="Z114" s="154"/>
      <c r="AA114" s="154"/>
      <c r="AB114" s="154"/>
      <c r="AC114" s="154"/>
      <c r="AD114" s="154"/>
      <c r="AE114" s="154"/>
      <c r="AF114" s="154"/>
      <c r="AG114" s="154"/>
      <c r="AH114" s="154"/>
      <c r="AI114" s="154"/>
      <c r="AJ114" s="154"/>
      <c r="AK114" s="154"/>
      <c r="AL114" s="154"/>
      <c r="AM114" s="154"/>
      <c r="AN114" s="154"/>
    </row>
    <row r="115" spans="1:40" ht="15.75">
      <c r="A115" s="530" t="s">
        <v>637</v>
      </c>
      <c r="B115" s="561"/>
      <c r="C115" s="561"/>
      <c r="D115" s="561"/>
      <c r="E115" s="561"/>
      <c r="F115" s="561"/>
      <c r="G115" s="561"/>
      <c r="H115" s="562"/>
      <c r="I115" s="562"/>
      <c r="J115" s="562"/>
      <c r="K115" s="562"/>
      <c r="L115" s="562">
        <v>288</v>
      </c>
      <c r="M115" s="562">
        <v>304.2</v>
      </c>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row>
    <row r="116" spans="1:40" ht="15.75">
      <c r="A116" s="154"/>
      <c r="B116" s="154"/>
      <c r="C116" s="154"/>
      <c r="D116" s="154"/>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c r="AA116" s="154"/>
      <c r="AB116" s="154"/>
      <c r="AC116" s="154"/>
      <c r="AD116" s="154"/>
      <c r="AE116" s="154"/>
      <c r="AF116" s="154"/>
      <c r="AG116" s="154"/>
      <c r="AH116" s="154"/>
      <c r="AI116" s="154"/>
      <c r="AJ116" s="154"/>
      <c r="AK116" s="154"/>
      <c r="AL116" s="154"/>
      <c r="AM116" s="154"/>
      <c r="AN116" s="154"/>
    </row>
    <row r="117" spans="1:40" ht="15.75">
      <c r="A117" s="154"/>
      <c r="B117" s="154"/>
      <c r="C117" s="529"/>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c r="AA117" s="154"/>
      <c r="AB117" s="154"/>
      <c r="AC117" s="154"/>
      <c r="AD117" s="154"/>
      <c r="AE117" s="154"/>
      <c r="AF117" s="154"/>
      <c r="AG117" s="154"/>
      <c r="AH117" s="154"/>
      <c r="AI117" s="154"/>
      <c r="AJ117" s="154"/>
      <c r="AK117" s="154"/>
      <c r="AL117" s="154"/>
      <c r="AM117" s="154"/>
      <c r="AN117" s="154"/>
    </row>
    <row r="118" spans="1:40" ht="15.75">
      <c r="A118" s="160" t="s">
        <v>316</v>
      </c>
      <c r="B118" s="160"/>
      <c r="C118" s="616"/>
      <c r="D118" s="160"/>
      <c r="E118" s="160"/>
      <c r="F118" s="617">
        <v>47.5</v>
      </c>
      <c r="G118" s="615">
        <v>43.45</v>
      </c>
      <c r="H118" s="615">
        <v>42.319000000000003</v>
      </c>
      <c r="I118" s="615">
        <v>97.75</v>
      </c>
      <c r="J118" s="615">
        <v>73.769000000000005</v>
      </c>
      <c r="K118" s="615">
        <v>38.15</v>
      </c>
      <c r="L118" s="581">
        <f t="shared" ref="L118:Q118" si="100">L119*L98</f>
        <v>0</v>
      </c>
      <c r="M118" s="581">
        <f t="shared" si="100"/>
        <v>0</v>
      </c>
      <c r="N118" s="581">
        <f t="shared" si="100"/>
        <v>0</v>
      </c>
      <c r="O118" s="581">
        <f t="shared" si="100"/>
        <v>0</v>
      </c>
      <c r="P118" s="581">
        <f t="shared" si="100"/>
        <v>0</v>
      </c>
      <c r="Q118" s="581">
        <f t="shared" si="100"/>
        <v>0</v>
      </c>
      <c r="R118" s="581">
        <f t="shared" ref="R118:V118" si="101">R119*R98</f>
        <v>0</v>
      </c>
      <c r="S118" s="581">
        <f t="shared" si="101"/>
        <v>0</v>
      </c>
      <c r="T118" s="581">
        <f t="shared" si="101"/>
        <v>0</v>
      </c>
      <c r="U118" s="581">
        <f t="shared" si="101"/>
        <v>0</v>
      </c>
      <c r="V118" s="581">
        <f t="shared" si="101"/>
        <v>0</v>
      </c>
      <c r="W118" s="154"/>
      <c r="X118" s="154"/>
      <c r="Y118" s="154"/>
      <c r="Z118" s="154"/>
      <c r="AA118" s="154"/>
      <c r="AB118" s="154"/>
      <c r="AC118" s="154"/>
      <c r="AD118" s="154"/>
      <c r="AE118" s="154"/>
      <c r="AF118" s="154"/>
      <c r="AG118" s="154"/>
      <c r="AH118" s="154"/>
      <c r="AI118" s="154"/>
      <c r="AJ118" s="154"/>
      <c r="AK118" s="154"/>
      <c r="AL118" s="154"/>
      <c r="AM118" s="154"/>
      <c r="AN118" s="154"/>
    </row>
    <row r="119" spans="1:40" ht="15.75">
      <c r="A119" s="154" t="s">
        <v>664</v>
      </c>
      <c r="B119" s="154"/>
      <c r="C119" s="529"/>
      <c r="D119" s="154"/>
      <c r="E119" s="154"/>
      <c r="F119" s="165">
        <f t="shared" ref="F119:K119" si="102">F118/F98</f>
        <v>0.15555817548272161</v>
      </c>
      <c r="G119" s="165">
        <f t="shared" si="102"/>
        <v>0.13863363708298237</v>
      </c>
      <c r="H119" s="165">
        <f t="shared" si="102"/>
        <v>0.12304002093357951</v>
      </c>
      <c r="I119" s="165">
        <f t="shared" si="102"/>
        <v>0.23678371412514776</v>
      </c>
      <c r="J119" s="165">
        <f t="shared" si="102"/>
        <v>0.1466437663130232</v>
      </c>
      <c r="K119" s="165">
        <f t="shared" si="102"/>
        <v>7.8848053703481719E-2</v>
      </c>
      <c r="L119" s="563"/>
      <c r="M119" s="563"/>
      <c r="N119" s="563"/>
      <c r="O119" s="563"/>
      <c r="P119" s="563"/>
      <c r="Q119" s="563"/>
      <c r="R119" s="563"/>
      <c r="S119" s="563"/>
      <c r="T119" s="563"/>
      <c r="U119" s="563"/>
      <c r="V119" s="563"/>
      <c r="W119" s="154"/>
      <c r="X119" s="154"/>
      <c r="Y119" s="154"/>
      <c r="Z119" s="154"/>
      <c r="AA119" s="154"/>
      <c r="AB119" s="154"/>
      <c r="AC119" s="154"/>
      <c r="AD119" s="154"/>
      <c r="AE119" s="154"/>
      <c r="AF119" s="154"/>
      <c r="AG119" s="154"/>
      <c r="AH119" s="154"/>
      <c r="AI119" s="154"/>
      <c r="AJ119" s="154"/>
      <c r="AK119" s="154"/>
      <c r="AL119" s="154"/>
      <c r="AM119" s="154"/>
      <c r="AN119" s="154"/>
    </row>
    <row r="120" spans="1:40" ht="15.75">
      <c r="A120" s="530" t="s">
        <v>637</v>
      </c>
      <c r="B120" s="561"/>
      <c r="C120" s="561"/>
      <c r="D120" s="561"/>
      <c r="E120" s="561"/>
      <c r="F120" s="561"/>
      <c r="G120" s="561"/>
      <c r="H120" s="562"/>
      <c r="I120" s="562"/>
      <c r="J120" s="562"/>
      <c r="K120" s="562"/>
      <c r="L120" s="562">
        <v>74.099999999999994</v>
      </c>
      <c r="M120" s="562">
        <v>70.099999999999994</v>
      </c>
      <c r="N120" s="154"/>
      <c r="O120" s="154"/>
      <c r="P120" s="154"/>
      <c r="Q120" s="154"/>
      <c r="R120" s="154"/>
      <c r="S120" s="154"/>
      <c r="T120" s="154"/>
      <c r="U120" s="154"/>
      <c r="V120" s="154"/>
      <c r="W120" s="154"/>
      <c r="X120" s="154"/>
      <c r="Y120" s="154"/>
      <c r="Z120" s="154"/>
      <c r="AA120" s="154"/>
      <c r="AB120" s="154"/>
      <c r="AC120" s="154"/>
      <c r="AD120" s="154"/>
      <c r="AE120" s="154"/>
      <c r="AF120" s="154"/>
      <c r="AG120" s="154"/>
      <c r="AH120" s="154"/>
      <c r="AI120" s="154"/>
      <c r="AJ120" s="154"/>
      <c r="AK120" s="154"/>
      <c r="AL120" s="154"/>
      <c r="AM120" s="154"/>
      <c r="AN120" s="154"/>
    </row>
    <row r="121" spans="1:40" ht="15.75">
      <c r="A121" s="154"/>
      <c r="B121" s="155"/>
      <c r="C121" s="155"/>
      <c r="D121" s="155"/>
      <c r="E121" s="155"/>
      <c r="F121" s="155"/>
      <c r="G121" s="155"/>
      <c r="H121" s="253"/>
      <c r="I121" s="253"/>
      <c r="J121" s="253"/>
      <c r="K121" s="253"/>
      <c r="L121" s="253"/>
      <c r="M121" s="154"/>
      <c r="N121" s="154"/>
      <c r="O121" s="154"/>
      <c r="P121" s="154"/>
      <c r="Q121" s="154"/>
      <c r="R121" s="154"/>
      <c r="S121" s="154"/>
      <c r="T121" s="154"/>
      <c r="U121" s="154"/>
      <c r="V121" s="154"/>
      <c r="W121" s="154"/>
      <c r="X121" s="154"/>
      <c r="Y121" s="154"/>
      <c r="Z121" s="154"/>
      <c r="AA121" s="154"/>
      <c r="AB121" s="154"/>
      <c r="AC121" s="154"/>
      <c r="AD121" s="154"/>
      <c r="AE121" s="154"/>
      <c r="AF121" s="154"/>
      <c r="AG121" s="154"/>
      <c r="AH121" s="154"/>
      <c r="AI121" s="154"/>
      <c r="AJ121" s="154"/>
      <c r="AK121" s="154"/>
      <c r="AL121" s="154"/>
      <c r="AM121" s="154"/>
      <c r="AN121" s="154"/>
    </row>
    <row r="122" spans="1:40" ht="15.75">
      <c r="A122" s="154"/>
      <c r="B122" s="154"/>
      <c r="C122" s="154"/>
      <c r="D122" s="154"/>
      <c r="E122" s="154"/>
      <c r="F122" s="154"/>
      <c r="G122" s="154"/>
      <c r="H122" s="154"/>
      <c r="I122" s="154"/>
      <c r="J122" s="154"/>
      <c r="K122" s="154"/>
      <c r="L122" s="154"/>
      <c r="M122" s="154"/>
      <c r="N122" s="154"/>
      <c r="O122" s="154"/>
      <c r="P122" s="154"/>
      <c r="Q122" s="154"/>
      <c r="R122" s="154"/>
      <c r="S122" s="154"/>
      <c r="T122" s="154"/>
      <c r="U122" s="154"/>
      <c r="V122" s="154"/>
      <c r="W122" s="154"/>
      <c r="X122" s="154"/>
      <c r="Y122" s="154"/>
      <c r="Z122" s="154"/>
      <c r="AA122" s="154"/>
      <c r="AB122" s="154"/>
      <c r="AC122" s="154"/>
      <c r="AD122" s="154"/>
      <c r="AE122" s="154"/>
      <c r="AF122" s="154"/>
      <c r="AG122" s="154"/>
      <c r="AH122" s="154"/>
      <c r="AI122" s="154"/>
      <c r="AJ122" s="154"/>
      <c r="AK122" s="154"/>
      <c r="AL122" s="154"/>
      <c r="AM122" s="154"/>
      <c r="AN122" s="154"/>
    </row>
    <row r="123" spans="1:40" ht="15.75">
      <c r="A123" s="154"/>
      <c r="B123" s="154"/>
      <c r="C123" s="154"/>
      <c r="D123" s="154"/>
      <c r="E123" s="154"/>
      <c r="F123" s="154"/>
      <c r="G123" s="154"/>
      <c r="H123" s="154"/>
      <c r="I123" s="154"/>
      <c r="J123" s="154"/>
      <c r="K123" s="154"/>
      <c r="L123" s="154"/>
      <c r="M123" s="154"/>
      <c r="N123" s="154"/>
      <c r="O123" s="154"/>
      <c r="P123" s="154"/>
      <c r="Q123" s="154"/>
      <c r="R123" s="154"/>
      <c r="S123" s="154"/>
      <c r="T123" s="154"/>
      <c r="U123" s="154"/>
      <c r="V123" s="154"/>
      <c r="W123" s="154"/>
      <c r="X123" s="154"/>
      <c r="Y123" s="154"/>
      <c r="Z123" s="154"/>
      <c r="AA123" s="154"/>
      <c r="AB123" s="154"/>
      <c r="AC123" s="154"/>
      <c r="AD123" s="154"/>
      <c r="AE123" s="154"/>
      <c r="AF123" s="154"/>
      <c r="AG123" s="154"/>
      <c r="AH123" s="154"/>
      <c r="AI123" s="154"/>
      <c r="AJ123" s="154"/>
      <c r="AK123" s="154"/>
      <c r="AL123" s="154"/>
      <c r="AM123" s="154"/>
      <c r="AN123" s="154"/>
    </row>
    <row r="124" spans="1:40" ht="15.75" hidden="1" outlineLevel="1">
      <c r="A124" s="163"/>
      <c r="B124" s="164"/>
      <c r="C124" s="164"/>
      <c r="D124" s="164"/>
      <c r="E124" s="164"/>
      <c r="F124" s="164"/>
      <c r="G124" s="164"/>
      <c r="H124" s="164"/>
      <c r="I124" s="164"/>
      <c r="J124" s="164"/>
      <c r="K124" s="164"/>
      <c r="L124" s="164"/>
      <c r="M124" s="164"/>
      <c r="N124" s="164"/>
      <c r="O124" s="164"/>
      <c r="P124" s="164"/>
      <c r="Q124" s="164"/>
      <c r="R124" s="164"/>
      <c r="S124" s="164"/>
      <c r="T124" s="164"/>
      <c r="U124" s="164"/>
      <c r="V124" s="164"/>
      <c r="W124" s="154"/>
      <c r="X124" s="154"/>
      <c r="Y124" s="154"/>
      <c r="Z124" s="154"/>
      <c r="AA124" s="154"/>
      <c r="AB124" s="154"/>
      <c r="AC124" s="154"/>
      <c r="AD124" s="154"/>
      <c r="AE124" s="154"/>
      <c r="AF124" s="154"/>
      <c r="AG124" s="154"/>
      <c r="AH124" s="154"/>
      <c r="AI124" s="154"/>
      <c r="AJ124" s="154"/>
      <c r="AK124" s="154"/>
      <c r="AL124" s="154"/>
      <c r="AM124" s="154"/>
      <c r="AN124" s="154"/>
    </row>
    <row r="125" spans="1:40" ht="15.75" hidden="1" outlineLevel="1">
      <c r="A125" s="154"/>
      <c r="B125" s="154"/>
      <c r="C125" s="154"/>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c r="AA125" s="154"/>
      <c r="AB125" s="154"/>
      <c r="AC125" s="154"/>
      <c r="AD125" s="154"/>
      <c r="AE125" s="154"/>
      <c r="AF125" s="154"/>
      <c r="AG125" s="154"/>
      <c r="AH125" s="154"/>
      <c r="AI125" s="154"/>
      <c r="AJ125" s="154"/>
      <c r="AK125" s="154"/>
      <c r="AL125" s="154"/>
      <c r="AM125" s="154"/>
      <c r="AN125" s="154"/>
    </row>
    <row r="126" spans="1:40" ht="15.75" hidden="1" outlineLevel="1">
      <c r="A126" s="154"/>
      <c r="B126" s="154"/>
      <c r="C126" s="154"/>
      <c r="D126" s="154"/>
      <c r="E126" s="154"/>
      <c r="F126" s="154"/>
      <c r="G126" s="154"/>
      <c r="H126" s="154"/>
      <c r="I126" s="154"/>
      <c r="J126" s="154"/>
      <c r="K126" s="154"/>
      <c r="L126" s="154"/>
      <c r="M126" s="154"/>
      <c r="N126" s="154"/>
      <c r="O126" s="154"/>
      <c r="P126" s="154"/>
      <c r="Q126" s="154"/>
      <c r="R126" s="154"/>
      <c r="S126" s="154"/>
      <c r="T126" s="154"/>
      <c r="U126" s="154"/>
      <c r="V126" s="154"/>
      <c r="W126" s="154"/>
      <c r="X126" s="154"/>
      <c r="Y126" s="154"/>
      <c r="Z126" s="154"/>
      <c r="AA126" s="154"/>
      <c r="AB126" s="154"/>
      <c r="AC126" s="154"/>
      <c r="AD126" s="154"/>
      <c r="AE126" s="154"/>
      <c r="AF126" s="154"/>
      <c r="AG126" s="154"/>
      <c r="AH126" s="154"/>
      <c r="AI126" s="154"/>
      <c r="AJ126" s="154"/>
      <c r="AK126" s="154"/>
      <c r="AL126" s="154"/>
      <c r="AM126" s="154"/>
      <c r="AN126" s="154"/>
    </row>
    <row r="127" spans="1:40" ht="15.75" hidden="1" outlineLevel="1">
      <c r="A127" s="154"/>
      <c r="B127" s="154"/>
      <c r="C127" s="154"/>
      <c r="D127" s="154"/>
      <c r="E127" s="154"/>
      <c r="F127" s="154"/>
      <c r="G127" s="154"/>
      <c r="H127" s="154"/>
      <c r="I127" s="154"/>
      <c r="J127" s="154"/>
      <c r="K127" s="154"/>
      <c r="L127" s="154"/>
      <c r="M127" s="154"/>
      <c r="N127" s="154"/>
      <c r="O127" s="154"/>
      <c r="P127" s="154"/>
      <c r="Q127" s="154"/>
      <c r="R127" s="154"/>
      <c r="S127" s="154"/>
      <c r="T127" s="154"/>
      <c r="U127" s="154"/>
      <c r="V127" s="154"/>
      <c r="W127" s="154"/>
      <c r="X127" s="154"/>
      <c r="Y127" s="154"/>
      <c r="Z127" s="154"/>
      <c r="AA127" s="154"/>
      <c r="AB127" s="154"/>
      <c r="AC127" s="154"/>
      <c r="AD127" s="154"/>
      <c r="AE127" s="154"/>
      <c r="AF127" s="154"/>
      <c r="AG127" s="154"/>
      <c r="AH127" s="154"/>
      <c r="AI127" s="154"/>
      <c r="AJ127" s="154"/>
      <c r="AK127" s="154"/>
      <c r="AL127" s="154"/>
      <c r="AM127" s="154"/>
      <c r="AN127" s="154"/>
    </row>
    <row r="128" spans="1:40" ht="15.75" hidden="1" outlineLevel="1">
      <c r="A128" s="154"/>
      <c r="B128" s="154"/>
      <c r="C128" s="154"/>
      <c r="D128" s="154"/>
      <c r="E128" s="154"/>
      <c r="F128" s="154"/>
      <c r="G128" s="154"/>
      <c r="H128" s="154"/>
      <c r="I128" s="154"/>
      <c r="J128" s="154"/>
      <c r="K128" s="154"/>
      <c r="L128" s="154"/>
      <c r="M128" s="154"/>
      <c r="N128" s="154"/>
      <c r="O128" s="154"/>
      <c r="P128" s="154"/>
      <c r="Q128" s="154"/>
      <c r="R128" s="154"/>
      <c r="S128" s="154"/>
      <c r="T128" s="154"/>
      <c r="U128" s="154"/>
      <c r="V128" s="154"/>
      <c r="W128" s="154"/>
      <c r="X128" s="154"/>
      <c r="Y128" s="154"/>
      <c r="Z128" s="154"/>
      <c r="AA128" s="154"/>
      <c r="AB128" s="154"/>
      <c r="AC128" s="154"/>
      <c r="AD128" s="154"/>
      <c r="AE128" s="154"/>
      <c r="AF128" s="154"/>
      <c r="AG128" s="154"/>
      <c r="AH128" s="154"/>
      <c r="AI128" s="154"/>
      <c r="AJ128" s="154"/>
      <c r="AK128" s="154"/>
      <c r="AL128" s="154"/>
      <c r="AM128" s="154"/>
      <c r="AN128" s="154"/>
    </row>
    <row r="129" spans="1:40" ht="15.75" hidden="1" outlineLevel="1">
      <c r="A129" s="154"/>
      <c r="B129" s="154"/>
      <c r="C129" s="154"/>
      <c r="D129" s="154"/>
      <c r="E129" s="154"/>
      <c r="F129" s="154"/>
      <c r="G129" s="154"/>
      <c r="H129" s="154"/>
      <c r="I129" s="154"/>
      <c r="J129" s="154"/>
      <c r="K129" s="154"/>
      <c r="L129" s="154"/>
      <c r="M129" s="154"/>
      <c r="N129" s="154"/>
      <c r="O129" s="154"/>
      <c r="P129" s="154"/>
      <c r="Q129" s="154"/>
      <c r="R129" s="154"/>
      <c r="S129" s="154"/>
      <c r="T129" s="154"/>
      <c r="U129" s="154"/>
      <c r="V129" s="154"/>
      <c r="W129" s="154"/>
      <c r="X129" s="154"/>
      <c r="Y129" s="154"/>
      <c r="Z129" s="154"/>
      <c r="AA129" s="154"/>
      <c r="AB129" s="154"/>
      <c r="AC129" s="154"/>
      <c r="AD129" s="154"/>
      <c r="AE129" s="154"/>
      <c r="AF129" s="154"/>
      <c r="AG129" s="154"/>
      <c r="AH129" s="154"/>
      <c r="AI129" s="154"/>
      <c r="AJ129" s="154"/>
      <c r="AK129" s="154"/>
      <c r="AL129" s="154"/>
      <c r="AM129" s="154"/>
      <c r="AN129" s="154"/>
    </row>
    <row r="130" spans="1:40" ht="15.75" hidden="1" outlineLevel="1">
      <c r="A130" s="154"/>
      <c r="B130" s="154"/>
      <c r="C130" s="154"/>
      <c r="D130" s="154"/>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154"/>
      <c r="AA130" s="154"/>
      <c r="AB130" s="154"/>
      <c r="AC130" s="154"/>
      <c r="AD130" s="154"/>
      <c r="AE130" s="154"/>
      <c r="AF130" s="154"/>
      <c r="AG130" s="154"/>
      <c r="AH130" s="154"/>
      <c r="AI130" s="154"/>
      <c r="AJ130" s="154"/>
      <c r="AK130" s="154"/>
      <c r="AL130" s="154"/>
      <c r="AM130" s="154"/>
      <c r="AN130" s="154"/>
    </row>
    <row r="131" spans="1:40" ht="15.75" hidden="1" outlineLevel="1">
      <c r="A131" s="154"/>
      <c r="B131" s="154"/>
      <c r="C131" s="154"/>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c r="AA131" s="154"/>
      <c r="AB131" s="154"/>
      <c r="AC131" s="154"/>
      <c r="AD131" s="154"/>
      <c r="AE131" s="154"/>
      <c r="AF131" s="154"/>
      <c r="AG131" s="154"/>
      <c r="AH131" s="154"/>
      <c r="AI131" s="154"/>
      <c r="AJ131" s="154"/>
      <c r="AK131" s="154"/>
      <c r="AL131" s="154"/>
      <c r="AM131" s="154"/>
      <c r="AN131" s="154"/>
    </row>
    <row r="132" spans="1:40" ht="15.75" hidden="1" outlineLevel="1">
      <c r="A132" s="154"/>
      <c r="B132" s="154"/>
      <c r="C132" s="154"/>
      <c r="D132" s="154"/>
      <c r="E132" s="154"/>
      <c r="F132" s="154"/>
      <c r="G132" s="154"/>
      <c r="H132" s="154"/>
      <c r="I132" s="154"/>
      <c r="J132" s="154"/>
      <c r="K132" s="154"/>
      <c r="L132" s="154"/>
      <c r="M132" s="154"/>
      <c r="N132" s="154"/>
      <c r="O132" s="154"/>
      <c r="P132" s="154"/>
      <c r="Q132" s="154"/>
      <c r="R132" s="154"/>
      <c r="S132" s="154"/>
      <c r="T132" s="154"/>
      <c r="U132" s="154"/>
      <c r="V132" s="154"/>
      <c r="W132" s="154"/>
      <c r="X132" s="154"/>
      <c r="Y132" s="154"/>
      <c r="Z132" s="154"/>
      <c r="AA132" s="154"/>
      <c r="AB132" s="154"/>
      <c r="AC132" s="154"/>
      <c r="AD132" s="154"/>
      <c r="AE132" s="154"/>
      <c r="AF132" s="154"/>
      <c r="AG132" s="154"/>
      <c r="AH132" s="154"/>
      <c r="AI132" s="154"/>
      <c r="AJ132" s="154"/>
      <c r="AK132" s="154"/>
      <c r="AL132" s="154"/>
      <c r="AM132" s="154"/>
      <c r="AN132" s="154"/>
    </row>
    <row r="133" spans="1:40" ht="15.75" hidden="1" outlineLevel="1">
      <c r="A133" s="154"/>
      <c r="B133" s="154"/>
      <c r="C133" s="154"/>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c r="AA133" s="154"/>
      <c r="AB133" s="154"/>
      <c r="AC133" s="154"/>
      <c r="AD133" s="154"/>
      <c r="AE133" s="154"/>
      <c r="AF133" s="154"/>
      <c r="AG133" s="154"/>
      <c r="AH133" s="154"/>
      <c r="AI133" s="154"/>
      <c r="AJ133" s="154"/>
      <c r="AK133" s="154"/>
      <c r="AL133" s="154"/>
      <c r="AM133" s="154"/>
      <c r="AN133" s="154"/>
    </row>
    <row r="134" spans="1:40" ht="15.75" hidden="1" outlineLevel="1">
      <c r="A134" s="154"/>
      <c r="B134" s="154"/>
      <c r="C134" s="154"/>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c r="AA134" s="154"/>
      <c r="AB134" s="154"/>
      <c r="AC134" s="154"/>
      <c r="AD134" s="154"/>
      <c r="AE134" s="154"/>
      <c r="AF134" s="154"/>
      <c r="AG134" s="154"/>
      <c r="AH134" s="154"/>
      <c r="AI134" s="154"/>
      <c r="AJ134" s="154"/>
      <c r="AK134" s="154"/>
      <c r="AL134" s="154"/>
      <c r="AM134" s="154"/>
      <c r="AN134" s="154"/>
    </row>
    <row r="135" spans="1:40" ht="15.75" hidden="1" outlineLevel="1">
      <c r="A135" s="154"/>
      <c r="B135" s="154"/>
      <c r="C135" s="154"/>
      <c r="D135" s="154"/>
      <c r="E135" s="154"/>
      <c r="F135" s="154"/>
      <c r="G135" s="154"/>
      <c r="H135" s="154"/>
      <c r="I135" s="154"/>
      <c r="J135" s="154"/>
      <c r="K135" s="154"/>
      <c r="L135" s="154"/>
      <c r="M135" s="154"/>
      <c r="N135" s="154"/>
      <c r="O135" s="154"/>
      <c r="P135" s="154"/>
      <c r="Q135" s="154"/>
      <c r="R135" s="154"/>
      <c r="S135" s="154"/>
      <c r="T135" s="154"/>
      <c r="U135" s="154"/>
      <c r="V135" s="154"/>
      <c r="W135" s="154"/>
      <c r="X135" s="154"/>
      <c r="Y135" s="154"/>
      <c r="Z135" s="154"/>
      <c r="AA135" s="154"/>
      <c r="AB135" s="154"/>
      <c r="AC135" s="154"/>
      <c r="AD135" s="154"/>
      <c r="AE135" s="154"/>
      <c r="AF135" s="154"/>
      <c r="AG135" s="154"/>
      <c r="AH135" s="154"/>
      <c r="AI135" s="154"/>
      <c r="AJ135" s="154"/>
      <c r="AK135" s="154"/>
      <c r="AL135" s="154"/>
      <c r="AM135" s="154"/>
      <c r="AN135" s="154"/>
    </row>
    <row r="136" spans="1:40" ht="15.75" hidden="1" outlineLevel="1">
      <c r="A136" s="154"/>
      <c r="B136" s="154"/>
      <c r="C136" s="154"/>
      <c r="D136" s="154"/>
      <c r="E136" s="154"/>
      <c r="F136" s="154"/>
      <c r="G136" s="154"/>
      <c r="H136" s="154"/>
      <c r="I136" s="154"/>
      <c r="J136" s="154"/>
      <c r="K136" s="154"/>
      <c r="L136" s="154"/>
      <c r="M136" s="154"/>
      <c r="N136" s="154"/>
      <c r="O136" s="154"/>
      <c r="P136" s="154"/>
      <c r="Q136" s="154"/>
      <c r="R136" s="154"/>
      <c r="S136" s="154"/>
      <c r="T136" s="154"/>
      <c r="U136" s="154"/>
      <c r="V136" s="154"/>
      <c r="W136" s="154"/>
      <c r="X136" s="154"/>
      <c r="Y136" s="154"/>
      <c r="Z136" s="154"/>
      <c r="AA136" s="154"/>
      <c r="AB136" s="154"/>
      <c r="AC136" s="154"/>
      <c r="AD136" s="154"/>
      <c r="AE136" s="154"/>
      <c r="AF136" s="154"/>
      <c r="AG136" s="154"/>
      <c r="AH136" s="154"/>
      <c r="AI136" s="154"/>
      <c r="AJ136" s="154"/>
      <c r="AK136" s="154"/>
      <c r="AL136" s="154"/>
      <c r="AM136" s="154"/>
      <c r="AN136" s="154"/>
    </row>
    <row r="137" spans="1:40" ht="15.75" hidden="1" outlineLevel="1">
      <c r="A137" s="154"/>
      <c r="B137" s="154"/>
      <c r="C137" s="154"/>
      <c r="D137" s="154"/>
      <c r="E137" s="154"/>
      <c r="F137" s="154"/>
      <c r="G137" s="154"/>
      <c r="H137" s="154"/>
      <c r="I137" s="154"/>
      <c r="J137" s="154"/>
      <c r="K137" s="154"/>
      <c r="L137" s="154"/>
      <c r="M137" s="154"/>
      <c r="N137" s="154"/>
      <c r="O137" s="154"/>
      <c r="P137" s="154"/>
      <c r="Q137" s="154"/>
      <c r="R137" s="154"/>
      <c r="S137" s="154"/>
      <c r="T137" s="154"/>
      <c r="U137" s="154"/>
      <c r="V137" s="154"/>
      <c r="W137" s="154"/>
      <c r="X137" s="154"/>
      <c r="Y137" s="154"/>
      <c r="Z137" s="154"/>
      <c r="AA137" s="154"/>
      <c r="AB137" s="154"/>
      <c r="AC137" s="154"/>
      <c r="AD137" s="154"/>
      <c r="AE137" s="154"/>
      <c r="AF137" s="154"/>
      <c r="AG137" s="154"/>
      <c r="AH137" s="154"/>
      <c r="AI137" s="154"/>
      <c r="AJ137" s="154"/>
      <c r="AK137" s="154"/>
      <c r="AL137" s="154"/>
      <c r="AM137" s="154"/>
      <c r="AN137" s="154"/>
    </row>
    <row r="138" spans="1:40" ht="15.75" hidden="1" outlineLevel="1">
      <c r="A138" s="154"/>
      <c r="B138" s="154"/>
      <c r="C138" s="154"/>
      <c r="D138" s="154"/>
      <c r="E138" s="154"/>
      <c r="F138" s="154"/>
      <c r="G138" s="154"/>
      <c r="H138" s="154"/>
      <c r="I138" s="154"/>
      <c r="J138" s="154"/>
      <c r="K138" s="154"/>
      <c r="L138" s="154"/>
      <c r="M138" s="154"/>
      <c r="N138" s="154"/>
      <c r="O138" s="154"/>
      <c r="P138" s="154"/>
      <c r="Q138" s="154"/>
      <c r="R138" s="154"/>
      <c r="S138" s="154"/>
      <c r="T138" s="154"/>
      <c r="U138" s="154"/>
      <c r="V138" s="154"/>
      <c r="W138" s="154"/>
      <c r="X138" s="154"/>
      <c r="Y138" s="154"/>
      <c r="Z138" s="154"/>
      <c r="AA138" s="154"/>
      <c r="AB138" s="154"/>
      <c r="AC138" s="154"/>
      <c r="AD138" s="154"/>
      <c r="AE138" s="154"/>
      <c r="AF138" s="154"/>
      <c r="AG138" s="154"/>
      <c r="AH138" s="154"/>
      <c r="AI138" s="154"/>
      <c r="AJ138" s="154"/>
      <c r="AK138" s="154"/>
      <c r="AL138" s="154"/>
      <c r="AM138" s="154"/>
      <c r="AN138" s="154"/>
    </row>
    <row r="139" spans="1:40" ht="15.75" hidden="1" outlineLevel="1">
      <c r="A139" s="154"/>
      <c r="B139" s="154"/>
      <c r="C139" s="154"/>
      <c r="D139" s="154"/>
      <c r="E139" s="154"/>
      <c r="F139" s="154"/>
      <c r="G139" s="154"/>
      <c r="H139" s="154"/>
      <c r="I139" s="154"/>
      <c r="J139" s="154"/>
      <c r="K139" s="154"/>
      <c r="L139" s="154"/>
      <c r="M139" s="154"/>
      <c r="N139" s="154"/>
      <c r="O139" s="154"/>
      <c r="P139" s="154"/>
      <c r="Q139" s="154"/>
      <c r="R139" s="154"/>
      <c r="S139" s="154"/>
      <c r="T139" s="154"/>
      <c r="U139" s="154"/>
      <c r="V139" s="154"/>
      <c r="W139" s="154"/>
      <c r="X139" s="154"/>
      <c r="Y139" s="154"/>
      <c r="Z139" s="154"/>
      <c r="AA139" s="154"/>
      <c r="AB139" s="154"/>
      <c r="AC139" s="154"/>
      <c r="AD139" s="154"/>
      <c r="AE139" s="154"/>
      <c r="AF139" s="154"/>
      <c r="AG139" s="154"/>
      <c r="AH139" s="154"/>
      <c r="AI139" s="154"/>
      <c r="AJ139" s="154"/>
      <c r="AK139" s="154"/>
      <c r="AL139" s="154"/>
      <c r="AM139" s="154"/>
      <c r="AN139" s="154"/>
    </row>
    <row r="140" spans="1:40" ht="15.75" hidden="1" outlineLevel="1">
      <c r="A140" s="154"/>
      <c r="B140" s="154"/>
      <c r="C140" s="154"/>
      <c r="D140" s="154"/>
      <c r="E140" s="154"/>
      <c r="F140" s="154"/>
      <c r="G140" s="154"/>
      <c r="H140" s="154"/>
      <c r="I140" s="154"/>
      <c r="J140" s="154"/>
      <c r="K140" s="154"/>
      <c r="L140" s="154"/>
      <c r="M140" s="154"/>
      <c r="N140" s="154"/>
      <c r="O140" s="154"/>
      <c r="P140" s="154"/>
      <c r="Q140" s="154"/>
      <c r="R140" s="154"/>
      <c r="S140" s="154"/>
      <c r="T140" s="154"/>
      <c r="U140" s="154"/>
      <c r="V140" s="154"/>
      <c r="W140" s="154"/>
      <c r="X140" s="154"/>
      <c r="Y140" s="154"/>
      <c r="Z140" s="154"/>
      <c r="AA140" s="154"/>
      <c r="AB140" s="154"/>
      <c r="AC140" s="154"/>
      <c r="AD140" s="154"/>
      <c r="AE140" s="154"/>
      <c r="AF140" s="154"/>
      <c r="AG140" s="154"/>
      <c r="AH140" s="154"/>
      <c r="AI140" s="154"/>
      <c r="AJ140" s="154"/>
      <c r="AK140" s="154"/>
      <c r="AL140" s="154"/>
      <c r="AM140" s="154"/>
      <c r="AN140" s="154"/>
    </row>
    <row r="141" spans="1:40" ht="15.75" hidden="1" outlineLevel="1">
      <c r="A141" s="154"/>
      <c r="B141" s="154"/>
      <c r="C141" s="154"/>
      <c r="D141" s="154"/>
      <c r="E141" s="154"/>
      <c r="F141" s="154"/>
      <c r="G141" s="154"/>
      <c r="H141" s="154"/>
      <c r="I141" s="154"/>
      <c r="J141" s="154"/>
      <c r="K141" s="154"/>
      <c r="L141" s="154"/>
      <c r="M141" s="154"/>
      <c r="N141" s="154"/>
      <c r="O141" s="154"/>
      <c r="P141" s="154"/>
      <c r="Q141" s="154"/>
      <c r="R141" s="154"/>
      <c r="S141" s="154"/>
      <c r="T141" s="154"/>
      <c r="U141" s="154"/>
      <c r="V141" s="154"/>
      <c r="W141" s="154"/>
      <c r="X141" s="154"/>
      <c r="Y141" s="154"/>
      <c r="Z141" s="154"/>
      <c r="AA141" s="154"/>
      <c r="AB141" s="154"/>
      <c r="AC141" s="154"/>
      <c r="AD141" s="154"/>
      <c r="AE141" s="154"/>
      <c r="AF141" s="154"/>
      <c r="AG141" s="154"/>
      <c r="AH141" s="154"/>
      <c r="AI141" s="154"/>
      <c r="AJ141" s="154"/>
      <c r="AK141" s="154"/>
      <c r="AL141" s="154"/>
      <c r="AM141" s="154"/>
      <c r="AN141" s="154"/>
    </row>
    <row r="142" spans="1:40" ht="15.75" hidden="1" outlineLevel="1">
      <c r="A142" s="154"/>
      <c r="B142" s="154"/>
      <c r="C142" s="154"/>
      <c r="D142" s="154"/>
      <c r="E142" s="154"/>
      <c r="F142" s="154"/>
      <c r="G142" s="154"/>
      <c r="H142" s="154"/>
      <c r="I142" s="154"/>
      <c r="J142" s="154"/>
      <c r="K142" s="154"/>
      <c r="L142" s="154"/>
      <c r="M142" s="154"/>
      <c r="N142" s="154"/>
      <c r="O142" s="154"/>
      <c r="P142" s="154"/>
      <c r="Q142" s="154"/>
      <c r="R142" s="154"/>
      <c r="S142" s="154"/>
      <c r="T142" s="154"/>
      <c r="U142" s="154"/>
      <c r="V142" s="154"/>
      <c r="W142" s="154"/>
      <c r="X142" s="154"/>
      <c r="Y142" s="154"/>
      <c r="Z142" s="154"/>
      <c r="AA142" s="154"/>
      <c r="AB142" s="154"/>
      <c r="AC142" s="154"/>
      <c r="AD142" s="154"/>
      <c r="AE142" s="154"/>
      <c r="AF142" s="154"/>
      <c r="AG142" s="154"/>
      <c r="AH142" s="154"/>
      <c r="AI142" s="154"/>
      <c r="AJ142" s="154"/>
      <c r="AK142" s="154"/>
      <c r="AL142" s="154"/>
      <c r="AM142" s="154"/>
      <c r="AN142" s="154"/>
    </row>
    <row r="143" spans="1:40" ht="15.75" hidden="1" outlineLevel="1">
      <c r="A143" s="154"/>
      <c r="B143" s="154"/>
      <c r="C143" s="154"/>
      <c r="D143" s="154"/>
      <c r="E143" s="154"/>
      <c r="F143" s="154"/>
      <c r="G143" s="154"/>
      <c r="H143" s="154"/>
      <c r="I143" s="154"/>
      <c r="J143" s="154"/>
      <c r="K143" s="154"/>
      <c r="L143" s="154"/>
      <c r="M143" s="154"/>
      <c r="N143" s="154"/>
      <c r="O143" s="154"/>
      <c r="P143" s="154"/>
      <c r="Q143" s="154"/>
      <c r="R143" s="154"/>
      <c r="S143" s="154"/>
      <c r="T143" s="154"/>
      <c r="U143" s="154"/>
      <c r="V143" s="154"/>
      <c r="W143" s="154"/>
      <c r="X143" s="154"/>
      <c r="Y143" s="154"/>
      <c r="Z143" s="154"/>
      <c r="AA143" s="154"/>
      <c r="AB143" s="154"/>
      <c r="AC143" s="154"/>
      <c r="AD143" s="154"/>
      <c r="AE143" s="154"/>
      <c r="AF143" s="154"/>
      <c r="AG143" s="154"/>
      <c r="AH143" s="154"/>
      <c r="AI143" s="154"/>
      <c r="AJ143" s="154"/>
      <c r="AK143" s="154"/>
      <c r="AL143" s="154"/>
      <c r="AM143" s="154"/>
      <c r="AN143" s="154"/>
    </row>
    <row r="144" spans="1:40" ht="15.75" hidden="1" outlineLevel="1">
      <c r="A144" s="154"/>
      <c r="B144" s="154"/>
      <c r="C144" s="154"/>
      <c r="D144" s="154"/>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4"/>
      <c r="AA144" s="154"/>
      <c r="AB144" s="154"/>
      <c r="AC144" s="154"/>
      <c r="AD144" s="154"/>
      <c r="AE144" s="154"/>
      <c r="AF144" s="154"/>
      <c r="AG144" s="154"/>
      <c r="AH144" s="154"/>
      <c r="AI144" s="154"/>
      <c r="AJ144" s="154"/>
      <c r="AK144" s="154"/>
      <c r="AL144" s="154"/>
      <c r="AM144" s="154"/>
      <c r="AN144" s="154"/>
    </row>
    <row r="145" spans="1:40" ht="15.75" hidden="1" outlineLevel="1">
      <c r="A145" s="154"/>
      <c r="B145" s="154"/>
      <c r="C145" s="154"/>
      <c r="D145" s="154"/>
      <c r="E145" s="154"/>
      <c r="F145" s="154"/>
      <c r="G145" s="154"/>
      <c r="H145" s="154"/>
      <c r="I145" s="154"/>
      <c r="J145" s="154"/>
      <c r="K145" s="154"/>
      <c r="L145" s="154"/>
      <c r="M145" s="154"/>
      <c r="N145" s="154"/>
      <c r="O145" s="154"/>
      <c r="P145" s="154"/>
      <c r="Q145" s="154"/>
      <c r="R145" s="154"/>
      <c r="S145" s="154"/>
      <c r="T145" s="154"/>
      <c r="U145" s="154"/>
      <c r="V145" s="154"/>
      <c r="W145" s="154"/>
      <c r="X145" s="154"/>
      <c r="Y145" s="154"/>
      <c r="Z145" s="154"/>
      <c r="AA145" s="154"/>
      <c r="AB145" s="154"/>
      <c r="AC145" s="154"/>
      <c r="AD145" s="154"/>
      <c r="AE145" s="154"/>
      <c r="AF145" s="154"/>
      <c r="AG145" s="154"/>
      <c r="AH145" s="154"/>
      <c r="AI145" s="154"/>
      <c r="AJ145" s="154"/>
      <c r="AK145" s="154"/>
      <c r="AL145" s="154"/>
      <c r="AM145" s="154"/>
      <c r="AN145" s="154"/>
    </row>
    <row r="146" spans="1:40" ht="15.75" hidden="1" outlineLevel="1">
      <c r="A146" s="154"/>
      <c r="B146" s="154"/>
      <c r="C146" s="154"/>
      <c r="D146" s="154"/>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154"/>
      <c r="AA146" s="154"/>
      <c r="AB146" s="154"/>
      <c r="AC146" s="154"/>
      <c r="AD146" s="154"/>
      <c r="AE146" s="154"/>
      <c r="AF146" s="154"/>
      <c r="AG146" s="154"/>
      <c r="AH146" s="154"/>
      <c r="AI146" s="154"/>
      <c r="AJ146" s="154"/>
      <c r="AK146" s="154"/>
      <c r="AL146" s="154"/>
      <c r="AM146" s="154"/>
      <c r="AN146" s="154"/>
    </row>
    <row r="147" spans="1:40" ht="15.75" hidden="1" outlineLevel="1">
      <c r="A147" s="154"/>
      <c r="B147" s="154"/>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c r="AA147" s="154"/>
      <c r="AB147" s="154"/>
      <c r="AC147" s="154"/>
      <c r="AD147" s="154"/>
      <c r="AE147" s="154"/>
      <c r="AF147" s="154"/>
      <c r="AG147" s="154"/>
      <c r="AH147" s="154"/>
      <c r="AI147" s="154"/>
      <c r="AJ147" s="154"/>
      <c r="AK147" s="154"/>
      <c r="AL147" s="154"/>
      <c r="AM147" s="154"/>
      <c r="AN147" s="154"/>
    </row>
    <row r="148" spans="1:40" ht="15.75" hidden="1" outlineLevel="1">
      <c r="A148" s="154"/>
      <c r="B148" s="154"/>
      <c r="C148" s="154"/>
      <c r="D148" s="154"/>
      <c r="E148" s="154"/>
      <c r="F148" s="154"/>
      <c r="G148" s="154"/>
      <c r="H148" s="154"/>
      <c r="I148" s="154"/>
      <c r="J148" s="154"/>
      <c r="K148" s="154"/>
      <c r="L148" s="154"/>
      <c r="M148" s="154"/>
      <c r="N148" s="154"/>
      <c r="O148" s="154"/>
      <c r="P148" s="154"/>
      <c r="Q148" s="154"/>
      <c r="R148" s="154"/>
      <c r="S148" s="154"/>
      <c r="T148" s="154"/>
      <c r="U148" s="154"/>
      <c r="V148" s="154"/>
      <c r="W148" s="154"/>
      <c r="X148" s="154"/>
      <c r="Y148" s="154"/>
      <c r="Z148" s="154"/>
      <c r="AA148" s="154"/>
      <c r="AB148" s="154"/>
      <c r="AC148" s="154"/>
      <c r="AD148" s="154"/>
      <c r="AE148" s="154"/>
      <c r="AF148" s="154"/>
      <c r="AG148" s="154"/>
      <c r="AH148" s="154"/>
      <c r="AI148" s="154"/>
      <c r="AJ148" s="154"/>
      <c r="AK148" s="154"/>
      <c r="AL148" s="154"/>
      <c r="AM148" s="154"/>
      <c r="AN148" s="154"/>
    </row>
    <row r="149" spans="1:40" ht="15.75" hidden="1" outlineLevel="1">
      <c r="A149" s="154"/>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c r="AA149" s="154"/>
      <c r="AB149" s="154"/>
      <c r="AC149" s="154"/>
      <c r="AD149" s="154"/>
      <c r="AE149" s="154"/>
      <c r="AF149" s="154"/>
      <c r="AG149" s="154"/>
      <c r="AH149" s="154"/>
      <c r="AI149" s="154"/>
      <c r="AJ149" s="154"/>
      <c r="AK149" s="154"/>
      <c r="AL149" s="154"/>
      <c r="AM149" s="154"/>
      <c r="AN149" s="154"/>
    </row>
    <row r="150" spans="1:40" ht="15.75" hidden="1" outlineLevel="1">
      <c r="A150" s="154"/>
      <c r="B150" s="154"/>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c r="AA150" s="154"/>
      <c r="AB150" s="154"/>
      <c r="AC150" s="154"/>
      <c r="AD150" s="154"/>
      <c r="AE150" s="154"/>
      <c r="AF150" s="154"/>
      <c r="AG150" s="154"/>
      <c r="AH150" s="154"/>
      <c r="AI150" s="154"/>
      <c r="AJ150" s="154"/>
      <c r="AK150" s="154"/>
      <c r="AL150" s="154"/>
      <c r="AM150" s="154"/>
      <c r="AN150" s="154"/>
    </row>
    <row r="151" spans="1:40" ht="15.75" hidden="1" outlineLevel="1">
      <c r="A151" s="618" t="s">
        <v>761</v>
      </c>
      <c r="B151" s="154"/>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c r="AA151" s="154"/>
      <c r="AB151" s="154"/>
      <c r="AC151" s="154"/>
      <c r="AD151" s="154"/>
      <c r="AE151" s="154"/>
      <c r="AF151" s="154"/>
      <c r="AG151" s="154"/>
      <c r="AH151" s="154"/>
      <c r="AI151" s="154"/>
      <c r="AJ151" s="154"/>
      <c r="AK151" s="154"/>
      <c r="AL151" s="154"/>
      <c r="AM151" s="154"/>
      <c r="AN151" s="154"/>
    </row>
    <row r="152" spans="1:40" ht="15.75" hidden="1" outlineLevel="1">
      <c r="A152" s="619">
        <v>44713</v>
      </c>
      <c r="B152" s="154"/>
      <c r="C152" s="154"/>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c r="AA152" s="154"/>
      <c r="AB152" s="154"/>
      <c r="AC152" s="154"/>
      <c r="AD152" s="154"/>
      <c r="AE152" s="154"/>
      <c r="AF152" s="154"/>
      <c r="AG152" s="154"/>
      <c r="AH152" s="154"/>
      <c r="AI152" s="154"/>
      <c r="AJ152" s="154"/>
      <c r="AK152" s="154"/>
      <c r="AL152" s="154"/>
      <c r="AM152" s="154"/>
      <c r="AN152" s="154"/>
    </row>
    <row r="153" spans="1:40" ht="15.75" hidden="1" outlineLevel="1">
      <c r="A153" s="620"/>
      <c r="B153" s="160">
        <v>2022</v>
      </c>
      <c r="C153" s="154"/>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c r="AA153" s="154"/>
      <c r="AB153" s="154"/>
      <c r="AC153" s="154"/>
      <c r="AD153" s="154"/>
      <c r="AE153" s="154"/>
      <c r="AF153" s="154"/>
      <c r="AG153" s="154"/>
      <c r="AH153" s="154"/>
      <c r="AI153" s="154"/>
      <c r="AJ153" s="154"/>
      <c r="AK153" s="154"/>
      <c r="AL153" s="154"/>
      <c r="AM153" s="154"/>
      <c r="AN153" s="154"/>
    </row>
    <row r="154" spans="1:40" ht="15.75" hidden="1" outlineLevel="1">
      <c r="A154" s="154" t="s">
        <v>162</v>
      </c>
      <c r="B154" s="621">
        <v>5691</v>
      </c>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c r="AA154" s="154"/>
      <c r="AB154" s="154"/>
      <c r="AC154" s="154"/>
      <c r="AD154" s="154"/>
      <c r="AE154" s="154"/>
      <c r="AF154" s="154"/>
      <c r="AG154" s="154"/>
      <c r="AH154" s="154"/>
      <c r="AI154" s="154"/>
      <c r="AJ154" s="154"/>
      <c r="AK154" s="154"/>
      <c r="AL154" s="154"/>
      <c r="AM154" s="154"/>
      <c r="AN154" s="154"/>
    </row>
    <row r="155" spans="1:40" ht="15.75" hidden="1" outlineLevel="1">
      <c r="A155" s="154" t="s">
        <v>1</v>
      </c>
      <c r="B155" s="622">
        <v>1.2</v>
      </c>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c r="AA155" s="154"/>
      <c r="AB155" s="154"/>
      <c r="AC155" s="154"/>
      <c r="AD155" s="154"/>
      <c r="AE155" s="154"/>
      <c r="AF155" s="154"/>
      <c r="AG155" s="154"/>
      <c r="AH155" s="154"/>
      <c r="AI155" s="154"/>
      <c r="AJ155" s="154"/>
      <c r="AK155" s="154"/>
      <c r="AL155" s="154"/>
      <c r="AM155" s="154"/>
      <c r="AN155" s="154"/>
    </row>
    <row r="156" spans="1:40" ht="15.75" hidden="1" outlineLevel="1">
      <c r="A156" s="154" t="s">
        <v>632</v>
      </c>
      <c r="B156" s="623">
        <f>B154*B155</f>
        <v>6829.2</v>
      </c>
      <c r="C156" s="154"/>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154"/>
      <c r="Z156" s="154"/>
      <c r="AA156" s="154"/>
      <c r="AB156" s="154"/>
      <c r="AC156" s="154"/>
      <c r="AD156" s="154"/>
      <c r="AE156" s="154"/>
      <c r="AF156" s="154"/>
      <c r="AG156" s="154"/>
      <c r="AH156" s="154"/>
      <c r="AI156" s="154"/>
      <c r="AJ156" s="154"/>
      <c r="AK156" s="154"/>
      <c r="AL156" s="154"/>
      <c r="AM156" s="154"/>
      <c r="AN156" s="154"/>
    </row>
    <row r="157" spans="1:40" ht="15.75" hidden="1" outlineLevel="1">
      <c r="A157" s="154" t="s">
        <v>7</v>
      </c>
      <c r="B157" s="623">
        <f>B161*1000000/B154/12</f>
        <v>2811.4566859954316</v>
      </c>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c r="AA157" s="154"/>
      <c r="AB157" s="154"/>
      <c r="AC157" s="154"/>
      <c r="AD157" s="154"/>
      <c r="AE157" s="154"/>
      <c r="AF157" s="154"/>
      <c r="AG157" s="154"/>
      <c r="AH157" s="154"/>
      <c r="AI157" s="154"/>
      <c r="AJ157" s="154"/>
      <c r="AK157" s="154"/>
      <c r="AL157" s="154"/>
      <c r="AM157" s="154"/>
      <c r="AN157" s="154"/>
    </row>
    <row r="158" spans="1:40" ht="15.75" hidden="1" outlineLevel="1">
      <c r="A158" s="154" t="s">
        <v>656</v>
      </c>
      <c r="B158" s="623">
        <f>B161*1000000/B156/12</f>
        <v>2342.8805716628594</v>
      </c>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c r="AA158" s="154"/>
      <c r="AB158" s="154"/>
      <c r="AC158" s="154"/>
      <c r="AD158" s="154"/>
      <c r="AE158" s="154"/>
      <c r="AF158" s="154"/>
      <c r="AG158" s="154"/>
      <c r="AH158" s="154"/>
      <c r="AI158" s="154"/>
      <c r="AJ158" s="154"/>
      <c r="AK158" s="154"/>
      <c r="AL158" s="154"/>
      <c r="AM158" s="154"/>
      <c r="AN158" s="154"/>
    </row>
    <row r="159" spans="1:40" ht="15.75" hidden="1" outlineLevel="1">
      <c r="A159" s="154"/>
      <c r="B159" s="623"/>
      <c r="C159" s="154"/>
      <c r="D159" s="154"/>
      <c r="E159" s="154"/>
      <c r="F159" s="154"/>
      <c r="G159" s="154"/>
      <c r="H159" s="154"/>
      <c r="I159" s="154"/>
      <c r="J159" s="154"/>
      <c r="K159" s="154"/>
      <c r="L159" s="154"/>
      <c r="M159" s="154"/>
      <c r="N159" s="154"/>
      <c r="O159" s="154"/>
      <c r="P159" s="154"/>
      <c r="Q159" s="154"/>
      <c r="R159" s="154"/>
      <c r="S159" s="154"/>
      <c r="T159" s="154"/>
      <c r="U159" s="154"/>
      <c r="V159" s="154"/>
      <c r="W159" s="154"/>
      <c r="X159" s="154"/>
      <c r="Y159" s="154"/>
      <c r="Z159" s="154"/>
      <c r="AA159" s="154"/>
      <c r="AB159" s="154"/>
      <c r="AC159" s="154"/>
      <c r="AD159" s="154"/>
      <c r="AE159" s="154"/>
      <c r="AF159" s="154"/>
      <c r="AG159" s="154"/>
      <c r="AH159" s="154"/>
      <c r="AI159" s="154"/>
      <c r="AJ159" s="154"/>
      <c r="AK159" s="154"/>
      <c r="AL159" s="154"/>
      <c r="AM159" s="154"/>
      <c r="AN159" s="154"/>
    </row>
    <row r="160" spans="1:40" ht="15.75" hidden="1" outlineLevel="1">
      <c r="A160" s="154"/>
      <c r="B160" s="154"/>
      <c r="C160" s="154"/>
      <c r="D160" s="624" t="s">
        <v>764</v>
      </c>
      <c r="E160" s="625" t="s">
        <v>849</v>
      </c>
      <c r="F160" s="154"/>
      <c r="G160" s="154"/>
      <c r="H160" s="154"/>
      <c r="I160" s="154"/>
      <c r="J160" s="154"/>
      <c r="K160" s="154"/>
      <c r="L160" s="154"/>
      <c r="M160" s="154"/>
      <c r="N160" s="154"/>
      <c r="O160" s="154"/>
      <c r="P160" s="154"/>
      <c r="Q160" s="154"/>
      <c r="R160" s="154"/>
      <c r="S160" s="154"/>
      <c r="T160" s="154"/>
      <c r="U160" s="154"/>
      <c r="V160" s="154"/>
      <c r="W160" s="154"/>
      <c r="X160" s="154"/>
      <c r="Y160" s="154"/>
      <c r="Z160" s="154"/>
      <c r="AA160" s="154"/>
      <c r="AB160" s="154"/>
      <c r="AC160" s="154"/>
      <c r="AD160" s="154"/>
      <c r="AE160" s="154"/>
      <c r="AF160" s="154"/>
      <c r="AG160" s="154"/>
      <c r="AH160" s="154"/>
      <c r="AI160" s="154"/>
      <c r="AJ160" s="154"/>
      <c r="AK160" s="154"/>
      <c r="AL160" s="154"/>
      <c r="AM160" s="154"/>
      <c r="AN160" s="154"/>
    </row>
    <row r="161" spans="1:40" ht="15.75" hidden="1" outlineLevel="1">
      <c r="A161" s="154" t="s">
        <v>651</v>
      </c>
      <c r="B161" s="621">
        <v>192</v>
      </c>
      <c r="C161" s="154"/>
      <c r="D161" s="155">
        <f>7/12*B161</f>
        <v>112</v>
      </c>
      <c r="E161" s="154">
        <f>5/12*B161</f>
        <v>80</v>
      </c>
      <c r="F161" s="154"/>
      <c r="G161" s="154"/>
      <c r="H161" s="154"/>
      <c r="I161" s="154"/>
      <c r="J161" s="154"/>
      <c r="K161" s="154"/>
      <c r="L161" s="154"/>
      <c r="M161" s="154"/>
      <c r="N161" s="154"/>
      <c r="O161" s="154"/>
      <c r="P161" s="154"/>
      <c r="Q161" s="154"/>
      <c r="R161" s="154"/>
      <c r="S161" s="154"/>
      <c r="T161" s="154"/>
      <c r="U161" s="154"/>
      <c r="V161" s="154"/>
      <c r="W161" s="154"/>
      <c r="X161" s="154"/>
      <c r="Y161" s="154"/>
      <c r="Z161" s="154"/>
      <c r="AA161" s="154"/>
      <c r="AB161" s="154"/>
      <c r="AC161" s="154"/>
      <c r="AD161" s="154"/>
      <c r="AE161" s="154"/>
      <c r="AF161" s="154"/>
      <c r="AG161" s="154"/>
      <c r="AH161" s="154"/>
      <c r="AI161" s="154"/>
      <c r="AJ161" s="154"/>
      <c r="AK161" s="154"/>
      <c r="AL161" s="154"/>
      <c r="AM161" s="154"/>
      <c r="AN161" s="154"/>
    </row>
    <row r="162" spans="1:40" ht="15.75" hidden="1" outlineLevel="1">
      <c r="A162" s="154" t="s">
        <v>652</v>
      </c>
      <c r="B162" s="621">
        <v>85</v>
      </c>
      <c r="C162" s="154"/>
      <c r="D162" s="456">
        <f>7/12*B162</f>
        <v>49.583333333333336</v>
      </c>
      <c r="E162" s="460">
        <f>5/12*B162</f>
        <v>35.416666666666671</v>
      </c>
      <c r="F162" s="154"/>
      <c r="G162" s="154"/>
      <c r="H162" s="154"/>
      <c r="I162" s="154"/>
      <c r="J162" s="154"/>
      <c r="K162" s="154"/>
      <c r="L162" s="154"/>
      <c r="M162" s="154"/>
      <c r="N162" s="154"/>
      <c r="O162" s="154"/>
      <c r="P162" s="154"/>
      <c r="Q162" s="154"/>
      <c r="R162" s="154"/>
      <c r="S162" s="154"/>
      <c r="T162" s="154"/>
      <c r="U162" s="154"/>
      <c r="V162" s="154"/>
      <c r="W162" s="154"/>
      <c r="X162" s="154"/>
      <c r="Y162" s="154"/>
      <c r="Z162" s="154"/>
      <c r="AA162" s="154"/>
      <c r="AB162" s="154"/>
      <c r="AC162" s="154"/>
      <c r="AD162" s="154"/>
      <c r="AE162" s="154"/>
      <c r="AF162" s="154"/>
      <c r="AG162" s="154"/>
      <c r="AH162" s="154"/>
      <c r="AI162" s="154"/>
      <c r="AJ162" s="154"/>
      <c r="AK162" s="154"/>
      <c r="AL162" s="154"/>
      <c r="AM162" s="154"/>
      <c r="AN162" s="154"/>
    </row>
    <row r="163" spans="1:40" ht="15.75" hidden="1" outlineLevel="1">
      <c r="A163" s="154" t="s">
        <v>11</v>
      </c>
      <c r="B163" s="165">
        <f>B162/B161</f>
        <v>0.44270833333333331</v>
      </c>
      <c r="C163" s="154"/>
      <c r="D163" s="165"/>
      <c r="E163" s="154"/>
      <c r="F163" s="154"/>
      <c r="G163" s="154"/>
      <c r="H163" s="154"/>
      <c r="I163" s="154"/>
      <c r="J163" s="154"/>
      <c r="K163" s="154"/>
      <c r="L163" s="154"/>
      <c r="M163" s="154"/>
      <c r="N163" s="154"/>
      <c r="O163" s="154"/>
      <c r="P163" s="154"/>
      <c r="Q163" s="154"/>
      <c r="R163" s="154"/>
      <c r="S163" s="154"/>
      <c r="T163" s="154"/>
      <c r="U163" s="154"/>
      <c r="V163" s="154"/>
      <c r="W163" s="154"/>
      <c r="X163" s="154"/>
      <c r="Y163" s="154"/>
      <c r="Z163" s="154"/>
      <c r="AA163" s="154"/>
      <c r="AB163" s="154"/>
      <c r="AC163" s="154"/>
      <c r="AD163" s="154"/>
      <c r="AE163" s="154"/>
      <c r="AF163" s="154"/>
      <c r="AG163" s="154"/>
      <c r="AH163" s="154"/>
      <c r="AI163" s="154"/>
      <c r="AJ163" s="154"/>
      <c r="AK163" s="154"/>
      <c r="AL163" s="154"/>
      <c r="AM163" s="154"/>
      <c r="AN163" s="154"/>
    </row>
    <row r="164" spans="1:40" ht="15.75" hidden="1" outlineLevel="1">
      <c r="A164" s="154"/>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4"/>
      <c r="X164" s="154"/>
      <c r="Y164" s="154"/>
      <c r="Z164" s="154"/>
      <c r="AA164" s="154"/>
      <c r="AB164" s="154"/>
      <c r="AC164" s="154"/>
      <c r="AD164" s="154"/>
      <c r="AE164" s="154"/>
      <c r="AF164" s="154"/>
      <c r="AG164" s="154"/>
      <c r="AH164" s="154"/>
      <c r="AI164" s="154"/>
      <c r="AJ164" s="154"/>
      <c r="AK164" s="154"/>
      <c r="AL164" s="154"/>
      <c r="AM164" s="154"/>
      <c r="AN164" s="154"/>
    </row>
    <row r="165" spans="1:40" ht="15.75" hidden="1" outlineLevel="1">
      <c r="A165" s="154"/>
      <c r="B165" s="154"/>
      <c r="C165" s="154"/>
      <c r="D165" s="154"/>
      <c r="E165" s="154"/>
      <c r="F165" s="154"/>
      <c r="G165" s="154"/>
      <c r="H165" s="154"/>
      <c r="I165" s="154">
        <v>6.4</v>
      </c>
      <c r="J165" s="154">
        <v>15.6</v>
      </c>
      <c r="K165" s="154"/>
      <c r="L165" s="154"/>
      <c r="M165" s="154"/>
      <c r="P165" s="154"/>
      <c r="W165" s="154"/>
      <c r="X165" s="154"/>
      <c r="Y165" s="154"/>
      <c r="Z165" s="154"/>
      <c r="AA165" s="154"/>
      <c r="AB165" s="154"/>
      <c r="AC165" s="154"/>
      <c r="AD165" s="154"/>
      <c r="AE165" s="154"/>
      <c r="AF165" s="154"/>
      <c r="AG165" s="154"/>
      <c r="AH165" s="154"/>
      <c r="AI165" s="154"/>
      <c r="AJ165" s="154"/>
      <c r="AK165" s="154"/>
      <c r="AL165" s="154"/>
      <c r="AM165" s="154"/>
      <c r="AN165" s="154"/>
    </row>
    <row r="166" spans="1:40" ht="15.75" hidden="1" outlineLevel="1">
      <c r="A166" s="154" t="s">
        <v>765</v>
      </c>
      <c r="B166" s="167">
        <f>Interims!W53+Interims!X59</f>
        <v>8038</v>
      </c>
      <c r="C166" s="154"/>
      <c r="D166" s="154"/>
      <c r="E166" s="154"/>
      <c r="F166" s="154"/>
      <c r="G166" s="154"/>
      <c r="H166" s="154"/>
      <c r="I166" s="154">
        <v>4.5999999999999996</v>
      </c>
      <c r="J166" s="460">
        <f>J165*B161</f>
        <v>2995.2</v>
      </c>
      <c r="K166" s="154"/>
      <c r="L166" s="154"/>
      <c r="M166" s="154"/>
      <c r="P166" s="154"/>
      <c r="W166" s="154"/>
      <c r="X166" s="154"/>
      <c r="Y166" s="154"/>
      <c r="Z166" s="154"/>
      <c r="AA166" s="154"/>
      <c r="AB166" s="154"/>
      <c r="AC166" s="154"/>
      <c r="AD166" s="154"/>
      <c r="AE166" s="154"/>
      <c r="AF166" s="154"/>
      <c r="AG166" s="154"/>
      <c r="AH166" s="154"/>
      <c r="AI166" s="154"/>
      <c r="AJ166" s="154"/>
      <c r="AK166" s="154"/>
      <c r="AL166" s="154"/>
      <c r="AM166" s="154"/>
      <c r="AN166" s="154"/>
    </row>
    <row r="167" spans="1:40" ht="15.75" hidden="1" outlineLevel="1">
      <c r="A167" s="154" t="s">
        <v>766</v>
      </c>
      <c r="B167" s="167">
        <f>Interims!W54+Interims!X60</f>
        <v>13820.8</v>
      </c>
      <c r="C167" s="154"/>
      <c r="D167" s="154"/>
      <c r="E167" s="154"/>
      <c r="F167" s="154"/>
      <c r="G167" s="154"/>
      <c r="H167" s="154"/>
      <c r="I167" s="154">
        <f>I165+I166</f>
        <v>11</v>
      </c>
      <c r="J167" s="154">
        <f>J165*B162</f>
        <v>1326</v>
      </c>
      <c r="K167" s="154"/>
      <c r="L167" s="154"/>
      <c r="M167" s="154"/>
      <c r="P167" s="154"/>
      <c r="W167" s="154"/>
      <c r="X167" s="154"/>
      <c r="Y167" s="154"/>
      <c r="Z167" s="154"/>
      <c r="AA167" s="154"/>
      <c r="AB167" s="154"/>
      <c r="AC167" s="154"/>
      <c r="AD167" s="154"/>
      <c r="AE167" s="154"/>
      <c r="AF167" s="154"/>
      <c r="AG167" s="154"/>
      <c r="AH167" s="154"/>
      <c r="AI167" s="154"/>
      <c r="AJ167" s="154"/>
      <c r="AK167" s="154"/>
      <c r="AL167" s="154"/>
      <c r="AM167" s="154"/>
      <c r="AN167" s="154"/>
    </row>
    <row r="168" spans="1:40" ht="15.75" hidden="1" outlineLevel="1">
      <c r="A168" s="154" t="s">
        <v>767</v>
      </c>
      <c r="B168" s="167">
        <f>B154</f>
        <v>5691</v>
      </c>
      <c r="C168" s="154"/>
      <c r="D168" s="154"/>
      <c r="E168" s="154"/>
      <c r="F168" s="154"/>
      <c r="G168" s="154"/>
      <c r="H168" s="154"/>
      <c r="I168" s="626">
        <f>I167*1000/J167</f>
        <v>8.2956259426847669</v>
      </c>
      <c r="J168" s="154"/>
      <c r="K168" s="154"/>
      <c r="L168" s="154"/>
      <c r="M168" s="154"/>
      <c r="P168" s="154"/>
      <c r="Q168" s="154"/>
      <c r="R168" s="154"/>
      <c r="S168" s="154"/>
      <c r="T168" s="154"/>
      <c r="U168" s="154"/>
      <c r="V168" s="154"/>
      <c r="W168" s="154"/>
      <c r="X168" s="154"/>
      <c r="Y168" s="154"/>
      <c r="Z168" s="154"/>
      <c r="AA168" s="154"/>
      <c r="AB168" s="154"/>
      <c r="AC168" s="154"/>
      <c r="AD168" s="154"/>
      <c r="AE168" s="154"/>
      <c r="AF168" s="154"/>
      <c r="AG168" s="154"/>
      <c r="AH168" s="154"/>
      <c r="AI168" s="154"/>
      <c r="AJ168" s="154"/>
      <c r="AK168" s="154"/>
      <c r="AL168" s="154"/>
      <c r="AM168" s="154"/>
      <c r="AN168" s="154"/>
    </row>
    <row r="169" spans="1:40" ht="15.75" hidden="1" outlineLevel="1">
      <c r="A169" s="154" t="s">
        <v>768</v>
      </c>
      <c r="B169" s="167">
        <f>B156</f>
        <v>6829.2</v>
      </c>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c r="AA169" s="154"/>
      <c r="AB169" s="154"/>
      <c r="AC169" s="154"/>
      <c r="AD169" s="154"/>
      <c r="AE169" s="154"/>
      <c r="AF169" s="154"/>
      <c r="AG169" s="154"/>
      <c r="AH169" s="154"/>
      <c r="AI169" s="154"/>
      <c r="AJ169" s="154"/>
      <c r="AK169" s="154"/>
      <c r="AL169" s="154"/>
      <c r="AM169" s="154"/>
      <c r="AN169" s="154"/>
    </row>
    <row r="170" spans="1:40" ht="15.75" hidden="1" outlineLevel="1">
      <c r="A170" s="154"/>
      <c r="B170" s="627">
        <f>(B167+B169)/(B166+B168)</f>
        <v>1.5041153762109403</v>
      </c>
      <c r="C170" s="537"/>
      <c r="D170" s="537"/>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c r="AA170" s="154"/>
      <c r="AB170" s="154"/>
      <c r="AC170" s="154"/>
      <c r="AD170" s="154"/>
      <c r="AE170" s="154"/>
      <c r="AF170" s="154"/>
      <c r="AG170" s="154"/>
      <c r="AH170" s="154"/>
      <c r="AI170" s="154"/>
      <c r="AJ170" s="154"/>
      <c r="AK170" s="154"/>
      <c r="AL170" s="154"/>
      <c r="AM170" s="154"/>
      <c r="AN170" s="154"/>
    </row>
    <row r="171" spans="1:40" ht="15.75" hidden="1" outlineLevel="1">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c r="AA171" s="154"/>
      <c r="AB171" s="154"/>
      <c r="AC171" s="154"/>
      <c r="AD171" s="154"/>
      <c r="AE171" s="154"/>
      <c r="AF171" s="154"/>
      <c r="AG171" s="154"/>
      <c r="AH171" s="154"/>
      <c r="AI171" s="154"/>
      <c r="AJ171" s="154"/>
      <c r="AK171" s="154"/>
      <c r="AL171" s="154"/>
      <c r="AM171" s="154"/>
      <c r="AN171" s="154"/>
    </row>
    <row r="172" spans="1:40" ht="15.75" hidden="1" outlineLevel="1">
      <c r="A172" s="154"/>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54"/>
    </row>
    <row r="173" spans="1:40" ht="15.75" hidden="1" outlineLevel="1">
      <c r="A173" s="154" t="s">
        <v>845</v>
      </c>
      <c r="B173" s="167">
        <f>H98</f>
        <v>343.94499999999999</v>
      </c>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c r="AA173" s="154"/>
      <c r="AB173" s="154"/>
      <c r="AC173" s="154"/>
      <c r="AD173" s="154"/>
      <c r="AE173" s="154"/>
      <c r="AF173" s="154"/>
      <c r="AG173" s="154"/>
      <c r="AH173" s="154"/>
      <c r="AI173" s="154"/>
      <c r="AJ173" s="154"/>
      <c r="AK173" s="154"/>
      <c r="AL173" s="154"/>
      <c r="AM173" s="154"/>
      <c r="AN173" s="154"/>
    </row>
    <row r="174" spans="1:40" ht="15.75" hidden="1" outlineLevel="1">
      <c r="A174" s="154" t="s">
        <v>846</v>
      </c>
      <c r="B174" s="167">
        <f>B161</f>
        <v>192</v>
      </c>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c r="AA174" s="154"/>
      <c r="AB174" s="154"/>
      <c r="AC174" s="154"/>
      <c r="AD174" s="154"/>
      <c r="AE174" s="154"/>
      <c r="AF174" s="154"/>
      <c r="AG174" s="154"/>
      <c r="AH174" s="154"/>
      <c r="AI174" s="154"/>
      <c r="AJ174" s="154"/>
      <c r="AK174" s="154"/>
      <c r="AL174" s="154"/>
      <c r="AM174" s="154"/>
      <c r="AN174" s="154"/>
    </row>
    <row r="175" spans="1:40" ht="15.75" hidden="1" outlineLevel="1">
      <c r="A175" s="160" t="s">
        <v>661</v>
      </c>
      <c r="B175" s="168">
        <f>B173+B174</f>
        <v>535.94499999999994</v>
      </c>
      <c r="C175" s="154"/>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c r="AA175" s="154"/>
      <c r="AB175" s="154"/>
      <c r="AC175" s="154"/>
      <c r="AD175" s="154"/>
      <c r="AE175" s="154"/>
      <c r="AF175" s="154"/>
      <c r="AG175" s="154"/>
      <c r="AH175" s="154"/>
      <c r="AI175" s="154"/>
      <c r="AJ175" s="154"/>
      <c r="AK175" s="154"/>
      <c r="AL175" s="154"/>
      <c r="AM175" s="154"/>
      <c r="AN175" s="154"/>
    </row>
    <row r="176" spans="1:40" ht="15.75" hidden="1" outlineLevel="1">
      <c r="A176" s="154"/>
      <c r="B176" s="167"/>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c r="AA176" s="154"/>
      <c r="AB176" s="154"/>
      <c r="AC176" s="154"/>
      <c r="AD176" s="154"/>
      <c r="AE176" s="154"/>
      <c r="AF176" s="154"/>
      <c r="AG176" s="154"/>
      <c r="AH176" s="154"/>
      <c r="AI176" s="154"/>
      <c r="AJ176" s="154"/>
      <c r="AK176" s="154"/>
      <c r="AL176" s="154"/>
      <c r="AM176" s="154"/>
      <c r="AN176" s="154"/>
    </row>
    <row r="177" spans="1:40" ht="15.75" hidden="1" outlineLevel="1">
      <c r="A177" s="154" t="s">
        <v>847</v>
      </c>
      <c r="B177" s="167">
        <f>H112</f>
        <v>190.654</v>
      </c>
      <c r="C177" s="154"/>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c r="AA177" s="154"/>
      <c r="AB177" s="154"/>
      <c r="AC177" s="154"/>
      <c r="AD177" s="154"/>
      <c r="AE177" s="154"/>
      <c r="AF177" s="154"/>
      <c r="AG177" s="154"/>
      <c r="AH177" s="154"/>
      <c r="AI177" s="154"/>
      <c r="AJ177" s="154"/>
      <c r="AK177" s="154"/>
      <c r="AL177" s="154"/>
      <c r="AM177" s="154"/>
      <c r="AN177" s="154"/>
    </row>
    <row r="178" spans="1:40" ht="15.75" hidden="1" outlineLevel="1">
      <c r="A178" s="154" t="s">
        <v>848</v>
      </c>
      <c r="B178" s="167">
        <f>B162</f>
        <v>85</v>
      </c>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c r="AA178" s="154"/>
      <c r="AB178" s="154"/>
      <c r="AC178" s="154"/>
      <c r="AD178" s="154"/>
      <c r="AE178" s="154"/>
      <c r="AF178" s="154"/>
      <c r="AG178" s="154"/>
      <c r="AH178" s="154"/>
      <c r="AI178" s="154"/>
      <c r="AJ178" s="154"/>
      <c r="AK178" s="154"/>
      <c r="AL178" s="154"/>
      <c r="AM178" s="154"/>
      <c r="AN178" s="154"/>
    </row>
    <row r="179" spans="1:40" ht="15.75" hidden="1" outlineLevel="1">
      <c r="A179" s="160" t="s">
        <v>661</v>
      </c>
      <c r="B179" s="168">
        <f>B177+B178</f>
        <v>275.654</v>
      </c>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c r="AA179" s="154"/>
      <c r="AB179" s="154"/>
      <c r="AC179" s="154"/>
      <c r="AD179" s="154"/>
      <c r="AE179" s="154"/>
      <c r="AF179" s="154"/>
      <c r="AG179" s="154"/>
      <c r="AH179" s="154"/>
      <c r="AI179" s="154"/>
      <c r="AJ179" s="154"/>
      <c r="AK179" s="154"/>
      <c r="AL179" s="154"/>
      <c r="AM179" s="154"/>
      <c r="AN179" s="154"/>
    </row>
    <row r="180" spans="1:40" ht="15.75" hidden="1" outlineLevel="1">
      <c r="A180" s="160" t="s">
        <v>663</v>
      </c>
      <c r="B180" s="539">
        <f>B179/B175</f>
        <v>0.51433262741512664</v>
      </c>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c r="AA180" s="154"/>
      <c r="AB180" s="154"/>
      <c r="AC180" s="154"/>
      <c r="AD180" s="154"/>
      <c r="AE180" s="154"/>
      <c r="AF180" s="154"/>
      <c r="AG180" s="154"/>
      <c r="AH180" s="154"/>
      <c r="AI180" s="154"/>
      <c r="AJ180" s="154"/>
      <c r="AK180" s="154"/>
      <c r="AL180" s="154"/>
      <c r="AM180" s="154"/>
      <c r="AN180" s="154"/>
    </row>
    <row r="181" spans="1:40" ht="15.75" hidden="1" outlineLevel="1">
      <c r="A181" s="154"/>
      <c r="B181" s="154"/>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c r="AA181" s="154"/>
      <c r="AB181" s="154"/>
      <c r="AC181" s="154"/>
      <c r="AD181" s="154"/>
      <c r="AE181" s="154"/>
      <c r="AF181" s="154"/>
      <c r="AG181" s="154"/>
      <c r="AH181" s="154"/>
      <c r="AI181" s="154"/>
      <c r="AJ181" s="154"/>
      <c r="AK181" s="154"/>
      <c r="AL181" s="154"/>
      <c r="AM181" s="154"/>
      <c r="AN181" s="154"/>
    </row>
    <row r="182" spans="1:40" ht="15.75" hidden="1" outlineLevel="1">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c r="AA182" s="154"/>
      <c r="AB182" s="154"/>
      <c r="AC182" s="154"/>
      <c r="AD182" s="154"/>
      <c r="AE182" s="154"/>
      <c r="AF182" s="154"/>
      <c r="AG182" s="154"/>
      <c r="AH182" s="154"/>
      <c r="AI182" s="154"/>
      <c r="AJ182" s="154"/>
      <c r="AK182" s="154"/>
      <c r="AL182" s="154"/>
      <c r="AM182" s="154"/>
      <c r="AN182" s="154"/>
    </row>
    <row r="183" spans="1:40" ht="15.75" collapsed="1">
      <c r="A183" s="154"/>
      <c r="B183" s="154"/>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c r="AA183" s="154"/>
      <c r="AB183" s="154"/>
      <c r="AC183" s="154"/>
      <c r="AD183" s="154"/>
      <c r="AE183" s="154"/>
      <c r="AF183" s="154"/>
      <c r="AG183" s="154"/>
      <c r="AH183" s="154"/>
      <c r="AI183" s="154"/>
      <c r="AJ183" s="154"/>
      <c r="AK183" s="154"/>
      <c r="AL183" s="154"/>
      <c r="AM183" s="154"/>
      <c r="AN183" s="154"/>
    </row>
    <row r="184" spans="1:40" ht="15.75">
      <c r="A184" s="154"/>
      <c r="B184" s="154"/>
      <c r="C184" s="154"/>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c r="AA184" s="154"/>
      <c r="AB184" s="154"/>
      <c r="AC184" s="154"/>
      <c r="AD184" s="154"/>
      <c r="AE184" s="154"/>
      <c r="AF184" s="154"/>
      <c r="AG184" s="154"/>
      <c r="AH184" s="154"/>
      <c r="AI184" s="154"/>
      <c r="AJ184" s="154"/>
      <c r="AK184" s="154"/>
      <c r="AL184" s="154"/>
      <c r="AM184" s="154"/>
      <c r="AN184" s="154"/>
    </row>
    <row r="185" spans="1:40" ht="15.75">
      <c r="A185" s="154"/>
      <c r="B185" s="154"/>
      <c r="C185" s="154"/>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c r="AA185" s="154"/>
      <c r="AB185" s="154"/>
      <c r="AC185" s="154"/>
      <c r="AD185" s="154"/>
      <c r="AE185" s="154"/>
      <c r="AF185" s="154"/>
      <c r="AG185" s="154"/>
      <c r="AH185" s="154"/>
      <c r="AI185" s="154"/>
      <c r="AJ185" s="154"/>
      <c r="AK185" s="154"/>
      <c r="AL185" s="154"/>
      <c r="AM185" s="154"/>
      <c r="AN185" s="154"/>
    </row>
    <row r="186" spans="1:40" ht="15.75">
      <c r="A186" s="154"/>
      <c r="B186" s="154"/>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c r="AA186" s="154"/>
      <c r="AB186" s="154"/>
      <c r="AC186" s="154"/>
      <c r="AD186" s="154"/>
      <c r="AE186" s="154"/>
      <c r="AF186" s="154"/>
      <c r="AG186" s="154"/>
      <c r="AH186" s="154"/>
      <c r="AI186" s="154"/>
      <c r="AJ186" s="154"/>
      <c r="AK186" s="154"/>
      <c r="AL186" s="154"/>
      <c r="AM186" s="154"/>
      <c r="AN186" s="154"/>
    </row>
    <row r="187" spans="1:40" ht="15.75">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c r="AA187" s="154"/>
      <c r="AB187" s="154"/>
      <c r="AC187" s="154"/>
      <c r="AD187" s="154"/>
      <c r="AE187" s="154"/>
      <c r="AF187" s="154"/>
      <c r="AG187" s="154"/>
      <c r="AH187" s="154"/>
      <c r="AI187" s="154"/>
      <c r="AJ187" s="154"/>
      <c r="AK187" s="154"/>
      <c r="AL187" s="154"/>
      <c r="AM187" s="154"/>
      <c r="AN187" s="154"/>
    </row>
    <row r="188" spans="1:40" ht="15.75">
      <c r="A188" s="154"/>
      <c r="B188" s="154"/>
      <c r="C188" s="154"/>
      <c r="D188" s="154"/>
      <c r="E188" s="154"/>
      <c r="F188" s="154"/>
      <c r="G188" s="154"/>
      <c r="H188" s="154"/>
      <c r="I188" s="154"/>
      <c r="J188" s="154"/>
      <c r="K188" s="154"/>
      <c r="L188" s="154"/>
      <c r="M188" s="154"/>
      <c r="N188" s="154"/>
      <c r="O188" s="154"/>
      <c r="P188" s="154"/>
      <c r="Q188" s="154"/>
      <c r="R188" s="154"/>
      <c r="S188" s="154"/>
      <c r="T188" s="154">
        <f>K68/K70</f>
        <v>0.13376136971642591</v>
      </c>
      <c r="U188" s="165">
        <v>0.6</v>
      </c>
      <c r="V188" s="154">
        <f>T188*U188</f>
        <v>8.0256821829855537E-2</v>
      </c>
      <c r="W188" s="154"/>
      <c r="X188" s="154"/>
      <c r="Y188" s="154"/>
      <c r="Z188" s="154"/>
      <c r="AA188" s="154"/>
      <c r="AB188" s="154"/>
      <c r="AC188" s="154"/>
      <c r="AD188" s="154"/>
      <c r="AE188" s="154"/>
      <c r="AF188" s="154"/>
      <c r="AG188" s="154"/>
      <c r="AH188" s="154"/>
      <c r="AI188" s="154"/>
      <c r="AJ188" s="154"/>
      <c r="AK188" s="154"/>
      <c r="AL188" s="154"/>
      <c r="AM188" s="154"/>
      <c r="AN188" s="154"/>
    </row>
    <row r="189" spans="1:40" ht="15.75">
      <c r="A189" s="154"/>
      <c r="B189" s="154"/>
      <c r="C189" s="154"/>
      <c r="D189" s="154"/>
      <c r="E189" s="154"/>
      <c r="F189" s="154"/>
      <c r="G189" s="154"/>
      <c r="H189" s="154"/>
      <c r="I189" s="154"/>
      <c r="J189" s="154"/>
      <c r="K189" s="154"/>
      <c r="L189" s="154"/>
      <c r="M189" s="154"/>
      <c r="N189" s="154"/>
      <c r="O189" s="154"/>
      <c r="P189" s="154"/>
      <c r="Q189" s="154"/>
      <c r="R189" s="154"/>
      <c r="S189" s="154"/>
      <c r="T189" s="154">
        <f>1-T188</f>
        <v>0.86623863028357406</v>
      </c>
      <c r="U189" s="154"/>
      <c r="V189" s="154">
        <f>T189*U189</f>
        <v>0</v>
      </c>
      <c r="W189" s="154"/>
      <c r="X189" s="154"/>
      <c r="Y189" s="154"/>
      <c r="Z189" s="154"/>
      <c r="AA189" s="154"/>
      <c r="AB189" s="154"/>
      <c r="AC189" s="154"/>
      <c r="AD189" s="154"/>
      <c r="AE189" s="154"/>
      <c r="AF189" s="154"/>
      <c r="AG189" s="154"/>
      <c r="AH189" s="154"/>
      <c r="AI189" s="154"/>
      <c r="AJ189" s="154"/>
      <c r="AK189" s="154"/>
      <c r="AL189" s="154"/>
      <c r="AM189" s="154"/>
      <c r="AN189" s="154"/>
    </row>
    <row r="190" spans="1:40" ht="15.75">
      <c r="A190" s="154"/>
      <c r="B190" s="154"/>
      <c r="C190" s="154"/>
      <c r="D190" s="154"/>
      <c r="E190" s="154"/>
      <c r="F190" s="154"/>
      <c r="G190" s="154"/>
      <c r="H190" s="154"/>
      <c r="I190" s="154"/>
      <c r="J190" s="154"/>
      <c r="K190" s="154"/>
      <c r="L190" s="154"/>
      <c r="M190" s="154"/>
      <c r="N190" s="154"/>
      <c r="O190" s="154"/>
      <c r="P190" s="154"/>
      <c r="Q190" s="154"/>
      <c r="R190" s="154"/>
      <c r="S190" s="154"/>
      <c r="T190" s="154"/>
      <c r="U190" s="154"/>
      <c r="V190" s="154">
        <f>V188+V189</f>
        <v>8.0256821829855537E-2</v>
      </c>
      <c r="W190" s="154"/>
      <c r="X190" s="154"/>
      <c r="Y190" s="154"/>
      <c r="Z190" s="154"/>
      <c r="AA190" s="154"/>
      <c r="AB190" s="154"/>
      <c r="AC190" s="154"/>
      <c r="AD190" s="154"/>
      <c r="AE190" s="154"/>
      <c r="AF190" s="154"/>
      <c r="AG190" s="154"/>
      <c r="AH190" s="154"/>
      <c r="AI190" s="154"/>
      <c r="AJ190" s="154"/>
      <c r="AK190" s="154"/>
      <c r="AL190" s="154"/>
      <c r="AM190" s="154"/>
      <c r="AN190" s="154"/>
    </row>
    <row r="191" spans="1:40" ht="15.75">
      <c r="A191" s="154"/>
      <c r="B191" s="154"/>
      <c r="C191" s="154"/>
      <c r="D191" s="154"/>
      <c r="E191" s="154"/>
      <c r="F191" s="154"/>
      <c r="G191" s="154"/>
      <c r="H191" s="154"/>
      <c r="I191" s="154"/>
      <c r="J191" s="154"/>
      <c r="K191" s="154"/>
      <c r="L191" s="154"/>
      <c r="M191" s="154"/>
      <c r="N191" s="154"/>
      <c r="O191" s="154"/>
      <c r="P191" s="154"/>
      <c r="Q191" s="154"/>
      <c r="R191" s="154"/>
      <c r="S191" s="154"/>
      <c r="T191" s="154"/>
      <c r="U191" s="154"/>
      <c r="V191" s="154"/>
      <c r="W191" s="154"/>
      <c r="X191" s="154"/>
      <c r="Y191" s="154"/>
      <c r="Z191" s="154"/>
      <c r="AA191" s="154"/>
      <c r="AB191" s="154"/>
      <c r="AC191" s="154"/>
      <c r="AD191" s="154"/>
      <c r="AE191" s="154"/>
      <c r="AF191" s="154"/>
      <c r="AG191" s="154"/>
      <c r="AH191" s="154"/>
      <c r="AI191" s="154"/>
      <c r="AJ191" s="154"/>
      <c r="AK191" s="154"/>
      <c r="AL191" s="154"/>
      <c r="AM191" s="154"/>
      <c r="AN191" s="154"/>
    </row>
    <row r="192" spans="1:40" ht="15.75">
      <c r="A192" s="154"/>
      <c r="B192" s="154"/>
      <c r="C192" s="154"/>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54"/>
      <c r="Z192" s="154"/>
      <c r="AA192" s="154"/>
      <c r="AB192" s="154"/>
      <c r="AC192" s="154"/>
      <c r="AD192" s="154"/>
      <c r="AE192" s="154"/>
      <c r="AF192" s="154"/>
      <c r="AG192" s="154"/>
      <c r="AH192" s="154"/>
      <c r="AI192" s="154"/>
      <c r="AJ192" s="154"/>
      <c r="AK192" s="154"/>
      <c r="AL192" s="154"/>
      <c r="AM192" s="154"/>
      <c r="AN192" s="154"/>
    </row>
    <row r="193" spans="1:40" ht="15.75">
      <c r="A193" s="154"/>
      <c r="B193" s="154"/>
      <c r="C193" s="154"/>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c r="AA193" s="154"/>
      <c r="AB193" s="154"/>
      <c r="AC193" s="154"/>
      <c r="AD193" s="154"/>
      <c r="AE193" s="154"/>
      <c r="AF193" s="154"/>
      <c r="AG193" s="154"/>
      <c r="AH193" s="154"/>
      <c r="AI193" s="154"/>
      <c r="AJ193" s="154"/>
      <c r="AK193" s="154"/>
      <c r="AL193" s="154"/>
      <c r="AM193" s="154"/>
      <c r="AN193" s="154"/>
    </row>
    <row r="194" spans="1:40" ht="15.75">
      <c r="A194" s="154"/>
      <c r="B194" s="154"/>
      <c r="C194" s="154"/>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c r="AA194" s="154"/>
      <c r="AB194" s="154"/>
      <c r="AC194" s="154"/>
      <c r="AD194" s="154"/>
      <c r="AE194" s="154"/>
      <c r="AF194" s="154"/>
      <c r="AG194" s="154"/>
      <c r="AH194" s="154"/>
      <c r="AI194" s="154"/>
      <c r="AJ194" s="154"/>
      <c r="AK194" s="154"/>
      <c r="AL194" s="154"/>
      <c r="AM194" s="154"/>
      <c r="AN194" s="154"/>
    </row>
    <row r="195" spans="1:40" ht="15.75">
      <c r="A195" s="154"/>
      <c r="B195" s="154"/>
      <c r="C195" s="154"/>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c r="AA195" s="154"/>
      <c r="AB195" s="154"/>
      <c r="AC195" s="154"/>
      <c r="AD195" s="154"/>
      <c r="AE195" s="154"/>
      <c r="AF195" s="154"/>
      <c r="AG195" s="154"/>
      <c r="AH195" s="154"/>
      <c r="AI195" s="154"/>
      <c r="AJ195" s="154"/>
      <c r="AK195" s="154"/>
      <c r="AL195" s="154"/>
      <c r="AM195" s="154"/>
      <c r="AN195" s="154"/>
    </row>
    <row r="196" spans="1:40" ht="15.75">
      <c r="A196" s="154"/>
      <c r="B196" s="154"/>
      <c r="C196" s="154"/>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c r="AA196" s="154"/>
      <c r="AB196" s="154"/>
      <c r="AC196" s="154"/>
      <c r="AD196" s="154"/>
      <c r="AE196" s="154"/>
      <c r="AF196" s="154"/>
      <c r="AG196" s="154"/>
      <c r="AH196" s="154"/>
      <c r="AI196" s="154"/>
      <c r="AJ196" s="154"/>
      <c r="AK196" s="154"/>
      <c r="AL196" s="154"/>
      <c r="AM196" s="154"/>
      <c r="AN196" s="154"/>
    </row>
    <row r="197" spans="1:40" ht="15.75">
      <c r="A197" s="154"/>
      <c r="B197" s="154"/>
      <c r="C197" s="154"/>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4"/>
      <c r="Z197" s="154"/>
      <c r="AA197" s="154"/>
      <c r="AB197" s="154"/>
      <c r="AC197" s="154"/>
      <c r="AD197" s="154"/>
      <c r="AE197" s="154"/>
      <c r="AF197" s="154"/>
      <c r="AG197" s="154"/>
      <c r="AH197" s="154"/>
      <c r="AI197" s="154"/>
      <c r="AJ197" s="154"/>
      <c r="AK197" s="154"/>
      <c r="AL197" s="154"/>
      <c r="AM197" s="154"/>
      <c r="AN197" s="154"/>
    </row>
    <row r="198" spans="1:40" ht="15.75">
      <c r="A198" s="154"/>
      <c r="B198" s="154"/>
      <c r="C198" s="154"/>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c r="AA198" s="154"/>
      <c r="AB198" s="154"/>
      <c r="AC198" s="154"/>
      <c r="AD198" s="154"/>
      <c r="AE198" s="154"/>
      <c r="AF198" s="154"/>
      <c r="AG198" s="154"/>
      <c r="AH198" s="154"/>
      <c r="AI198" s="154"/>
      <c r="AJ198" s="154"/>
      <c r="AK198" s="154"/>
      <c r="AL198" s="154"/>
      <c r="AM198" s="154"/>
      <c r="AN198" s="154"/>
    </row>
    <row r="199" spans="1:40" ht="15.75">
      <c r="A199" s="154"/>
      <c r="B199" s="154"/>
      <c r="C199" s="154"/>
      <c r="D199" s="154"/>
      <c r="E199" s="154"/>
      <c r="F199" s="154"/>
      <c r="G199" s="154"/>
      <c r="H199" s="154"/>
      <c r="I199" s="154"/>
      <c r="J199" s="154"/>
      <c r="K199" s="154"/>
      <c r="L199" s="154"/>
      <c r="M199" s="154"/>
      <c r="N199" s="154"/>
      <c r="O199" s="154"/>
      <c r="P199" s="154"/>
      <c r="Q199" s="154"/>
      <c r="R199" s="154"/>
      <c r="S199" s="154"/>
      <c r="T199" s="154"/>
      <c r="U199" s="154"/>
      <c r="V199" s="154"/>
      <c r="W199" s="154"/>
      <c r="X199" s="154"/>
      <c r="Y199" s="154"/>
      <c r="Z199" s="154"/>
      <c r="AA199" s="154"/>
      <c r="AB199" s="154"/>
      <c r="AC199" s="154"/>
      <c r="AD199" s="154"/>
      <c r="AE199" s="154"/>
      <c r="AF199" s="154"/>
      <c r="AG199" s="154"/>
      <c r="AH199" s="154"/>
      <c r="AI199" s="154"/>
      <c r="AJ199" s="154"/>
      <c r="AK199" s="154"/>
      <c r="AL199" s="154"/>
      <c r="AM199" s="154"/>
      <c r="AN199" s="154"/>
    </row>
    <row r="200" spans="1:40" ht="15.75">
      <c r="A200" s="154"/>
      <c r="B200" s="154"/>
      <c r="C200" s="154"/>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4"/>
      <c r="Z200" s="154"/>
      <c r="AA200" s="154"/>
      <c r="AB200" s="154"/>
      <c r="AC200" s="154"/>
      <c r="AD200" s="154"/>
      <c r="AE200" s="154"/>
      <c r="AF200" s="154"/>
      <c r="AG200" s="154"/>
      <c r="AH200" s="154"/>
      <c r="AI200" s="154"/>
      <c r="AJ200" s="154"/>
      <c r="AK200" s="154"/>
      <c r="AL200" s="154"/>
      <c r="AM200" s="154"/>
      <c r="AN200" s="154"/>
    </row>
    <row r="201" spans="1:40" ht="15.75">
      <c r="A201" s="154"/>
      <c r="B201" s="154"/>
      <c r="C201" s="154"/>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4"/>
      <c r="Z201" s="154"/>
      <c r="AA201" s="154"/>
      <c r="AB201" s="154"/>
      <c r="AC201" s="154"/>
      <c r="AD201" s="154"/>
      <c r="AE201" s="154"/>
      <c r="AF201" s="154"/>
      <c r="AG201" s="154"/>
      <c r="AH201" s="154"/>
      <c r="AI201" s="154"/>
      <c r="AJ201" s="154"/>
      <c r="AK201" s="154"/>
      <c r="AL201" s="154"/>
      <c r="AM201" s="154"/>
      <c r="AN201" s="154"/>
    </row>
    <row r="202" spans="1:40" ht="15.75">
      <c r="A202" s="154"/>
      <c r="B202" s="154"/>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c r="AA202" s="154"/>
      <c r="AB202" s="154"/>
      <c r="AC202" s="154"/>
      <c r="AD202" s="154"/>
      <c r="AE202" s="154"/>
      <c r="AF202" s="154"/>
      <c r="AG202" s="154"/>
      <c r="AH202" s="154"/>
      <c r="AI202" s="154"/>
      <c r="AJ202" s="154"/>
      <c r="AK202" s="154"/>
      <c r="AL202" s="154"/>
      <c r="AM202" s="154"/>
      <c r="AN202" s="154"/>
    </row>
    <row r="203" spans="1:40" ht="15.75">
      <c r="A203" s="154"/>
      <c r="B203" s="154"/>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c r="AA203" s="154"/>
      <c r="AB203" s="154"/>
      <c r="AC203" s="154"/>
      <c r="AD203" s="154"/>
      <c r="AE203" s="154"/>
      <c r="AF203" s="154"/>
      <c r="AG203" s="154"/>
      <c r="AH203" s="154"/>
      <c r="AI203" s="154"/>
      <c r="AJ203" s="154"/>
      <c r="AK203" s="154"/>
      <c r="AL203" s="154"/>
      <c r="AM203" s="154"/>
      <c r="AN203" s="154"/>
    </row>
    <row r="204" spans="1:40" ht="15.75">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c r="AA204" s="154"/>
      <c r="AB204" s="154"/>
      <c r="AC204" s="154"/>
      <c r="AD204" s="154"/>
      <c r="AE204" s="154"/>
      <c r="AF204" s="154"/>
      <c r="AG204" s="154"/>
      <c r="AH204" s="154"/>
      <c r="AI204" s="154"/>
      <c r="AJ204" s="154"/>
      <c r="AK204" s="154"/>
      <c r="AL204" s="154"/>
      <c r="AM204" s="154"/>
      <c r="AN204" s="154"/>
    </row>
    <row r="205" spans="1:40" ht="15.75">
      <c r="A205" s="154"/>
      <c r="B205" s="154"/>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c r="AA205" s="154"/>
      <c r="AB205" s="154"/>
      <c r="AC205" s="154"/>
      <c r="AD205" s="154"/>
      <c r="AE205" s="154"/>
      <c r="AF205" s="154"/>
      <c r="AG205" s="154"/>
      <c r="AH205" s="154"/>
      <c r="AI205" s="154"/>
      <c r="AJ205" s="154"/>
      <c r="AK205" s="154"/>
      <c r="AL205" s="154"/>
      <c r="AM205" s="154"/>
      <c r="AN205" s="154"/>
    </row>
    <row r="206" spans="1:40" ht="15.75">
      <c r="A206" s="154"/>
      <c r="B206" s="154"/>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c r="AA206" s="154"/>
      <c r="AB206" s="154"/>
      <c r="AC206" s="154"/>
      <c r="AD206" s="154"/>
      <c r="AE206" s="154"/>
      <c r="AF206" s="154"/>
      <c r="AG206" s="154"/>
      <c r="AH206" s="154"/>
      <c r="AI206" s="154"/>
      <c r="AJ206" s="154"/>
      <c r="AK206" s="154"/>
      <c r="AL206" s="154"/>
      <c r="AM206" s="154"/>
      <c r="AN206" s="154"/>
    </row>
    <row r="207" spans="1:40" ht="15.75">
      <c r="A207" s="154"/>
      <c r="B207" s="154"/>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c r="AA207" s="154"/>
      <c r="AB207" s="154"/>
      <c r="AC207" s="154"/>
      <c r="AD207" s="154"/>
      <c r="AE207" s="154"/>
      <c r="AF207" s="154"/>
      <c r="AG207" s="154"/>
      <c r="AH207" s="154"/>
      <c r="AI207" s="154"/>
      <c r="AJ207" s="154"/>
      <c r="AK207" s="154"/>
      <c r="AL207" s="154"/>
      <c r="AM207" s="154"/>
      <c r="AN207" s="154"/>
    </row>
    <row r="208" spans="1:40" ht="15.75">
      <c r="A208" s="154"/>
      <c r="B208" s="154"/>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154"/>
      <c r="AA208" s="154"/>
      <c r="AB208" s="154"/>
      <c r="AC208" s="154"/>
      <c r="AD208" s="154"/>
      <c r="AE208" s="154"/>
      <c r="AF208" s="154"/>
      <c r="AG208" s="154"/>
      <c r="AH208" s="154"/>
      <c r="AI208" s="154"/>
      <c r="AJ208" s="154"/>
      <c r="AK208" s="154"/>
      <c r="AL208" s="154"/>
      <c r="AM208" s="154"/>
      <c r="AN208" s="154"/>
    </row>
    <row r="209" spans="1:40" ht="15.75">
      <c r="A209" s="154"/>
      <c r="B209" s="154"/>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c r="AA209" s="154"/>
      <c r="AB209" s="154"/>
      <c r="AC209" s="154"/>
      <c r="AD209" s="154"/>
      <c r="AE209" s="154"/>
      <c r="AF209" s="154"/>
      <c r="AG209" s="154"/>
      <c r="AH209" s="154"/>
      <c r="AI209" s="154"/>
      <c r="AJ209" s="154"/>
      <c r="AK209" s="154"/>
      <c r="AL209" s="154"/>
      <c r="AM209" s="154"/>
      <c r="AN209" s="154"/>
    </row>
    <row r="210" spans="1:40" ht="15.75">
      <c r="A210" s="154"/>
      <c r="B210" s="154"/>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c r="AA210" s="154"/>
      <c r="AB210" s="154"/>
      <c r="AC210" s="154"/>
      <c r="AD210" s="154"/>
      <c r="AE210" s="154"/>
      <c r="AF210" s="154"/>
      <c r="AG210" s="154"/>
      <c r="AH210" s="154"/>
      <c r="AI210" s="154"/>
      <c r="AJ210" s="154"/>
      <c r="AK210" s="154"/>
      <c r="AL210" s="154"/>
      <c r="AM210" s="154"/>
      <c r="AN210" s="154"/>
    </row>
    <row r="211" spans="1:40" ht="15.75">
      <c r="A211" s="154"/>
      <c r="B211" s="154"/>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c r="AA211" s="154"/>
      <c r="AB211" s="154"/>
      <c r="AC211" s="154"/>
      <c r="AD211" s="154"/>
      <c r="AE211" s="154"/>
      <c r="AF211" s="154"/>
      <c r="AG211" s="154"/>
      <c r="AH211" s="154"/>
      <c r="AI211" s="154"/>
      <c r="AJ211" s="154"/>
      <c r="AK211" s="154"/>
      <c r="AL211" s="154"/>
      <c r="AM211" s="154"/>
      <c r="AN211" s="154"/>
    </row>
    <row r="212" spans="1:40" ht="15.75">
      <c r="A212" s="15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c r="AA212" s="154"/>
      <c r="AB212" s="154"/>
      <c r="AC212" s="154"/>
      <c r="AD212" s="154"/>
      <c r="AE212" s="154"/>
      <c r="AF212" s="154"/>
      <c r="AG212" s="154"/>
      <c r="AH212" s="154"/>
      <c r="AI212" s="154"/>
      <c r="AJ212" s="154"/>
      <c r="AK212" s="154"/>
      <c r="AL212" s="154"/>
      <c r="AM212" s="154"/>
      <c r="AN212" s="154"/>
    </row>
    <row r="213" spans="1:40" ht="15.75">
      <c r="A213" s="154"/>
      <c r="B213" s="154"/>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154"/>
      <c r="AA213" s="154"/>
      <c r="AB213" s="154"/>
      <c r="AC213" s="154"/>
      <c r="AD213" s="154"/>
      <c r="AE213" s="154"/>
      <c r="AF213" s="154"/>
      <c r="AG213" s="154"/>
      <c r="AH213" s="154"/>
      <c r="AI213" s="154"/>
      <c r="AJ213" s="154"/>
      <c r="AK213" s="154"/>
      <c r="AL213" s="154"/>
      <c r="AM213" s="154"/>
      <c r="AN213" s="154"/>
    </row>
    <row r="214" spans="1:40" ht="15.75">
      <c r="A214" s="154"/>
      <c r="B214" s="154"/>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154"/>
      <c r="AA214" s="154"/>
      <c r="AB214" s="154"/>
      <c r="AC214" s="154"/>
      <c r="AD214" s="154"/>
      <c r="AE214" s="154"/>
      <c r="AF214" s="154"/>
      <c r="AG214" s="154"/>
      <c r="AH214" s="154"/>
      <c r="AI214" s="154"/>
      <c r="AJ214" s="154"/>
      <c r="AK214" s="154"/>
      <c r="AL214" s="154"/>
      <c r="AM214" s="154"/>
      <c r="AN214" s="154"/>
    </row>
    <row r="215" spans="1:40" ht="15.75">
      <c r="A215" s="154"/>
      <c r="B215" s="154"/>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c r="AA215" s="154"/>
      <c r="AB215" s="154"/>
      <c r="AC215" s="154"/>
      <c r="AD215" s="154"/>
      <c r="AE215" s="154"/>
      <c r="AF215" s="154"/>
      <c r="AG215" s="154"/>
      <c r="AH215" s="154"/>
      <c r="AI215" s="154"/>
      <c r="AJ215" s="154"/>
      <c r="AK215" s="154"/>
      <c r="AL215" s="154"/>
      <c r="AM215" s="154"/>
      <c r="AN215" s="154"/>
    </row>
    <row r="216" spans="1:40" ht="15.75">
      <c r="A216" s="154"/>
      <c r="B216" s="154"/>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c r="AA216" s="154"/>
      <c r="AB216" s="154"/>
      <c r="AC216" s="154"/>
      <c r="AD216" s="154"/>
      <c r="AE216" s="154"/>
      <c r="AF216" s="154"/>
      <c r="AG216" s="154"/>
      <c r="AH216" s="154"/>
      <c r="AI216" s="154"/>
      <c r="AJ216" s="154"/>
      <c r="AK216" s="154"/>
      <c r="AL216" s="154"/>
      <c r="AM216" s="154"/>
      <c r="AN216" s="154"/>
    </row>
    <row r="217" spans="1:40" ht="15.75">
      <c r="A217" s="154"/>
      <c r="B217" s="154"/>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c r="AA217" s="154"/>
      <c r="AB217" s="154"/>
      <c r="AC217" s="154"/>
      <c r="AD217" s="154"/>
      <c r="AE217" s="154"/>
      <c r="AF217" s="154"/>
      <c r="AG217" s="154"/>
      <c r="AH217" s="154"/>
      <c r="AI217" s="154"/>
      <c r="AJ217" s="154"/>
      <c r="AK217" s="154"/>
      <c r="AL217" s="154"/>
      <c r="AM217" s="154"/>
      <c r="AN217" s="154"/>
    </row>
    <row r="218" spans="1:40" ht="15.75">
      <c r="A218" s="154"/>
      <c r="B218" s="154"/>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54"/>
      <c r="AA218" s="154"/>
      <c r="AB218" s="154"/>
      <c r="AC218" s="154"/>
      <c r="AD218" s="154"/>
      <c r="AE218" s="154"/>
      <c r="AF218" s="154"/>
      <c r="AG218" s="154"/>
      <c r="AH218" s="154"/>
      <c r="AI218" s="154"/>
      <c r="AJ218" s="154"/>
      <c r="AK218" s="154"/>
      <c r="AL218" s="154"/>
      <c r="AM218" s="154"/>
      <c r="AN218" s="154"/>
    </row>
    <row r="219" spans="1:40" ht="15.75">
      <c r="A219" s="154"/>
      <c r="B219" s="154"/>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c r="AA219" s="154"/>
      <c r="AB219" s="154"/>
      <c r="AC219" s="154"/>
      <c r="AD219" s="154"/>
      <c r="AE219" s="154"/>
      <c r="AF219" s="154"/>
      <c r="AG219" s="154"/>
      <c r="AH219" s="154"/>
      <c r="AI219" s="154"/>
      <c r="AJ219" s="154"/>
      <c r="AK219" s="154"/>
      <c r="AL219" s="154"/>
      <c r="AM219" s="154"/>
      <c r="AN219" s="154"/>
    </row>
    <row r="220" spans="1:40" ht="15.75">
      <c r="A220" s="153"/>
      <c r="B220" s="153"/>
      <c r="C220" s="153"/>
      <c r="D220" s="153"/>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c r="AA220" s="153"/>
      <c r="AB220" s="153"/>
      <c r="AC220" s="153"/>
      <c r="AD220" s="153"/>
      <c r="AE220" s="153"/>
      <c r="AF220" s="153"/>
      <c r="AG220" s="154"/>
    </row>
    <row r="221" spans="1:40" ht="15.75">
      <c r="A221" s="153"/>
      <c r="B221" s="153"/>
      <c r="C221" s="153"/>
      <c r="D221" s="153"/>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c r="AA221" s="153"/>
      <c r="AB221" s="153"/>
      <c r="AC221" s="153"/>
      <c r="AD221" s="153"/>
      <c r="AE221" s="153"/>
      <c r="AF221" s="153"/>
      <c r="AG221" s="154"/>
    </row>
    <row r="222" spans="1:40" ht="15.75">
      <c r="A222" s="153"/>
      <c r="B222" s="153"/>
      <c r="C222" s="153"/>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c r="AA222" s="153"/>
      <c r="AB222" s="153"/>
      <c r="AC222" s="153"/>
      <c r="AD222" s="153"/>
      <c r="AE222" s="153"/>
      <c r="AF222" s="153"/>
      <c r="AG222" s="154"/>
    </row>
    <row r="223" spans="1:40" ht="15.75">
      <c r="A223" s="153"/>
      <c r="B223" s="153"/>
      <c r="C223" s="153"/>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c r="AA223" s="153"/>
      <c r="AB223" s="153"/>
      <c r="AC223" s="153"/>
      <c r="AD223" s="153"/>
      <c r="AE223" s="153"/>
      <c r="AF223" s="153"/>
      <c r="AG223" s="154"/>
    </row>
    <row r="224" spans="1:40" ht="15.75">
      <c r="A224" s="153"/>
      <c r="B224" s="153"/>
      <c r="C224" s="153"/>
      <c r="D224" s="153"/>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c r="AA224" s="153"/>
      <c r="AB224" s="153"/>
      <c r="AC224" s="153"/>
      <c r="AD224" s="153"/>
      <c r="AE224" s="153"/>
      <c r="AF224" s="153"/>
      <c r="AG224" s="154"/>
    </row>
    <row r="225" spans="1:32">
      <c r="A225" s="153"/>
      <c r="B225" s="153"/>
      <c r="C225" s="153"/>
      <c r="D225" s="153"/>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c r="AA225" s="153"/>
      <c r="AB225" s="153"/>
      <c r="AC225" s="153"/>
      <c r="AD225" s="153"/>
      <c r="AE225" s="153"/>
      <c r="AF225" s="153"/>
    </row>
  </sheetData>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55EC4-7F8C-49DC-900C-5A537EBAE994}">
  <sheetPr codeName="Sheet8">
    <tabColor rgb="FF00EAE4"/>
  </sheetPr>
  <dimension ref="A1:AQ255"/>
  <sheetViews>
    <sheetView showGridLines="0" zoomScale="72" zoomScaleNormal="72" workbookViewId="0">
      <pane ySplit="2" topLeftCell="A3" activePane="bottomLeft" state="frozen"/>
      <selection pane="bottomLeft" activeCell="W2" sqref="W2"/>
    </sheetView>
  </sheetViews>
  <sheetFormatPr defaultColWidth="9.140625" defaultRowHeight="15" outlineLevelRow="1"/>
  <cols>
    <col min="1" max="1" width="27.7109375" style="1" bestFit="1" customWidth="1"/>
    <col min="2" max="2" width="2.85546875" style="1" customWidth="1"/>
    <col min="3" max="22" width="11.85546875" style="1" customWidth="1"/>
    <col min="23" max="23" width="9.5703125" style="1" customWidth="1"/>
    <col min="24" max="24" width="15.5703125" style="1" bestFit="1" customWidth="1"/>
    <col min="25" max="16384" width="9.140625" style="1"/>
  </cols>
  <sheetData>
    <row r="1" spans="1:43" ht="15.75">
      <c r="A1" s="360"/>
      <c r="B1" s="164"/>
      <c r="C1" s="164"/>
      <c r="D1" s="164"/>
      <c r="E1" s="164"/>
      <c r="F1" s="164"/>
      <c r="G1" s="164"/>
      <c r="H1" s="164"/>
      <c r="I1" s="164"/>
      <c r="J1" s="164"/>
      <c r="K1" s="164"/>
      <c r="L1" s="433"/>
      <c r="M1" s="433"/>
      <c r="N1" s="433"/>
      <c r="O1" s="433"/>
      <c r="P1" s="433"/>
      <c r="Q1" s="433"/>
      <c r="R1" s="433"/>
      <c r="S1" s="433"/>
      <c r="T1" s="433"/>
      <c r="U1" s="433"/>
      <c r="V1" s="433"/>
      <c r="W1" s="347">
        <f>Valuation!C51</f>
        <v>10.055391618999746</v>
      </c>
      <c r="X1" s="154"/>
      <c r="Y1" s="154"/>
      <c r="Z1" s="154"/>
      <c r="AA1" s="154"/>
      <c r="AB1" s="154"/>
      <c r="AC1" s="154"/>
      <c r="AD1" s="154"/>
      <c r="AE1" s="154"/>
      <c r="AF1" s="154"/>
      <c r="AG1" s="154"/>
      <c r="AH1" s="154"/>
      <c r="AI1" s="154"/>
      <c r="AJ1" s="154"/>
      <c r="AK1" s="154"/>
      <c r="AL1" s="154"/>
      <c r="AM1" s="154"/>
      <c r="AN1" s="154"/>
      <c r="AO1" s="154"/>
      <c r="AP1" s="154"/>
      <c r="AQ1" s="154"/>
    </row>
    <row r="2" spans="1:43" ht="15.75">
      <c r="A2" s="972" t="s">
        <v>657</v>
      </c>
      <c r="B2" s="973"/>
      <c r="C2" s="973">
        <v>2016</v>
      </c>
      <c r="D2" s="973">
        <v>2017</v>
      </c>
      <c r="E2" s="973">
        <v>2018</v>
      </c>
      <c r="F2" s="973">
        <v>2019</v>
      </c>
      <c r="G2" s="973">
        <v>2020</v>
      </c>
      <c r="H2" s="973">
        <v>2021</v>
      </c>
      <c r="I2" s="973">
        <v>2022</v>
      </c>
      <c r="J2" s="973">
        <v>2023</v>
      </c>
      <c r="K2" s="973">
        <v>2024</v>
      </c>
      <c r="L2" s="552" t="s">
        <v>266</v>
      </c>
      <c r="M2" s="552" t="s">
        <v>267</v>
      </c>
      <c r="N2" s="552" t="s">
        <v>268</v>
      </c>
      <c r="O2" s="552" t="s">
        <v>269</v>
      </c>
      <c r="P2" s="552" t="s">
        <v>270</v>
      </c>
      <c r="Q2" s="552" t="s">
        <v>271</v>
      </c>
      <c r="R2" s="437" t="s">
        <v>1159</v>
      </c>
      <c r="S2" s="437" t="s">
        <v>1160</v>
      </c>
      <c r="T2" s="437" t="s">
        <v>1161</v>
      </c>
      <c r="U2" s="437" t="s">
        <v>1162</v>
      </c>
      <c r="V2" s="437" t="s">
        <v>1163</v>
      </c>
      <c r="W2" s="154"/>
      <c r="X2" s="154"/>
      <c r="Y2" s="154"/>
      <c r="Z2" s="154"/>
      <c r="AA2" s="154"/>
      <c r="AB2" s="154"/>
      <c r="AC2" s="154"/>
      <c r="AD2" s="154"/>
      <c r="AE2" s="154"/>
      <c r="AF2" s="154"/>
      <c r="AG2" s="154"/>
      <c r="AH2" s="154"/>
      <c r="AI2" s="154"/>
      <c r="AJ2" s="154"/>
      <c r="AK2" s="154"/>
      <c r="AL2" s="154"/>
      <c r="AM2" s="154"/>
      <c r="AN2" s="154"/>
      <c r="AO2" s="154"/>
      <c r="AP2" s="154"/>
      <c r="AQ2" s="154"/>
    </row>
    <row r="3" spans="1:43" ht="15.75">
      <c r="A3" s="154"/>
      <c r="B3" s="154"/>
      <c r="C3" s="154"/>
      <c r="D3" s="154"/>
      <c r="E3" s="154"/>
      <c r="F3" s="154"/>
      <c r="G3" s="154"/>
      <c r="H3" s="628" t="s">
        <v>774</v>
      </c>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row>
    <row r="4" spans="1:43" ht="15.75">
      <c r="A4" s="154"/>
      <c r="B4" s="154"/>
      <c r="C4" s="154"/>
      <c r="D4" s="154"/>
      <c r="E4" s="154"/>
      <c r="F4" s="154"/>
      <c r="G4" s="154"/>
      <c r="H4" s="154"/>
      <c r="I4" s="628" t="s">
        <v>775</v>
      </c>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row>
    <row r="5" spans="1:43" ht="15.75">
      <c r="A5" s="163" t="s">
        <v>623</v>
      </c>
      <c r="B5" s="164"/>
      <c r="C5" s="164"/>
      <c r="D5" s="164"/>
      <c r="E5" s="164"/>
      <c r="F5" s="164"/>
      <c r="G5" s="164"/>
      <c r="H5" s="164"/>
      <c r="I5" s="164"/>
      <c r="J5" s="164"/>
      <c r="K5" s="164"/>
      <c r="L5" s="164"/>
      <c r="M5" s="164"/>
      <c r="N5" s="164"/>
      <c r="O5" s="164"/>
      <c r="P5" s="164"/>
      <c r="Q5" s="164"/>
      <c r="R5" s="164"/>
      <c r="S5" s="164"/>
      <c r="T5" s="164"/>
      <c r="U5" s="164"/>
      <c r="V5" s="164"/>
      <c r="W5" s="154"/>
      <c r="X5" s="154"/>
      <c r="Y5" s="154"/>
      <c r="Z5" s="154"/>
      <c r="AA5" s="154"/>
      <c r="AB5" s="154"/>
      <c r="AC5" s="154"/>
      <c r="AD5" s="154"/>
      <c r="AE5" s="154"/>
      <c r="AF5" s="154"/>
      <c r="AG5" s="154"/>
      <c r="AH5" s="154"/>
      <c r="AI5" s="154"/>
      <c r="AJ5" s="154"/>
      <c r="AK5" s="154"/>
      <c r="AL5" s="154"/>
      <c r="AM5" s="154"/>
      <c r="AN5" s="154"/>
      <c r="AO5" s="154"/>
      <c r="AP5" s="154"/>
      <c r="AQ5" s="154"/>
    </row>
    <row r="6" spans="1:43" ht="15.75">
      <c r="A6" s="629"/>
      <c r="B6" s="630"/>
      <c r="C6" s="630"/>
      <c r="D6" s="630"/>
      <c r="E6" s="630"/>
      <c r="F6" s="630"/>
      <c r="G6" s="630"/>
      <c r="H6" s="630"/>
      <c r="I6" s="630"/>
      <c r="J6" s="630"/>
      <c r="K6" s="630"/>
      <c r="L6" s="630"/>
      <c r="M6" s="630"/>
      <c r="N6" s="630"/>
      <c r="O6" s="630"/>
      <c r="P6" s="630"/>
      <c r="Q6" s="630"/>
      <c r="R6" s="630"/>
      <c r="S6" s="630"/>
      <c r="T6" s="630"/>
      <c r="U6" s="630"/>
      <c r="V6" s="630"/>
      <c r="W6" s="154"/>
      <c r="X6" s="154"/>
      <c r="Y6" s="154"/>
      <c r="Z6" s="154"/>
      <c r="AA6" s="154"/>
      <c r="AB6" s="154"/>
      <c r="AC6" s="154"/>
      <c r="AD6" s="154"/>
      <c r="AE6" s="154"/>
      <c r="AF6" s="154"/>
      <c r="AG6" s="154"/>
      <c r="AH6" s="154"/>
      <c r="AI6" s="154"/>
      <c r="AJ6" s="154"/>
      <c r="AK6" s="154"/>
      <c r="AL6" s="154"/>
      <c r="AM6" s="154"/>
      <c r="AN6" s="154"/>
      <c r="AO6" s="154"/>
      <c r="AP6" s="154"/>
      <c r="AQ6" s="154"/>
    </row>
    <row r="7" spans="1:43" ht="15.75">
      <c r="A7" s="160" t="s">
        <v>355</v>
      </c>
      <c r="B7" s="154"/>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row>
    <row r="8" spans="1:43" ht="15.75">
      <c r="A8" s="154" t="s">
        <v>221</v>
      </c>
      <c r="B8" s="154"/>
      <c r="C8" s="586">
        <v>203.21811400000001</v>
      </c>
      <c r="D8" s="586">
        <v>204.70344499999999</v>
      </c>
      <c r="E8" s="586">
        <v>206.10726099999999</v>
      </c>
      <c r="F8" s="586">
        <v>207.45545899999999</v>
      </c>
      <c r="G8" s="586">
        <v>208.660842</v>
      </c>
      <c r="H8" s="586">
        <v>209.55029400000001</v>
      </c>
      <c r="I8" s="586">
        <v>210.30641499999999</v>
      </c>
      <c r="J8" s="586">
        <v>211.14072899999999</v>
      </c>
      <c r="K8" s="631">
        <f>J8*1.004</f>
        <v>211.98529191599999</v>
      </c>
      <c r="L8" s="631">
        <f t="shared" ref="L8:V8" si="0">K8*1.004</f>
        <v>212.833233083664</v>
      </c>
      <c r="M8" s="631">
        <f t="shared" si="0"/>
        <v>213.68456601599866</v>
      </c>
      <c r="N8" s="631">
        <f t="shared" si="0"/>
        <v>214.53930428006265</v>
      </c>
      <c r="O8" s="631">
        <f t="shared" si="0"/>
        <v>215.39746149718292</v>
      </c>
      <c r="P8" s="631">
        <f t="shared" si="0"/>
        <v>216.25905134317165</v>
      </c>
      <c r="Q8" s="631">
        <f t="shared" si="0"/>
        <v>217.12408754854434</v>
      </c>
      <c r="R8" s="631">
        <f t="shared" si="0"/>
        <v>217.99258389873853</v>
      </c>
      <c r="S8" s="631">
        <f t="shared" si="0"/>
        <v>218.8645542343335</v>
      </c>
      <c r="T8" s="631">
        <f t="shared" si="0"/>
        <v>219.74001245127084</v>
      </c>
      <c r="U8" s="631">
        <f t="shared" si="0"/>
        <v>220.61897250107592</v>
      </c>
      <c r="V8" s="631">
        <f t="shared" si="0"/>
        <v>221.50144839108023</v>
      </c>
      <c r="W8" s="154"/>
      <c r="X8" s="154"/>
      <c r="Y8" s="154"/>
      <c r="Z8" s="154"/>
      <c r="AA8" s="154"/>
      <c r="AB8" s="154"/>
      <c r="AC8" s="154"/>
      <c r="AD8" s="154"/>
      <c r="AE8" s="154"/>
      <c r="AF8" s="154"/>
      <c r="AG8" s="154"/>
      <c r="AH8" s="154"/>
      <c r="AI8" s="154"/>
      <c r="AJ8" s="154"/>
      <c r="AK8" s="154"/>
      <c r="AL8" s="154"/>
      <c r="AM8" s="154"/>
      <c r="AN8" s="154"/>
      <c r="AO8" s="154"/>
      <c r="AP8" s="154"/>
      <c r="AQ8" s="154"/>
    </row>
    <row r="9" spans="1:43" ht="15.75">
      <c r="A9" s="154" t="s">
        <v>238</v>
      </c>
      <c r="B9" s="154"/>
      <c r="C9" s="586">
        <v>30.866493999999999</v>
      </c>
      <c r="D9" s="586">
        <v>31.324636999999999</v>
      </c>
      <c r="E9" s="586">
        <v>31.897583999999998</v>
      </c>
      <c r="F9" s="586">
        <v>32.449303</v>
      </c>
      <c r="G9" s="586">
        <v>32.838579000000003</v>
      </c>
      <c r="H9" s="586">
        <v>33.155881999999998</v>
      </c>
      <c r="I9" s="586">
        <v>33.475437999999997</v>
      </c>
      <c r="J9" s="586">
        <v>33.845616999999997</v>
      </c>
      <c r="K9" s="631">
        <f t="shared" ref="K9:V9" si="1">J9*1.01</f>
        <v>34.184073169999998</v>
      </c>
      <c r="L9" s="631">
        <f t="shared" si="1"/>
        <v>34.525913901700001</v>
      </c>
      <c r="M9" s="631">
        <f t="shared" si="1"/>
        <v>34.871173040717004</v>
      </c>
      <c r="N9" s="631">
        <f t="shared" si="1"/>
        <v>35.219884771124171</v>
      </c>
      <c r="O9" s="631">
        <f t="shared" si="1"/>
        <v>35.572083618835414</v>
      </c>
      <c r="P9" s="631">
        <f t="shared" si="1"/>
        <v>35.927804455023768</v>
      </c>
      <c r="Q9" s="631">
        <f t="shared" si="1"/>
        <v>36.287082499574005</v>
      </c>
      <c r="R9" s="631">
        <f t="shared" si="1"/>
        <v>36.649953324569744</v>
      </c>
      <c r="S9" s="631">
        <f t="shared" si="1"/>
        <v>37.016452857815445</v>
      </c>
      <c r="T9" s="631">
        <f t="shared" si="1"/>
        <v>37.386617386393603</v>
      </c>
      <c r="U9" s="631">
        <f t="shared" si="1"/>
        <v>37.760483560257541</v>
      </c>
      <c r="V9" s="631">
        <f t="shared" si="1"/>
        <v>38.138088395860116</v>
      </c>
      <c r="W9" s="154"/>
      <c r="X9" s="154"/>
      <c r="Y9" s="154"/>
      <c r="Z9" s="154"/>
      <c r="AA9" s="154"/>
      <c r="AB9" s="154"/>
      <c r="AC9" s="154"/>
      <c r="AD9" s="154"/>
      <c r="AE9" s="154"/>
      <c r="AF9" s="154"/>
      <c r="AG9" s="154"/>
      <c r="AH9" s="154"/>
      <c r="AI9" s="154"/>
      <c r="AJ9" s="154"/>
      <c r="AK9" s="154"/>
      <c r="AL9" s="154"/>
      <c r="AM9" s="154"/>
      <c r="AN9" s="154"/>
      <c r="AO9" s="154"/>
      <c r="AP9" s="154"/>
      <c r="AQ9" s="154"/>
    </row>
    <row r="10" spans="1:43" ht="15.75">
      <c r="A10" s="154" t="s">
        <v>224</v>
      </c>
      <c r="B10" s="154"/>
      <c r="C10" s="586">
        <v>47.437511999999998</v>
      </c>
      <c r="D10" s="586">
        <v>48.131078000000002</v>
      </c>
      <c r="E10" s="586">
        <v>49.024464999999999</v>
      </c>
      <c r="F10" s="586">
        <v>49.907984999999996</v>
      </c>
      <c r="G10" s="586">
        <v>50.629997000000003</v>
      </c>
      <c r="H10" s="586">
        <v>51.188172999999999</v>
      </c>
      <c r="I10" s="586">
        <v>51.737943999999999</v>
      </c>
      <c r="J10" s="586">
        <v>52.321151999999998</v>
      </c>
      <c r="K10" s="631">
        <f t="shared" ref="K10:V10" si="2">J10*1.01</f>
        <v>52.844363520000002</v>
      </c>
      <c r="L10" s="631">
        <f t="shared" si="2"/>
        <v>53.3728071552</v>
      </c>
      <c r="M10" s="631">
        <f t="shared" si="2"/>
        <v>53.906535226751998</v>
      </c>
      <c r="N10" s="631">
        <f t="shared" si="2"/>
        <v>54.445600579019519</v>
      </c>
      <c r="O10" s="631">
        <f t="shared" si="2"/>
        <v>54.990056584809714</v>
      </c>
      <c r="P10" s="631">
        <f t="shared" si="2"/>
        <v>55.539957150657813</v>
      </c>
      <c r="Q10" s="631">
        <f t="shared" si="2"/>
        <v>56.095356722164389</v>
      </c>
      <c r="R10" s="631">
        <f t="shared" si="2"/>
        <v>56.656310289386035</v>
      </c>
      <c r="S10" s="631">
        <f t="shared" si="2"/>
        <v>57.222873392279894</v>
      </c>
      <c r="T10" s="631">
        <f t="shared" si="2"/>
        <v>57.795102126202693</v>
      </c>
      <c r="U10" s="631">
        <f t="shared" si="2"/>
        <v>58.373053147464724</v>
      </c>
      <c r="V10" s="631">
        <f t="shared" si="2"/>
        <v>58.956783678939374</v>
      </c>
      <c r="W10" s="154"/>
      <c r="X10" s="154"/>
      <c r="Y10" s="154"/>
      <c r="Z10" s="154"/>
      <c r="AA10" s="154"/>
      <c r="AB10" s="154"/>
      <c r="AC10" s="154"/>
      <c r="AD10" s="154"/>
      <c r="AE10" s="154"/>
      <c r="AF10" s="154"/>
      <c r="AG10" s="154"/>
      <c r="AH10" s="154"/>
      <c r="AI10" s="154"/>
      <c r="AJ10" s="154"/>
      <c r="AK10" s="154"/>
      <c r="AL10" s="154"/>
      <c r="AM10" s="154"/>
      <c r="AN10" s="154"/>
      <c r="AO10" s="154"/>
      <c r="AP10" s="154"/>
      <c r="AQ10" s="154"/>
    </row>
    <row r="11" spans="1:43" ht="15.75">
      <c r="A11" s="549" t="s">
        <v>275</v>
      </c>
      <c r="B11" s="549"/>
      <c r="C11" s="723">
        <f t="shared" ref="C11:F11" si="3">SUM(C8:C10)</f>
        <v>281.52211999999997</v>
      </c>
      <c r="D11" s="723">
        <f t="shared" si="3"/>
        <v>284.15915999999999</v>
      </c>
      <c r="E11" s="723">
        <f t="shared" si="3"/>
        <v>287.02931000000001</v>
      </c>
      <c r="F11" s="723">
        <f t="shared" si="3"/>
        <v>289.812747</v>
      </c>
      <c r="G11" s="723">
        <f t="shared" ref="G11:Q11" si="4">SUM(G8:G10)</f>
        <v>292.12941799999999</v>
      </c>
      <c r="H11" s="723">
        <f t="shared" si="4"/>
        <v>293.89434899999998</v>
      </c>
      <c r="I11" s="723">
        <f t="shared" si="4"/>
        <v>295.51979699999998</v>
      </c>
      <c r="J11" s="723">
        <f t="shared" si="4"/>
        <v>297.30749800000001</v>
      </c>
      <c r="K11" s="723">
        <f t="shared" si="4"/>
        <v>299.01372860599997</v>
      </c>
      <c r="L11" s="723">
        <f t="shared" si="4"/>
        <v>300.73195414056397</v>
      </c>
      <c r="M11" s="723">
        <f t="shared" si="4"/>
        <v>302.46227428346765</v>
      </c>
      <c r="N11" s="723">
        <f t="shared" si="4"/>
        <v>304.20478963020634</v>
      </c>
      <c r="O11" s="723">
        <f t="shared" si="4"/>
        <v>305.95960170082805</v>
      </c>
      <c r="P11" s="723">
        <f t="shared" si="4"/>
        <v>307.72681294885319</v>
      </c>
      <c r="Q11" s="723">
        <f t="shared" si="4"/>
        <v>309.50652677028273</v>
      </c>
      <c r="R11" s="723">
        <f t="shared" ref="R11:V11" si="5">SUM(R8:R10)</f>
        <v>311.29884751269429</v>
      </c>
      <c r="S11" s="723">
        <f t="shared" si="5"/>
        <v>313.10388048442883</v>
      </c>
      <c r="T11" s="723">
        <f t="shared" si="5"/>
        <v>314.92173196386716</v>
      </c>
      <c r="U11" s="723">
        <f t="shared" si="5"/>
        <v>316.75250920879819</v>
      </c>
      <c r="V11" s="723">
        <f t="shared" si="5"/>
        <v>318.59632046587973</v>
      </c>
      <c r="W11" s="154"/>
      <c r="X11" s="154"/>
      <c r="Y11" s="154"/>
      <c r="Z11" s="154"/>
      <c r="AA11" s="154"/>
      <c r="AB11" s="154"/>
      <c r="AC11" s="154"/>
      <c r="AD11" s="154"/>
      <c r="AE11" s="154"/>
      <c r="AF11" s="154"/>
      <c r="AG11" s="154"/>
      <c r="AH11" s="154"/>
      <c r="AI11" s="154"/>
      <c r="AJ11" s="154"/>
      <c r="AK11" s="154"/>
      <c r="AL11" s="154"/>
      <c r="AM11" s="154"/>
      <c r="AN11" s="154"/>
      <c r="AO11" s="154"/>
      <c r="AP11" s="154"/>
      <c r="AQ11" s="154"/>
    </row>
    <row r="12" spans="1:43" ht="15.75">
      <c r="A12" s="154" t="s">
        <v>633</v>
      </c>
      <c r="B12" s="154"/>
      <c r="C12" s="154"/>
      <c r="D12" s="157">
        <f t="shared" ref="D12" si="6">D11/C11-1</f>
        <v>9.3670792192102059E-3</v>
      </c>
      <c r="E12" s="157">
        <f t="shared" ref="E12" si="7">E11/D11-1</f>
        <v>1.0100501423216501E-2</v>
      </c>
      <c r="F12" s="157">
        <f t="shared" ref="F12" si="8">F11/E11-1</f>
        <v>9.6973964087501141E-3</v>
      </c>
      <c r="G12" s="157">
        <f t="shared" ref="G12" si="9">G11/F11-1</f>
        <v>7.9936822102582017E-3</v>
      </c>
      <c r="H12" s="157">
        <f t="shared" ref="H12:V12" si="10">H11/G11-1</f>
        <v>6.0416065320747503E-3</v>
      </c>
      <c r="I12" s="157">
        <f t="shared" si="10"/>
        <v>5.5307221984046695E-3</v>
      </c>
      <c r="J12" s="157">
        <f t="shared" si="10"/>
        <v>6.0493443016274018E-3</v>
      </c>
      <c r="K12" s="157">
        <f t="shared" si="10"/>
        <v>5.7389423996294653E-3</v>
      </c>
      <c r="L12" s="157">
        <f t="shared" si="10"/>
        <v>5.7463098519734412E-3</v>
      </c>
      <c r="M12" s="157">
        <f t="shared" si="10"/>
        <v>5.7536956717771925E-3</v>
      </c>
      <c r="N12" s="157">
        <f t="shared" si="10"/>
        <v>5.7610997962198596E-3</v>
      </c>
      <c r="O12" s="157">
        <f t="shared" si="10"/>
        <v>5.7685221615177973E-3</v>
      </c>
      <c r="P12" s="157">
        <f t="shared" si="10"/>
        <v>5.7759627029230209E-3</v>
      </c>
      <c r="Q12" s="157">
        <f t="shared" si="10"/>
        <v>5.7834213547238722E-3</v>
      </c>
      <c r="R12" s="157">
        <f t="shared" si="10"/>
        <v>5.7908980502432428E-3</v>
      </c>
      <c r="S12" s="157">
        <f t="shared" si="10"/>
        <v>5.7983927218392406E-3</v>
      </c>
      <c r="T12" s="157">
        <f t="shared" si="10"/>
        <v>5.8059053009045236E-3</v>
      </c>
      <c r="U12" s="157">
        <f t="shared" si="10"/>
        <v>5.8134357178662999E-3</v>
      </c>
      <c r="V12" s="157">
        <f t="shared" si="10"/>
        <v>5.8209839021863274E-3</v>
      </c>
      <c r="W12" s="154"/>
      <c r="X12" s="154"/>
      <c r="Y12" s="154"/>
      <c r="Z12" s="154"/>
      <c r="AA12" s="154"/>
      <c r="AB12" s="154"/>
      <c r="AC12" s="154"/>
      <c r="AD12" s="154"/>
      <c r="AE12" s="154"/>
      <c r="AF12" s="154"/>
      <c r="AG12" s="154"/>
      <c r="AH12" s="154"/>
      <c r="AI12" s="154"/>
      <c r="AJ12" s="154"/>
      <c r="AK12" s="154"/>
      <c r="AL12" s="154"/>
      <c r="AM12" s="154"/>
      <c r="AN12" s="154"/>
      <c r="AO12" s="154"/>
      <c r="AP12" s="154"/>
      <c r="AQ12" s="154"/>
    </row>
    <row r="13" spans="1:43" ht="15.75">
      <c r="A13" s="154"/>
      <c r="B13" s="154"/>
      <c r="C13" s="154"/>
      <c r="D13" s="954"/>
      <c r="E13" s="954"/>
      <c r="F13" s="954"/>
      <c r="G13" s="954"/>
      <c r="H13" s="954"/>
      <c r="I13" s="954"/>
      <c r="J13" s="9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N13" s="154"/>
      <c r="AO13" s="154"/>
      <c r="AP13" s="154"/>
      <c r="AQ13" s="154"/>
    </row>
    <row r="14" spans="1:43" ht="15.75">
      <c r="A14" s="160" t="s">
        <v>959</v>
      </c>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4"/>
      <c r="AQ14" s="154"/>
    </row>
    <row r="15" spans="1:43" ht="15.75">
      <c r="A15" s="154" t="s">
        <v>221</v>
      </c>
      <c r="B15" s="154"/>
      <c r="C15" s="154"/>
      <c r="D15" s="154"/>
      <c r="E15" s="154"/>
      <c r="F15" s="154"/>
      <c r="G15" s="727">
        <v>5.1534000000000004</v>
      </c>
      <c r="H15" s="727">
        <v>5.3954000000000004</v>
      </c>
      <c r="I15" s="727">
        <v>5.1632999999999996</v>
      </c>
      <c r="J15" s="727">
        <v>4.9942000000000002</v>
      </c>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row>
    <row r="16" spans="1:43" ht="15.75">
      <c r="A16" s="154" t="s">
        <v>87</v>
      </c>
      <c r="B16" s="154"/>
      <c r="C16" s="154"/>
      <c r="D16" s="154"/>
      <c r="E16" s="154"/>
      <c r="F16" s="154"/>
      <c r="G16" s="727"/>
      <c r="H16" s="729">
        <f>G15/H15-1</f>
        <v>-4.485302294547211E-2</v>
      </c>
      <c r="I16" s="729">
        <f>H15/I15-1</f>
        <v>4.495187186489269E-2</v>
      </c>
      <c r="J16" s="729">
        <f>I15/J15-1</f>
        <v>3.3859276761042612E-2</v>
      </c>
      <c r="K16" s="729" t="e">
        <f>J15/K15-1</f>
        <v>#DIV/0!</v>
      </c>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row>
    <row r="17" spans="1:43" ht="15.75">
      <c r="A17" s="154" t="s">
        <v>238</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154"/>
      <c r="AO17" s="154"/>
      <c r="AP17" s="154"/>
      <c r="AQ17" s="154"/>
    </row>
    <row r="18" spans="1:43" ht="15.75">
      <c r="A18" s="154" t="s">
        <v>224</v>
      </c>
      <c r="B18" s="154"/>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row>
    <row r="19" spans="1:43" ht="15.75">
      <c r="A19" s="154"/>
      <c r="B19" s="154"/>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row>
    <row r="20" spans="1:43" ht="15.75">
      <c r="A20" s="160" t="s">
        <v>954</v>
      </c>
      <c r="B20" s="154"/>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4"/>
      <c r="AM20" s="154"/>
      <c r="AN20" s="154"/>
      <c r="AO20" s="154"/>
      <c r="AP20" s="154"/>
      <c r="AQ20" s="154"/>
    </row>
    <row r="21" spans="1:43" ht="15.75">
      <c r="A21" s="154" t="s">
        <v>221</v>
      </c>
      <c r="B21" s="154"/>
      <c r="C21" s="975">
        <v>8.6999999999999994E-2</v>
      </c>
      <c r="D21" s="975">
        <v>3.4000000000000002E-2</v>
      </c>
      <c r="E21" s="975">
        <v>3.6999999999999998E-2</v>
      </c>
      <c r="F21" s="975">
        <v>4.2999999999999997E-2</v>
      </c>
      <c r="G21" s="975">
        <v>4.4999999999999998E-2</v>
      </c>
      <c r="H21" s="975">
        <v>0.10100000000000001</v>
      </c>
      <c r="I21" s="975">
        <v>5.8000000000000003E-2</v>
      </c>
      <c r="J21" s="975">
        <v>4.5999999999999999E-2</v>
      </c>
      <c r="K21" s="728">
        <v>3.5000000000000003E-2</v>
      </c>
      <c r="L21" s="728">
        <v>3.2000000000000001E-2</v>
      </c>
      <c r="M21" s="728">
        <v>3.2000000000000001E-2</v>
      </c>
      <c r="N21" s="154"/>
      <c r="O21" s="154"/>
      <c r="P21" s="154"/>
      <c r="Q21" s="154"/>
      <c r="R21" s="154"/>
      <c r="S21" s="154"/>
      <c r="T21" s="154"/>
      <c r="U21" s="154"/>
      <c r="V21" s="154"/>
      <c r="W21" s="154"/>
      <c r="X21" s="154"/>
      <c r="Y21" s="154"/>
      <c r="Z21" s="154"/>
      <c r="AA21" s="154"/>
      <c r="AB21" s="154"/>
      <c r="AC21" s="154"/>
      <c r="AD21" s="154"/>
      <c r="AE21" s="154"/>
      <c r="AF21" s="154"/>
      <c r="AG21" s="154"/>
      <c r="AH21" s="154"/>
      <c r="AI21" s="154"/>
      <c r="AJ21" s="154"/>
      <c r="AK21" s="154"/>
      <c r="AL21" s="154"/>
      <c r="AM21" s="154"/>
      <c r="AN21" s="154"/>
      <c r="AO21" s="154"/>
      <c r="AP21" s="154"/>
      <c r="AQ21" s="154"/>
    </row>
    <row r="22" spans="1:43" ht="15.75">
      <c r="A22" s="154" t="s">
        <v>238</v>
      </c>
      <c r="B22" s="154"/>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c r="AJ22" s="154"/>
      <c r="AK22" s="154"/>
      <c r="AL22" s="154"/>
      <c r="AM22" s="154"/>
      <c r="AN22" s="154"/>
      <c r="AO22" s="154"/>
      <c r="AP22" s="154"/>
      <c r="AQ22" s="154"/>
    </row>
    <row r="23" spans="1:43" ht="15.75">
      <c r="A23" s="154" t="s">
        <v>224</v>
      </c>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4"/>
      <c r="AK23" s="154"/>
      <c r="AL23" s="154"/>
      <c r="AM23" s="154"/>
      <c r="AN23" s="154"/>
      <c r="AO23" s="154"/>
      <c r="AP23" s="154"/>
      <c r="AQ23" s="154"/>
    </row>
    <row r="24" spans="1:43" ht="15.75">
      <c r="A24" s="154"/>
      <c r="B24" s="154"/>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4"/>
      <c r="AJ24" s="154"/>
      <c r="AK24" s="154"/>
      <c r="AL24" s="154"/>
      <c r="AM24" s="154"/>
      <c r="AN24" s="154"/>
      <c r="AO24" s="154"/>
      <c r="AP24" s="154"/>
      <c r="AQ24" s="154"/>
    </row>
    <row r="25" spans="1:43" ht="15.75">
      <c r="A25" s="154"/>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4"/>
      <c r="AQ25" s="154"/>
    </row>
    <row r="26" spans="1:43" ht="15.75">
      <c r="A26" s="160" t="s">
        <v>280</v>
      </c>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L26" s="154"/>
      <c r="AM26" s="154"/>
      <c r="AN26" s="154"/>
      <c r="AO26" s="154"/>
      <c r="AP26" s="154"/>
      <c r="AQ26" s="154"/>
    </row>
    <row r="27" spans="1:43" ht="15.75">
      <c r="A27" s="154" t="s">
        <v>221</v>
      </c>
      <c r="B27" s="154"/>
      <c r="C27" s="154"/>
      <c r="D27" s="154"/>
      <c r="E27" s="154"/>
      <c r="F27" s="154"/>
      <c r="G27" s="586">
        <v>64075</v>
      </c>
      <c r="H27" s="586">
        <v>64848</v>
      </c>
      <c r="I27" s="586">
        <v>74683</v>
      </c>
      <c r="J27" s="586">
        <v>76461</v>
      </c>
      <c r="K27" s="540">
        <f t="shared" ref="K27:V27" si="11">J27*(1+K33)</f>
        <v>78372.524999999994</v>
      </c>
      <c r="L27" s="540">
        <f t="shared" si="11"/>
        <v>79939.9755</v>
      </c>
      <c r="M27" s="540">
        <f t="shared" si="11"/>
        <v>81538.775009999998</v>
      </c>
      <c r="N27" s="540">
        <f t="shared" si="11"/>
        <v>83169.550510200002</v>
      </c>
      <c r="O27" s="540">
        <f t="shared" si="11"/>
        <v>84832.941520403998</v>
      </c>
      <c r="P27" s="540">
        <f t="shared" si="11"/>
        <v>86529.600350812078</v>
      </c>
      <c r="Q27" s="540">
        <f t="shared" si="11"/>
        <v>88260.192357828317</v>
      </c>
      <c r="R27" s="540">
        <f t="shared" si="11"/>
        <v>90025.396204984878</v>
      </c>
      <c r="S27" s="540">
        <f t="shared" si="11"/>
        <v>91825.904129084578</v>
      </c>
      <c r="T27" s="540">
        <f t="shared" si="11"/>
        <v>93662.422211666271</v>
      </c>
      <c r="U27" s="540">
        <f t="shared" si="11"/>
        <v>95535.670655899594</v>
      </c>
      <c r="V27" s="540">
        <f t="shared" si="11"/>
        <v>97446.384069017586</v>
      </c>
      <c r="W27" s="154"/>
      <c r="X27" s="154"/>
      <c r="Y27" s="154"/>
      <c r="Z27" s="154"/>
      <c r="AA27" s="154"/>
      <c r="AB27" s="154"/>
      <c r="AC27" s="154"/>
      <c r="AD27" s="154"/>
      <c r="AE27" s="154"/>
      <c r="AF27" s="154"/>
      <c r="AG27" s="154"/>
      <c r="AH27" s="154"/>
      <c r="AI27" s="154"/>
      <c r="AJ27" s="154"/>
      <c r="AK27" s="154"/>
      <c r="AL27" s="154"/>
      <c r="AM27" s="154"/>
      <c r="AN27" s="154"/>
      <c r="AO27" s="154"/>
      <c r="AP27" s="154"/>
      <c r="AQ27" s="154"/>
    </row>
    <row r="28" spans="1:43" ht="15.75">
      <c r="A28" s="154" t="s">
        <v>238</v>
      </c>
      <c r="B28" s="154"/>
      <c r="C28" s="154"/>
      <c r="D28" s="154"/>
      <c r="E28" s="154"/>
      <c r="F28" s="154"/>
      <c r="G28" s="586">
        <v>17903</v>
      </c>
      <c r="H28" s="586">
        <v>17790</v>
      </c>
      <c r="I28" s="586">
        <v>19145</v>
      </c>
      <c r="J28" s="540">
        <f t="shared" ref="J28:V28" si="12">I28*(1+J34)</f>
        <v>20102.25</v>
      </c>
      <c r="K28" s="540">
        <f t="shared" si="12"/>
        <v>20906.34</v>
      </c>
      <c r="L28" s="540">
        <f t="shared" si="12"/>
        <v>21533.530200000001</v>
      </c>
      <c r="M28" s="540">
        <f t="shared" si="12"/>
        <v>21964.200804</v>
      </c>
      <c r="N28" s="540">
        <f t="shared" si="12"/>
        <v>22403.484820080001</v>
      </c>
      <c r="O28" s="540">
        <f t="shared" si="12"/>
        <v>22851.554516481599</v>
      </c>
      <c r="P28" s="540">
        <f t="shared" si="12"/>
        <v>23308.585606811233</v>
      </c>
      <c r="Q28" s="540">
        <f t="shared" si="12"/>
        <v>23774.757318947457</v>
      </c>
      <c r="R28" s="540">
        <f t="shared" si="12"/>
        <v>24250.252465326408</v>
      </c>
      <c r="S28" s="540">
        <f t="shared" si="12"/>
        <v>24735.257514632936</v>
      </c>
      <c r="T28" s="540">
        <f t="shared" si="12"/>
        <v>25229.962664925595</v>
      </c>
      <c r="U28" s="540">
        <f t="shared" si="12"/>
        <v>25734.561918224106</v>
      </c>
      <c r="V28" s="540">
        <f t="shared" si="12"/>
        <v>26249.253156588587</v>
      </c>
      <c r="W28" s="154"/>
      <c r="X28" s="154"/>
      <c r="Y28" s="154"/>
      <c r="Z28" s="154"/>
      <c r="AA28" s="154"/>
      <c r="AB28" s="154"/>
      <c r="AC28" s="154"/>
      <c r="AD28" s="154"/>
      <c r="AE28" s="154"/>
      <c r="AF28" s="154"/>
      <c r="AG28" s="154"/>
      <c r="AH28" s="154"/>
      <c r="AI28" s="154"/>
      <c r="AJ28" s="154"/>
      <c r="AK28" s="154"/>
      <c r="AL28" s="154"/>
      <c r="AM28" s="154"/>
      <c r="AN28" s="154"/>
      <c r="AO28" s="154"/>
      <c r="AP28" s="154"/>
      <c r="AQ28" s="154"/>
    </row>
    <row r="29" spans="1:43" ht="15.75">
      <c r="A29" s="632" t="s">
        <v>224</v>
      </c>
      <c r="B29" s="632"/>
      <c r="C29" s="632"/>
      <c r="D29" s="632"/>
      <c r="E29" s="632"/>
      <c r="F29" s="632"/>
      <c r="G29" s="634">
        <v>17474</v>
      </c>
      <c r="H29" s="634">
        <v>17737</v>
      </c>
      <c r="I29" s="634">
        <v>19039</v>
      </c>
      <c r="J29" s="634">
        <v>21087</v>
      </c>
      <c r="K29" s="633">
        <f t="shared" ref="K29:V29" si="13">J29*(1+K35)</f>
        <v>22773.960000000003</v>
      </c>
      <c r="L29" s="633">
        <f t="shared" si="13"/>
        <v>24140.397600000004</v>
      </c>
      <c r="M29" s="633">
        <f t="shared" si="13"/>
        <v>25347.417480000004</v>
      </c>
      <c r="N29" s="633">
        <f t="shared" si="13"/>
        <v>26107.840004400005</v>
      </c>
      <c r="O29" s="633">
        <f t="shared" si="13"/>
        <v>26629.996804488004</v>
      </c>
      <c r="P29" s="633">
        <f t="shared" si="13"/>
        <v>27162.596740577766</v>
      </c>
      <c r="Q29" s="633">
        <f t="shared" si="13"/>
        <v>27705.848675389323</v>
      </c>
      <c r="R29" s="633">
        <f t="shared" si="13"/>
        <v>28259.965648897109</v>
      </c>
      <c r="S29" s="633">
        <f t="shared" si="13"/>
        <v>28825.164961875053</v>
      </c>
      <c r="T29" s="633">
        <f t="shared" si="13"/>
        <v>29401.668261112554</v>
      </c>
      <c r="U29" s="633">
        <f t="shared" si="13"/>
        <v>29989.701626334805</v>
      </c>
      <c r="V29" s="633">
        <f t="shared" si="13"/>
        <v>30589.495658861502</v>
      </c>
      <c r="W29" s="154"/>
      <c r="X29" s="154"/>
      <c r="Y29" s="154"/>
      <c r="Z29" s="154"/>
      <c r="AA29" s="154"/>
      <c r="AB29" s="154"/>
      <c r="AC29" s="154"/>
      <c r="AD29" s="154"/>
      <c r="AE29" s="154"/>
      <c r="AF29" s="154"/>
      <c r="AG29" s="154"/>
      <c r="AH29" s="154"/>
      <c r="AI29" s="154"/>
      <c r="AJ29" s="154"/>
      <c r="AK29" s="154"/>
      <c r="AL29" s="154"/>
      <c r="AM29" s="154"/>
      <c r="AN29" s="154"/>
      <c r="AO29" s="154"/>
      <c r="AP29" s="154"/>
      <c r="AQ29" s="154"/>
    </row>
    <row r="30" spans="1:43" ht="15.75">
      <c r="A30" s="154" t="s">
        <v>181</v>
      </c>
      <c r="B30" s="154"/>
      <c r="C30" s="154"/>
      <c r="D30" s="154"/>
      <c r="E30" s="154"/>
      <c r="F30" s="154"/>
      <c r="G30" s="540">
        <f t="shared" ref="G30:Q30" si="14">SUM(G27:G29)</f>
        <v>99452</v>
      </c>
      <c r="H30" s="529">
        <f t="shared" si="14"/>
        <v>100375</v>
      </c>
      <c r="I30" s="529">
        <f t="shared" si="14"/>
        <v>112867</v>
      </c>
      <c r="J30" s="529">
        <f t="shared" si="14"/>
        <v>117650.25</v>
      </c>
      <c r="K30" s="529">
        <f t="shared" si="14"/>
        <v>122052.825</v>
      </c>
      <c r="L30" s="529">
        <f t="shared" si="14"/>
        <v>125613.90330000001</v>
      </c>
      <c r="M30" s="529">
        <f t="shared" si="14"/>
        <v>128850.39329400001</v>
      </c>
      <c r="N30" s="529">
        <f t="shared" si="14"/>
        <v>131680.87533468002</v>
      </c>
      <c r="O30" s="529">
        <f t="shared" si="14"/>
        <v>134314.49284137361</v>
      </c>
      <c r="P30" s="529">
        <f t="shared" si="14"/>
        <v>137000.78269820107</v>
      </c>
      <c r="Q30" s="529">
        <f t="shared" si="14"/>
        <v>139740.79835216509</v>
      </c>
      <c r="R30" s="529">
        <f t="shared" ref="R30:V30" si="15">SUM(R27:R29)</f>
        <v>142535.6143192084</v>
      </c>
      <c r="S30" s="529">
        <f t="shared" si="15"/>
        <v>145386.32660559256</v>
      </c>
      <c r="T30" s="529">
        <f t="shared" si="15"/>
        <v>148294.05313770441</v>
      </c>
      <c r="U30" s="529">
        <f t="shared" si="15"/>
        <v>151259.93420045852</v>
      </c>
      <c r="V30" s="529">
        <f t="shared" si="15"/>
        <v>154285.13288446766</v>
      </c>
      <c r="W30" s="154"/>
      <c r="X30" s="154"/>
      <c r="Y30" s="154"/>
      <c r="Z30" s="154"/>
      <c r="AA30" s="154"/>
      <c r="AB30" s="154"/>
      <c r="AC30" s="154"/>
      <c r="AD30" s="154"/>
      <c r="AE30" s="154"/>
      <c r="AF30" s="154"/>
      <c r="AG30" s="154"/>
      <c r="AH30" s="154"/>
      <c r="AI30" s="154"/>
      <c r="AJ30" s="154"/>
      <c r="AK30" s="154"/>
      <c r="AL30" s="154"/>
      <c r="AM30" s="154"/>
      <c r="AN30" s="154"/>
      <c r="AO30" s="154"/>
      <c r="AP30" s="154"/>
      <c r="AQ30" s="154"/>
    </row>
    <row r="31" spans="1:43" ht="15.75">
      <c r="A31" s="160"/>
      <c r="B31" s="160"/>
      <c r="C31" s="160"/>
      <c r="D31" s="160"/>
      <c r="E31" s="160"/>
      <c r="F31" s="160"/>
      <c r="G31" s="591"/>
      <c r="H31" s="160"/>
      <c r="I31" s="160"/>
      <c r="J31" s="160"/>
      <c r="K31" s="160"/>
      <c r="L31" s="160"/>
      <c r="M31" s="160"/>
      <c r="N31" s="160"/>
      <c r="O31" s="160"/>
      <c r="P31" s="160"/>
      <c r="Q31" s="160"/>
      <c r="R31" s="160"/>
      <c r="S31" s="160"/>
      <c r="T31" s="160"/>
      <c r="U31" s="160"/>
      <c r="V31" s="160"/>
      <c r="W31" s="154"/>
      <c r="X31" s="154"/>
      <c r="Y31" s="154"/>
      <c r="Z31" s="154"/>
      <c r="AA31" s="154"/>
      <c r="AB31" s="154"/>
      <c r="AC31" s="154"/>
      <c r="AD31" s="154"/>
      <c r="AE31" s="154"/>
      <c r="AF31" s="154"/>
      <c r="AG31" s="154"/>
      <c r="AH31" s="154"/>
      <c r="AI31" s="154"/>
      <c r="AJ31" s="154"/>
      <c r="AK31" s="154"/>
      <c r="AL31" s="154"/>
      <c r="AM31" s="154"/>
      <c r="AN31" s="154"/>
      <c r="AO31" s="154"/>
      <c r="AP31" s="154"/>
      <c r="AQ31" s="154"/>
    </row>
    <row r="32" spans="1:43" ht="15.75">
      <c r="A32" s="160" t="s">
        <v>3</v>
      </c>
      <c r="B32" s="160"/>
      <c r="C32" s="160"/>
      <c r="D32" s="160"/>
      <c r="E32" s="160"/>
      <c r="F32" s="160"/>
      <c r="G32" s="591"/>
      <c r="H32" s="160"/>
      <c r="I32" s="160"/>
      <c r="J32" s="160"/>
      <c r="K32" s="160"/>
      <c r="L32" s="160"/>
      <c r="M32" s="160"/>
      <c r="N32" s="160"/>
      <c r="O32" s="160"/>
      <c r="P32" s="160"/>
      <c r="Q32" s="160"/>
      <c r="R32" s="160"/>
      <c r="S32" s="160"/>
      <c r="T32" s="160"/>
      <c r="U32" s="160"/>
      <c r="V32" s="160"/>
      <c r="W32" s="154"/>
      <c r="X32" s="154"/>
      <c r="Y32" s="154"/>
      <c r="Z32" s="154"/>
      <c r="AA32" s="154"/>
      <c r="AB32" s="154"/>
      <c r="AC32" s="154"/>
      <c r="AD32" s="154"/>
      <c r="AE32" s="154"/>
      <c r="AF32" s="154"/>
      <c r="AG32" s="154"/>
      <c r="AH32" s="154"/>
      <c r="AI32" s="154"/>
      <c r="AJ32" s="154"/>
      <c r="AK32" s="154"/>
      <c r="AL32" s="154"/>
      <c r="AM32" s="154"/>
      <c r="AN32" s="154"/>
      <c r="AO32" s="154"/>
      <c r="AP32" s="154"/>
      <c r="AQ32" s="154"/>
    </row>
    <row r="33" spans="1:43" ht="15.75">
      <c r="A33" s="154" t="s">
        <v>221</v>
      </c>
      <c r="B33" s="160"/>
      <c r="C33" s="160"/>
      <c r="D33" s="160"/>
      <c r="E33" s="160"/>
      <c r="F33" s="160"/>
      <c r="G33" s="591"/>
      <c r="H33" s="635">
        <f t="shared" ref="H33:J35" si="16">H27/G27-1</f>
        <v>1.2063987514631336E-2</v>
      </c>
      <c r="I33" s="635">
        <f t="shared" si="16"/>
        <v>0.15166234887737473</v>
      </c>
      <c r="J33" s="635">
        <f t="shared" si="16"/>
        <v>2.380729215484112E-2</v>
      </c>
      <c r="K33" s="547">
        <v>2.5000000000000001E-2</v>
      </c>
      <c r="L33" s="547">
        <v>0.02</v>
      </c>
      <c r="M33" s="547">
        <v>0.02</v>
      </c>
      <c r="N33" s="547">
        <v>0.02</v>
      </c>
      <c r="O33" s="547">
        <v>0.02</v>
      </c>
      <c r="P33" s="547">
        <v>0.02</v>
      </c>
      <c r="Q33" s="547">
        <v>0.02</v>
      </c>
      <c r="R33" s="547">
        <v>0.02</v>
      </c>
      <c r="S33" s="547">
        <v>0.02</v>
      </c>
      <c r="T33" s="547">
        <v>0.02</v>
      </c>
      <c r="U33" s="547">
        <v>0.02</v>
      </c>
      <c r="V33" s="547">
        <v>0.02</v>
      </c>
      <c r="W33" s="154"/>
      <c r="X33" s="154"/>
      <c r="Y33" s="154"/>
      <c r="Z33" s="154"/>
      <c r="AA33" s="154"/>
      <c r="AB33" s="154"/>
      <c r="AC33" s="154"/>
      <c r="AD33" s="154"/>
      <c r="AE33" s="154"/>
      <c r="AF33" s="154"/>
      <c r="AG33" s="154"/>
      <c r="AH33" s="154"/>
      <c r="AI33" s="154"/>
      <c r="AJ33" s="154"/>
      <c r="AK33" s="154"/>
      <c r="AL33" s="154"/>
      <c r="AM33" s="154"/>
      <c r="AN33" s="154"/>
      <c r="AO33" s="154"/>
      <c r="AP33" s="154"/>
      <c r="AQ33" s="154"/>
    </row>
    <row r="34" spans="1:43" ht="15.75">
      <c r="A34" s="154" t="s">
        <v>238</v>
      </c>
      <c r="B34" s="160"/>
      <c r="C34" s="160"/>
      <c r="D34" s="160"/>
      <c r="E34" s="160"/>
      <c r="F34" s="160"/>
      <c r="G34" s="591"/>
      <c r="H34" s="635">
        <f t="shared" si="16"/>
        <v>-6.3117913198905695E-3</v>
      </c>
      <c r="I34" s="635">
        <f t="shared" si="16"/>
        <v>7.6166385609893306E-2</v>
      </c>
      <c r="J34" s="547">
        <v>0.05</v>
      </c>
      <c r="K34" s="547">
        <v>0.04</v>
      </c>
      <c r="L34" s="547">
        <v>0.03</v>
      </c>
      <c r="M34" s="547">
        <v>0.02</v>
      </c>
      <c r="N34" s="547">
        <v>0.02</v>
      </c>
      <c r="O34" s="547">
        <v>0.02</v>
      </c>
      <c r="P34" s="547">
        <v>0.02</v>
      </c>
      <c r="Q34" s="547">
        <v>0.02</v>
      </c>
      <c r="R34" s="547">
        <v>0.02</v>
      </c>
      <c r="S34" s="547">
        <v>0.02</v>
      </c>
      <c r="T34" s="547">
        <v>0.02</v>
      </c>
      <c r="U34" s="547">
        <v>0.02</v>
      </c>
      <c r="V34" s="547">
        <v>0.02</v>
      </c>
      <c r="W34" s="154"/>
      <c r="X34" s="154"/>
      <c r="Y34" s="154"/>
      <c r="Z34" s="154"/>
      <c r="AA34" s="154"/>
      <c r="AB34" s="154"/>
      <c r="AC34" s="154"/>
      <c r="AD34" s="154"/>
      <c r="AE34" s="154"/>
      <c r="AF34" s="154"/>
      <c r="AG34" s="154"/>
      <c r="AH34" s="154"/>
      <c r="AI34" s="154"/>
      <c r="AJ34" s="154"/>
      <c r="AK34" s="154"/>
      <c r="AL34" s="154"/>
      <c r="AM34" s="154"/>
      <c r="AN34" s="154"/>
      <c r="AO34" s="154"/>
      <c r="AP34" s="154"/>
      <c r="AQ34" s="154"/>
    </row>
    <row r="35" spans="1:43" ht="15.75">
      <c r="A35" s="632" t="s">
        <v>224</v>
      </c>
      <c r="B35" s="519"/>
      <c r="C35" s="519"/>
      <c r="D35" s="519"/>
      <c r="E35" s="519"/>
      <c r="F35" s="519"/>
      <c r="G35" s="636"/>
      <c r="H35" s="635">
        <f t="shared" si="16"/>
        <v>1.5050932814467233E-2</v>
      </c>
      <c r="I35" s="635">
        <f t="shared" si="16"/>
        <v>7.3405874725150921E-2</v>
      </c>
      <c r="J35" s="635">
        <f t="shared" si="16"/>
        <v>0.10756867482535837</v>
      </c>
      <c r="K35" s="637">
        <v>0.08</v>
      </c>
      <c r="L35" s="637">
        <v>0.06</v>
      </c>
      <c r="M35" s="637">
        <v>0.05</v>
      </c>
      <c r="N35" s="637">
        <v>0.03</v>
      </c>
      <c r="O35" s="637">
        <v>0.02</v>
      </c>
      <c r="P35" s="637">
        <v>0.02</v>
      </c>
      <c r="Q35" s="637">
        <v>0.02</v>
      </c>
      <c r="R35" s="637">
        <v>0.02</v>
      </c>
      <c r="S35" s="637">
        <v>0.02</v>
      </c>
      <c r="T35" s="637">
        <v>0.02</v>
      </c>
      <c r="U35" s="637">
        <v>0.02</v>
      </c>
      <c r="V35" s="637">
        <v>0.02</v>
      </c>
      <c r="W35" s="154"/>
      <c r="X35" s="154"/>
      <c r="Y35" s="154"/>
      <c r="Z35" s="154"/>
      <c r="AA35" s="154"/>
      <c r="AB35" s="154"/>
      <c r="AC35" s="154"/>
      <c r="AD35" s="154"/>
      <c r="AE35" s="154"/>
      <c r="AF35" s="154"/>
      <c r="AG35" s="154"/>
      <c r="AH35" s="154"/>
      <c r="AI35" s="154"/>
      <c r="AJ35" s="154"/>
      <c r="AK35" s="154"/>
      <c r="AL35" s="154"/>
      <c r="AM35" s="154"/>
      <c r="AN35" s="154"/>
      <c r="AO35" s="154"/>
      <c r="AP35" s="154"/>
      <c r="AQ35" s="154"/>
    </row>
    <row r="36" spans="1:43" ht="15.75">
      <c r="A36" s="160" t="s">
        <v>181</v>
      </c>
      <c r="B36" s="154"/>
      <c r="C36" s="154"/>
      <c r="D36" s="154"/>
      <c r="E36" s="154"/>
      <c r="F36" s="154"/>
      <c r="G36" s="154"/>
      <c r="H36" s="638">
        <f t="shared" ref="H36:V36" si="17">H30/G30-1</f>
        <v>9.2808591079114322E-3</v>
      </c>
      <c r="I36" s="638">
        <f t="shared" si="17"/>
        <v>0.12445330012453293</v>
      </c>
      <c r="J36" s="638">
        <f t="shared" si="17"/>
        <v>4.2379526345167395E-2</v>
      </c>
      <c r="K36" s="467">
        <f t="shared" si="17"/>
        <v>3.742087245883452E-2</v>
      </c>
      <c r="L36" s="467">
        <f t="shared" si="17"/>
        <v>2.917653319372171E-2</v>
      </c>
      <c r="M36" s="467">
        <f t="shared" si="17"/>
        <v>2.5765380335888377E-2</v>
      </c>
      <c r="N36" s="467">
        <f t="shared" si="17"/>
        <v>2.1967197525130322E-2</v>
      </c>
      <c r="O36" s="467">
        <f t="shared" si="17"/>
        <v>1.9999999999999796E-2</v>
      </c>
      <c r="P36" s="467">
        <f t="shared" si="17"/>
        <v>2.0000000000000018E-2</v>
      </c>
      <c r="Q36" s="467">
        <f t="shared" si="17"/>
        <v>2.0000000000000018E-2</v>
      </c>
      <c r="R36" s="467">
        <f t="shared" si="17"/>
        <v>2.0000000000000018E-2</v>
      </c>
      <c r="S36" s="467">
        <f t="shared" si="17"/>
        <v>2.0000000000000018E-2</v>
      </c>
      <c r="T36" s="467">
        <f t="shared" si="17"/>
        <v>2.0000000000000018E-2</v>
      </c>
      <c r="U36" s="467">
        <f t="shared" si="17"/>
        <v>2.000000000000024E-2</v>
      </c>
      <c r="V36" s="467">
        <f t="shared" si="17"/>
        <v>1.9999999999999796E-2</v>
      </c>
      <c r="W36" s="154"/>
      <c r="X36" s="154"/>
      <c r="Y36" s="154"/>
      <c r="Z36" s="154"/>
      <c r="AA36" s="154"/>
      <c r="AB36" s="154"/>
      <c r="AC36" s="154"/>
      <c r="AD36" s="154"/>
      <c r="AE36" s="154"/>
      <c r="AF36" s="154"/>
      <c r="AG36" s="154"/>
      <c r="AH36" s="154"/>
      <c r="AI36" s="154"/>
      <c r="AJ36" s="154"/>
      <c r="AK36" s="154"/>
      <c r="AL36" s="154"/>
      <c r="AM36" s="154"/>
      <c r="AN36" s="154"/>
      <c r="AO36" s="154"/>
      <c r="AP36" s="154"/>
      <c r="AQ36" s="154"/>
    </row>
    <row r="37" spans="1:43" ht="15.75">
      <c r="A37" s="160"/>
      <c r="B37" s="154"/>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c r="AK37" s="154"/>
      <c r="AL37" s="154"/>
      <c r="AM37" s="154"/>
      <c r="AN37" s="154"/>
      <c r="AO37" s="154"/>
      <c r="AP37" s="154"/>
      <c r="AQ37" s="154"/>
    </row>
    <row r="38" spans="1:43" ht="15.75">
      <c r="A38" s="160" t="s">
        <v>281</v>
      </c>
      <c r="B38" s="154"/>
      <c r="C38" s="154"/>
      <c r="D38" s="154"/>
      <c r="E38" s="154"/>
      <c r="F38" s="154"/>
      <c r="G38" s="154"/>
      <c r="H38" s="529"/>
      <c r="I38" s="529"/>
      <c r="J38" s="529"/>
      <c r="K38" s="529"/>
      <c r="L38" s="529"/>
      <c r="M38" s="529"/>
      <c r="N38" s="529"/>
      <c r="O38" s="529"/>
      <c r="P38" s="529"/>
      <c r="Q38" s="529"/>
      <c r="R38" s="529"/>
      <c r="S38" s="529"/>
      <c r="T38" s="529"/>
      <c r="U38" s="529"/>
      <c r="V38" s="529"/>
      <c r="W38" s="154"/>
      <c r="X38" s="154"/>
      <c r="Y38" s="154"/>
      <c r="Z38" s="154"/>
      <c r="AA38" s="154"/>
      <c r="AB38" s="154"/>
      <c r="AC38" s="154"/>
      <c r="AD38" s="154"/>
      <c r="AE38" s="154"/>
      <c r="AF38" s="154"/>
      <c r="AG38" s="154"/>
      <c r="AH38" s="154"/>
      <c r="AI38" s="154"/>
      <c r="AJ38" s="154"/>
      <c r="AK38" s="154"/>
      <c r="AL38" s="154"/>
      <c r="AM38" s="154"/>
      <c r="AN38" s="154"/>
      <c r="AO38" s="154"/>
      <c r="AP38" s="154"/>
      <c r="AQ38" s="154"/>
    </row>
    <row r="39" spans="1:43" ht="15.75">
      <c r="A39" s="154" t="s">
        <v>221</v>
      </c>
      <c r="B39" s="154"/>
      <c r="C39" s="154"/>
      <c r="D39" s="154"/>
      <c r="E39" s="154"/>
      <c r="F39" s="154"/>
      <c r="G39" s="586">
        <v>2419</v>
      </c>
      <c r="H39" s="586">
        <v>4630</v>
      </c>
      <c r="I39" s="586">
        <v>6994</v>
      </c>
      <c r="J39" s="586">
        <v>7663</v>
      </c>
      <c r="K39" s="586">
        <v>8326</v>
      </c>
      <c r="L39" s="540">
        <f t="shared" ref="L39:Q39" si="18">L27*L47</f>
        <v>8737.4393221499995</v>
      </c>
      <c r="M39" s="540">
        <f t="shared" si="18"/>
        <v>9173.1121886250003</v>
      </c>
      <c r="N39" s="540">
        <f t="shared" si="18"/>
        <v>9564.4983086730008</v>
      </c>
      <c r="O39" s="540">
        <f t="shared" si="18"/>
        <v>9925.4541578872686</v>
      </c>
      <c r="P39" s="540">
        <f t="shared" si="18"/>
        <v>10297.022441746638</v>
      </c>
      <c r="Q39" s="540">
        <f t="shared" si="18"/>
        <v>10679.483275297227</v>
      </c>
      <c r="R39" s="540">
        <f t="shared" ref="R39:V39" si="19">R27*R47</f>
        <v>11073.12373321314</v>
      </c>
      <c r="S39" s="540">
        <f t="shared" si="19"/>
        <v>11478.238016135572</v>
      </c>
      <c r="T39" s="540">
        <f t="shared" si="19"/>
        <v>11895.127620881616</v>
      </c>
      <c r="U39" s="540">
        <f t="shared" si="19"/>
        <v>12324.101514611048</v>
      </c>
      <c r="V39" s="540">
        <f t="shared" si="19"/>
        <v>12765.476313041305</v>
      </c>
      <c r="W39" s="154"/>
      <c r="X39" s="154"/>
      <c r="Y39" s="154"/>
      <c r="Z39" s="154"/>
      <c r="AA39" s="154"/>
      <c r="AB39" s="154"/>
      <c r="AC39" s="154"/>
      <c r="AD39" s="154"/>
      <c r="AE39" s="154"/>
      <c r="AF39" s="154"/>
      <c r="AG39" s="154"/>
      <c r="AH39" s="154"/>
      <c r="AI39" s="154"/>
      <c r="AJ39" s="154"/>
      <c r="AK39" s="154"/>
      <c r="AL39" s="154"/>
      <c r="AM39" s="154"/>
      <c r="AN39" s="154"/>
      <c r="AO39" s="154"/>
      <c r="AP39" s="154"/>
      <c r="AQ39" s="154"/>
    </row>
    <row r="40" spans="1:43" ht="15.75">
      <c r="A40" s="154" t="s">
        <v>238</v>
      </c>
      <c r="B40" s="154"/>
      <c r="C40" s="154"/>
      <c r="D40" s="154"/>
      <c r="E40" s="154"/>
      <c r="F40" s="154"/>
      <c r="G40" s="586">
        <v>51</v>
      </c>
      <c r="H40" s="586">
        <v>51</v>
      </c>
      <c r="I40" s="586">
        <v>54</v>
      </c>
      <c r="J40" s="586">
        <v>61</v>
      </c>
      <c r="K40" s="586">
        <v>0</v>
      </c>
      <c r="L40" s="540">
        <f t="shared" ref="L40:Q40" si="20">L28*L48</f>
        <v>0</v>
      </c>
      <c r="M40" s="540">
        <f t="shared" si="20"/>
        <v>0</v>
      </c>
      <c r="N40" s="540">
        <f t="shared" si="20"/>
        <v>0</v>
      </c>
      <c r="O40" s="540">
        <f t="shared" si="20"/>
        <v>0</v>
      </c>
      <c r="P40" s="540">
        <f t="shared" si="20"/>
        <v>0</v>
      </c>
      <c r="Q40" s="540">
        <f t="shared" si="20"/>
        <v>0</v>
      </c>
      <c r="R40" s="540">
        <f t="shared" ref="R40:V40" si="21">R28*R48</f>
        <v>0</v>
      </c>
      <c r="S40" s="540">
        <f t="shared" si="21"/>
        <v>0</v>
      </c>
      <c r="T40" s="540">
        <f t="shared" si="21"/>
        <v>0</v>
      </c>
      <c r="U40" s="540">
        <f t="shared" si="21"/>
        <v>0</v>
      </c>
      <c r="V40" s="540">
        <f t="shared" si="21"/>
        <v>0</v>
      </c>
      <c r="W40" s="154"/>
      <c r="X40" s="154"/>
      <c r="Y40" s="154"/>
      <c r="Z40" s="154"/>
      <c r="AA40" s="154"/>
      <c r="AB40" s="154"/>
      <c r="AC40" s="154"/>
      <c r="AD40" s="154"/>
      <c r="AE40" s="154"/>
      <c r="AF40" s="154"/>
      <c r="AG40" s="154"/>
      <c r="AH40" s="154"/>
      <c r="AI40" s="154"/>
      <c r="AJ40" s="154"/>
      <c r="AK40" s="154"/>
      <c r="AL40" s="154"/>
      <c r="AM40" s="154"/>
      <c r="AN40" s="154"/>
      <c r="AO40" s="154"/>
      <c r="AP40" s="154"/>
      <c r="AQ40" s="154"/>
    </row>
    <row r="41" spans="1:43" ht="15.75">
      <c r="A41" s="632" t="s">
        <v>224</v>
      </c>
      <c r="B41" s="632"/>
      <c r="C41" s="632"/>
      <c r="D41" s="632"/>
      <c r="E41" s="632"/>
      <c r="F41" s="632"/>
      <c r="G41" s="634">
        <v>11</v>
      </c>
      <c r="H41" s="634">
        <v>228</v>
      </c>
      <c r="I41" s="634">
        <v>228</v>
      </c>
      <c r="J41" s="634">
        <v>228</v>
      </c>
      <c r="K41" s="634">
        <v>253</v>
      </c>
      <c r="L41" s="633">
        <f t="shared" ref="L41:Q41" si="22">L29*L49</f>
        <v>265.54437360000003</v>
      </c>
      <c r="M41" s="633">
        <f t="shared" si="22"/>
        <v>278.82159228</v>
      </c>
      <c r="N41" s="633">
        <f t="shared" si="22"/>
        <v>287.18624004840001</v>
      </c>
      <c r="O41" s="633">
        <f t="shared" si="22"/>
        <v>292.92996484936805</v>
      </c>
      <c r="P41" s="633">
        <f t="shared" si="22"/>
        <v>298.78856414635544</v>
      </c>
      <c r="Q41" s="633">
        <f t="shared" si="22"/>
        <v>304.76433542928254</v>
      </c>
      <c r="R41" s="633">
        <f t="shared" ref="R41:V41" si="23">R29*R49</f>
        <v>310.8596221378682</v>
      </c>
      <c r="S41" s="633">
        <f t="shared" si="23"/>
        <v>317.07681458062558</v>
      </c>
      <c r="T41" s="633">
        <f t="shared" si="23"/>
        <v>323.41835087223808</v>
      </c>
      <c r="U41" s="633">
        <f t="shared" si="23"/>
        <v>329.88671788968281</v>
      </c>
      <c r="V41" s="633">
        <f t="shared" si="23"/>
        <v>336.4844522474765</v>
      </c>
      <c r="W41" s="154"/>
      <c r="X41" s="154"/>
      <c r="Y41" s="154"/>
      <c r="Z41" s="154"/>
      <c r="AA41" s="154"/>
      <c r="AB41" s="154"/>
      <c r="AC41" s="154"/>
      <c r="AD41" s="154"/>
      <c r="AE41" s="154"/>
      <c r="AF41" s="154"/>
      <c r="AG41" s="154"/>
      <c r="AH41" s="154"/>
      <c r="AI41" s="154"/>
      <c r="AJ41" s="154"/>
      <c r="AK41" s="154"/>
      <c r="AL41" s="154"/>
      <c r="AM41" s="154"/>
      <c r="AN41" s="154"/>
      <c r="AO41" s="154"/>
      <c r="AP41" s="154"/>
      <c r="AQ41" s="154"/>
    </row>
    <row r="42" spans="1:43" ht="15.75">
      <c r="A42" s="160" t="s">
        <v>181</v>
      </c>
      <c r="B42" s="154"/>
      <c r="C42" s="154"/>
      <c r="D42" s="154"/>
      <c r="E42" s="154"/>
      <c r="F42" s="628"/>
      <c r="G42" s="591">
        <f t="shared" ref="G42:Q42" si="24">SUM(G39:G41)</f>
        <v>2481</v>
      </c>
      <c r="H42" s="591">
        <f>SUM(H39:H41)</f>
        <v>4909</v>
      </c>
      <c r="I42" s="591">
        <f t="shared" si="24"/>
        <v>7276</v>
      </c>
      <c r="J42" s="591">
        <f t="shared" si="24"/>
        <v>7952</v>
      </c>
      <c r="K42" s="591">
        <f t="shared" si="24"/>
        <v>8579</v>
      </c>
      <c r="L42" s="591">
        <f t="shared" si="24"/>
        <v>9002.9836957499992</v>
      </c>
      <c r="M42" s="591">
        <f t="shared" si="24"/>
        <v>9451.9337809050012</v>
      </c>
      <c r="N42" s="591">
        <f t="shared" si="24"/>
        <v>9851.6845487214014</v>
      </c>
      <c r="O42" s="591">
        <f t="shared" si="24"/>
        <v>10218.384122736637</v>
      </c>
      <c r="P42" s="591">
        <f t="shared" si="24"/>
        <v>10595.811005892994</v>
      </c>
      <c r="Q42" s="591">
        <f t="shared" si="24"/>
        <v>10984.24761072651</v>
      </c>
      <c r="R42" s="591">
        <f t="shared" ref="R42:V42" si="25">SUM(R39:R41)</f>
        <v>11383.983355351009</v>
      </c>
      <c r="S42" s="591">
        <f t="shared" si="25"/>
        <v>11795.314830716197</v>
      </c>
      <c r="T42" s="591">
        <f t="shared" si="25"/>
        <v>12218.545971753854</v>
      </c>
      <c r="U42" s="591">
        <f t="shared" si="25"/>
        <v>12653.988232500731</v>
      </c>
      <c r="V42" s="591">
        <f t="shared" si="25"/>
        <v>13101.960765288781</v>
      </c>
      <c r="W42" s="154"/>
      <c r="X42" s="154"/>
      <c r="Y42" s="154"/>
      <c r="Z42" s="154"/>
      <c r="AA42" s="154"/>
      <c r="AB42" s="154"/>
      <c r="AC42" s="154"/>
      <c r="AD42" s="154"/>
      <c r="AE42" s="154"/>
      <c r="AF42" s="154"/>
      <c r="AG42" s="154"/>
      <c r="AH42" s="154"/>
      <c r="AI42" s="154"/>
      <c r="AJ42" s="154"/>
      <c r="AK42" s="154"/>
      <c r="AL42" s="154"/>
      <c r="AM42" s="154"/>
      <c r="AN42" s="154"/>
      <c r="AO42" s="154"/>
      <c r="AP42" s="154"/>
      <c r="AQ42" s="154"/>
    </row>
    <row r="43" spans="1:43" ht="15.75">
      <c r="A43" s="154" t="s">
        <v>145</v>
      </c>
      <c r="B43" s="154"/>
      <c r="C43" s="529"/>
      <c r="D43" s="529"/>
      <c r="E43" s="529"/>
      <c r="F43" s="529"/>
      <c r="G43" s="529"/>
      <c r="H43" s="529">
        <f t="shared" ref="H43:V43" si="26">H42-G42</f>
        <v>2428</v>
      </c>
      <c r="I43" s="529">
        <f t="shared" si="26"/>
        <v>2367</v>
      </c>
      <c r="J43" s="529">
        <f t="shared" si="26"/>
        <v>676</v>
      </c>
      <c r="K43" s="529">
        <f t="shared" si="26"/>
        <v>627</v>
      </c>
      <c r="L43" s="529">
        <f t="shared" si="26"/>
        <v>423.98369574999924</v>
      </c>
      <c r="M43" s="529">
        <f t="shared" si="26"/>
        <v>448.95008515500194</v>
      </c>
      <c r="N43" s="529">
        <f t="shared" si="26"/>
        <v>399.75076781640018</v>
      </c>
      <c r="O43" s="529">
        <f t="shared" si="26"/>
        <v>366.69957401523607</v>
      </c>
      <c r="P43" s="529">
        <f t="shared" si="26"/>
        <v>377.42688315635678</v>
      </c>
      <c r="Q43" s="529">
        <f t="shared" si="26"/>
        <v>388.43660483351596</v>
      </c>
      <c r="R43" s="529">
        <f t="shared" si="26"/>
        <v>399.73574462449869</v>
      </c>
      <c r="S43" s="529">
        <f t="shared" si="26"/>
        <v>411.33147536518845</v>
      </c>
      <c r="T43" s="529">
        <f t="shared" si="26"/>
        <v>423.23114103765693</v>
      </c>
      <c r="U43" s="529">
        <f t="shared" si="26"/>
        <v>435.44226074687685</v>
      </c>
      <c r="V43" s="529">
        <f t="shared" si="26"/>
        <v>447.97253278804965</v>
      </c>
      <c r="W43" s="154"/>
      <c r="X43" s="154"/>
      <c r="Y43" s="154"/>
      <c r="Z43" s="154"/>
      <c r="AA43" s="154"/>
      <c r="AB43" s="154"/>
      <c r="AC43" s="154"/>
      <c r="AD43" s="154"/>
      <c r="AE43" s="154"/>
      <c r="AF43" s="154"/>
      <c r="AG43" s="154"/>
      <c r="AH43" s="154"/>
      <c r="AI43" s="154"/>
      <c r="AJ43" s="154"/>
      <c r="AK43" s="154"/>
      <c r="AL43" s="154"/>
      <c r="AM43" s="154"/>
      <c r="AN43" s="154"/>
      <c r="AO43" s="154"/>
      <c r="AP43" s="154"/>
      <c r="AQ43" s="154"/>
    </row>
    <row r="44" spans="1:43" ht="15.75">
      <c r="A44" s="530" t="s">
        <v>637</v>
      </c>
      <c r="B44" s="561"/>
      <c r="C44" s="561"/>
      <c r="D44" s="561"/>
      <c r="E44" s="561"/>
      <c r="F44" s="561"/>
      <c r="G44" s="561"/>
      <c r="H44" s="562"/>
      <c r="I44" s="562"/>
      <c r="J44" s="562"/>
      <c r="K44" s="562"/>
      <c r="L44" s="562" cm="1">
        <f t="array" ref="L44">_xll.VAData("IHS_US", "FY-2025", "Towers - Latin America", "Consensus", "CD", "","","")</f>
        <v>8970.7594000000008</v>
      </c>
      <c r="M44" s="562" cm="1">
        <f t="array" ref="M44">_xll.VAData("IHS_US", "FY-2026", "Towers - Latin America", "Consensus", "CD", "","","")</f>
        <v>9867.8353399999996</v>
      </c>
      <c r="N44" s="562" cm="1">
        <f t="array" ref="N44">_xll.VAData("IHS_US", "FY-2027", "Towers - Latin America", "Consensus", "CD", "","","")</f>
        <v>10854.618874</v>
      </c>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row>
    <row r="45" spans="1:43" ht="15.75">
      <c r="A45" s="154"/>
      <c r="B45" s="154"/>
      <c r="C45" s="154"/>
      <c r="D45" s="154"/>
      <c r="E45" s="154"/>
      <c r="F45" s="154"/>
      <c r="G45" s="154"/>
      <c r="H45" s="529"/>
      <c r="I45" s="529"/>
      <c r="J45" s="529"/>
      <c r="K45" s="529"/>
      <c r="L45" s="529"/>
      <c r="M45" s="529"/>
      <c r="N45" s="529"/>
      <c r="O45" s="529"/>
      <c r="P45" s="529"/>
      <c r="Q45" s="529"/>
      <c r="R45" s="529"/>
      <c r="S45" s="529"/>
      <c r="T45" s="529"/>
      <c r="U45" s="529"/>
      <c r="V45" s="529"/>
      <c r="W45" s="154"/>
      <c r="X45" s="154"/>
      <c r="Y45" s="154"/>
      <c r="Z45" s="154"/>
      <c r="AA45" s="154"/>
      <c r="AB45" s="154"/>
      <c r="AC45" s="154"/>
      <c r="AD45" s="154"/>
      <c r="AE45" s="154"/>
      <c r="AF45" s="154"/>
      <c r="AG45" s="154"/>
      <c r="AH45" s="154"/>
      <c r="AI45" s="154"/>
      <c r="AJ45" s="154"/>
      <c r="AK45" s="154"/>
      <c r="AL45" s="154"/>
      <c r="AM45" s="154"/>
      <c r="AN45" s="154"/>
      <c r="AO45" s="154"/>
      <c r="AP45" s="154"/>
      <c r="AQ45" s="154"/>
    </row>
    <row r="46" spans="1:43" ht="15.75">
      <c r="A46" s="160" t="s">
        <v>215</v>
      </c>
      <c r="B46" s="154"/>
      <c r="C46" s="154"/>
      <c r="D46" s="154"/>
      <c r="E46" s="154"/>
      <c r="F46" s="154"/>
      <c r="G46" s="154"/>
      <c r="H46" s="154"/>
      <c r="I46" s="154"/>
      <c r="J46" s="154"/>
      <c r="K46" s="154"/>
      <c r="L46" s="15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row>
    <row r="47" spans="1:43" ht="15.75">
      <c r="A47" s="154" t="s">
        <v>221</v>
      </c>
      <c r="B47" s="154"/>
      <c r="C47" s="154"/>
      <c r="D47" s="154"/>
      <c r="E47" s="154"/>
      <c r="F47" s="154"/>
      <c r="G47" s="467">
        <f t="shared" ref="G47:H50" si="27">G39/G27</f>
        <v>3.7752633632461959E-2</v>
      </c>
      <c r="H47" s="467">
        <f t="shared" si="27"/>
        <v>7.139773007648656E-2</v>
      </c>
      <c r="I47" s="467">
        <f t="shared" ref="I47:J47" si="28">I39/I27</f>
        <v>9.3649157104026354E-2</v>
      </c>
      <c r="J47" s="467">
        <f t="shared" si="28"/>
        <v>0.10022102771347484</v>
      </c>
      <c r="K47" s="467">
        <f t="shared" ref="K47" si="29">K39/K27</f>
        <v>0.10623620969210831</v>
      </c>
      <c r="L47" s="547">
        <v>0.10929999999999999</v>
      </c>
      <c r="M47" s="547">
        <v>0.1125</v>
      </c>
      <c r="N47" s="547">
        <f>M47+0.25%</f>
        <v>0.115</v>
      </c>
      <c r="O47" s="547">
        <f t="shared" ref="O47:V47" si="30">N47+0.2%</f>
        <v>0.11700000000000001</v>
      </c>
      <c r="P47" s="547">
        <f t="shared" si="30"/>
        <v>0.11900000000000001</v>
      </c>
      <c r="Q47" s="547">
        <f t="shared" si="30"/>
        <v>0.12100000000000001</v>
      </c>
      <c r="R47" s="547">
        <f t="shared" si="30"/>
        <v>0.12300000000000001</v>
      </c>
      <c r="S47" s="547">
        <f t="shared" si="30"/>
        <v>0.125</v>
      </c>
      <c r="T47" s="547">
        <f t="shared" si="30"/>
        <v>0.127</v>
      </c>
      <c r="U47" s="547">
        <f t="shared" si="30"/>
        <v>0.129</v>
      </c>
      <c r="V47" s="547">
        <f t="shared" si="30"/>
        <v>0.13100000000000001</v>
      </c>
      <c r="W47" s="154"/>
      <c r="X47" s="154"/>
      <c r="Y47" s="154"/>
      <c r="Z47" s="154"/>
      <c r="AA47" s="154"/>
      <c r="AB47" s="154"/>
      <c r="AC47" s="154"/>
      <c r="AD47" s="154"/>
      <c r="AE47" s="154"/>
      <c r="AF47" s="154"/>
      <c r="AG47" s="154"/>
      <c r="AH47" s="154"/>
      <c r="AI47" s="154"/>
      <c r="AJ47" s="154"/>
      <c r="AK47" s="154"/>
      <c r="AL47" s="154"/>
      <c r="AM47" s="154"/>
      <c r="AN47" s="154"/>
      <c r="AO47" s="154"/>
      <c r="AP47" s="154"/>
      <c r="AQ47" s="154"/>
    </row>
    <row r="48" spans="1:43" ht="15.75">
      <c r="A48" s="154" t="s">
        <v>238</v>
      </c>
      <c r="B48" s="154"/>
      <c r="C48" s="154"/>
      <c r="D48" s="154"/>
      <c r="E48" s="154"/>
      <c r="F48" s="154"/>
      <c r="G48" s="467">
        <f t="shared" si="27"/>
        <v>2.8486845780036863E-3</v>
      </c>
      <c r="H48" s="467">
        <f t="shared" si="27"/>
        <v>2.8667790893760542E-3</v>
      </c>
      <c r="I48" s="467">
        <f t="shared" ref="I48:J48" si="31">I40/I28</f>
        <v>2.8205797858448681E-3</v>
      </c>
      <c r="J48" s="467">
        <f t="shared" si="31"/>
        <v>3.0344861893569128E-3</v>
      </c>
      <c r="K48" s="467">
        <f t="shared" ref="K48" si="32">K40/K28</f>
        <v>0</v>
      </c>
      <c r="L48" s="547">
        <v>0</v>
      </c>
      <c r="M48" s="547">
        <v>0</v>
      </c>
      <c r="N48" s="547">
        <v>0</v>
      </c>
      <c r="O48" s="547">
        <v>0</v>
      </c>
      <c r="P48" s="547">
        <v>0</v>
      </c>
      <c r="Q48" s="547">
        <v>0</v>
      </c>
      <c r="R48" s="547">
        <v>0</v>
      </c>
      <c r="S48" s="547">
        <v>0</v>
      </c>
      <c r="T48" s="547">
        <v>0</v>
      </c>
      <c r="U48" s="547">
        <v>0</v>
      </c>
      <c r="V48" s="547">
        <v>0</v>
      </c>
      <c r="W48" s="154"/>
      <c r="X48" s="154"/>
      <c r="Y48" s="154"/>
      <c r="Z48" s="154"/>
      <c r="AA48" s="154"/>
      <c r="AB48" s="154"/>
      <c r="AC48" s="154"/>
      <c r="AD48" s="154"/>
      <c r="AE48" s="154"/>
      <c r="AF48" s="154"/>
      <c r="AG48" s="154"/>
      <c r="AH48" s="154"/>
      <c r="AI48" s="154"/>
      <c r="AJ48" s="154"/>
      <c r="AK48" s="154"/>
      <c r="AL48" s="154"/>
      <c r="AM48" s="154"/>
      <c r="AN48" s="154"/>
      <c r="AO48" s="154"/>
      <c r="AP48" s="154"/>
      <c r="AQ48" s="154"/>
    </row>
    <row r="49" spans="1:43" ht="15.75">
      <c r="A49" s="632" t="s">
        <v>224</v>
      </c>
      <c r="B49" s="632"/>
      <c r="C49" s="632"/>
      <c r="D49" s="632"/>
      <c r="E49" s="632"/>
      <c r="F49" s="632"/>
      <c r="G49" s="639">
        <f t="shared" si="27"/>
        <v>6.2950669566212659E-4</v>
      </c>
      <c r="H49" s="639">
        <f t="shared" si="27"/>
        <v>1.2854484974911203E-2</v>
      </c>
      <c r="I49" s="639">
        <f t="shared" ref="I49:J49" si="33">I41/I29</f>
        <v>1.1975418877041861E-2</v>
      </c>
      <c r="J49" s="639">
        <f t="shared" si="33"/>
        <v>1.0812348840517854E-2</v>
      </c>
      <c r="K49" s="639">
        <f t="shared" ref="K49" si="34">K41/K29</f>
        <v>1.1109179079966768E-2</v>
      </c>
      <c r="L49" s="637">
        <v>1.0999999999999999E-2</v>
      </c>
      <c r="M49" s="637">
        <v>1.0999999999999999E-2</v>
      </c>
      <c r="N49" s="637">
        <v>1.0999999999999999E-2</v>
      </c>
      <c r="O49" s="637">
        <v>1.0999999999999999E-2</v>
      </c>
      <c r="P49" s="637">
        <v>1.0999999999999999E-2</v>
      </c>
      <c r="Q49" s="637">
        <v>1.0999999999999999E-2</v>
      </c>
      <c r="R49" s="637">
        <v>1.0999999999999999E-2</v>
      </c>
      <c r="S49" s="637">
        <v>1.0999999999999999E-2</v>
      </c>
      <c r="T49" s="637">
        <v>1.0999999999999999E-2</v>
      </c>
      <c r="U49" s="637">
        <v>1.0999999999999999E-2</v>
      </c>
      <c r="V49" s="637">
        <v>1.0999999999999999E-2</v>
      </c>
      <c r="W49" s="154"/>
      <c r="X49" s="154"/>
      <c r="Y49" s="154"/>
      <c r="Z49" s="154"/>
      <c r="AA49" s="154"/>
      <c r="AB49" s="154"/>
      <c r="AC49" s="154"/>
      <c r="AD49" s="154"/>
      <c r="AE49" s="154"/>
      <c r="AF49" s="154"/>
      <c r="AG49" s="154"/>
      <c r="AH49" s="154"/>
      <c r="AI49" s="154"/>
      <c r="AJ49" s="154"/>
      <c r="AK49" s="154"/>
      <c r="AL49" s="154"/>
      <c r="AM49" s="154"/>
      <c r="AN49" s="154"/>
      <c r="AO49" s="154"/>
      <c r="AP49" s="154"/>
      <c r="AQ49" s="154"/>
    </row>
    <row r="50" spans="1:43" ht="15.75">
      <c r="A50" s="154" t="s">
        <v>181</v>
      </c>
      <c r="B50" s="154"/>
      <c r="C50" s="154"/>
      <c r="D50" s="154"/>
      <c r="E50" s="154"/>
      <c r="F50" s="154"/>
      <c r="G50" s="467">
        <f t="shared" si="27"/>
        <v>2.4946707959618709E-2</v>
      </c>
      <c r="H50" s="467">
        <f t="shared" si="27"/>
        <v>4.8906600249066005E-2</v>
      </c>
      <c r="I50" s="467">
        <f t="shared" ref="I50:J50" si="35">I42/I30</f>
        <v>6.4465255566285989E-2</v>
      </c>
      <c r="J50" s="467">
        <f t="shared" si="35"/>
        <v>6.7590166616730521E-2</v>
      </c>
      <c r="K50" s="467">
        <f t="shared" ref="K50" si="36">K42/K30</f>
        <v>7.0289237467465418E-2</v>
      </c>
      <c r="L50" s="467">
        <f t="shared" ref="L50:Q50" si="37">L42/L30</f>
        <v>7.1671872772303219E-2</v>
      </c>
      <c r="M50" s="467">
        <f t="shared" si="37"/>
        <v>7.3355878389430848E-2</v>
      </c>
      <c r="N50" s="467">
        <f t="shared" si="37"/>
        <v>7.4814847058711956E-2</v>
      </c>
      <c r="O50" s="467">
        <f t="shared" si="37"/>
        <v>7.6078045686437001E-2</v>
      </c>
      <c r="P50" s="467">
        <f t="shared" si="37"/>
        <v>7.7341244314162047E-2</v>
      </c>
      <c r="Q50" s="467">
        <f t="shared" si="37"/>
        <v>7.8604442941887093E-2</v>
      </c>
      <c r="R50" s="467">
        <f t="shared" ref="R50:V50" si="38">R42/R30</f>
        <v>7.9867641569612124E-2</v>
      </c>
      <c r="S50" s="467">
        <f t="shared" si="38"/>
        <v>8.1130840197337156E-2</v>
      </c>
      <c r="T50" s="467">
        <f t="shared" si="38"/>
        <v>8.2394038825062202E-2</v>
      </c>
      <c r="U50" s="467">
        <f t="shared" si="38"/>
        <v>8.3657237452787234E-2</v>
      </c>
      <c r="V50" s="467">
        <f t="shared" si="38"/>
        <v>8.4920436080512293E-2</v>
      </c>
      <c r="W50" s="154"/>
      <c r="X50" s="154"/>
      <c r="Y50" s="154"/>
      <c r="Z50" s="154"/>
      <c r="AA50" s="154"/>
      <c r="AB50" s="154"/>
      <c r="AC50" s="154"/>
      <c r="AD50" s="154"/>
      <c r="AE50" s="154"/>
      <c r="AF50" s="154"/>
      <c r="AG50" s="154"/>
      <c r="AH50" s="154"/>
      <c r="AI50" s="154"/>
      <c r="AJ50" s="154"/>
      <c r="AK50" s="154"/>
      <c r="AL50" s="154"/>
      <c r="AM50" s="154"/>
      <c r="AN50" s="154"/>
      <c r="AO50" s="154"/>
      <c r="AP50" s="154"/>
      <c r="AQ50" s="154"/>
    </row>
    <row r="51" spans="1:43" ht="15.75">
      <c r="A51" s="154"/>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row>
    <row r="52" spans="1:43" ht="15.75">
      <c r="A52" s="160" t="s">
        <v>2</v>
      </c>
      <c r="B52" s="154"/>
      <c r="C52" s="154"/>
      <c r="D52" s="154"/>
      <c r="E52" s="540"/>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4"/>
      <c r="AP52" s="154"/>
      <c r="AQ52" s="154"/>
    </row>
    <row r="53" spans="1:43" ht="15.75">
      <c r="A53" s="154" t="s">
        <v>181</v>
      </c>
      <c r="B53" s="154"/>
      <c r="C53" s="154"/>
      <c r="D53" s="154"/>
      <c r="E53" s="540"/>
      <c r="F53" s="154"/>
      <c r="G53" s="640">
        <v>3245</v>
      </c>
      <c r="H53" s="640">
        <v>5961</v>
      </c>
      <c r="I53" s="640">
        <v>9781</v>
      </c>
      <c r="J53" s="640">
        <v>10429</v>
      </c>
      <c r="K53" s="640">
        <v>11175</v>
      </c>
      <c r="L53" s="529">
        <f t="shared" ref="L53:Q53" si="39">L42*L55</f>
        <v>11883.93847839</v>
      </c>
      <c r="M53" s="529">
        <f t="shared" si="39"/>
        <v>12571.071928603653</v>
      </c>
      <c r="N53" s="529">
        <f t="shared" si="39"/>
        <v>13201.257295286679</v>
      </c>
      <c r="O53" s="529">
        <f t="shared" si="39"/>
        <v>13794.818565694461</v>
      </c>
      <c r="P53" s="529">
        <f t="shared" si="39"/>
        <v>14410.302968014474</v>
      </c>
      <c r="Q53" s="529">
        <f t="shared" si="39"/>
        <v>15048.41922669532</v>
      </c>
      <c r="R53" s="529">
        <f t="shared" ref="R53:V53" si="40">R42*R55</f>
        <v>15709.897030384394</v>
      </c>
      <c r="S53" s="529">
        <f t="shared" si="40"/>
        <v>16395.487614695518</v>
      </c>
      <c r="T53" s="529">
        <f t="shared" si="40"/>
        <v>17105.964360455397</v>
      </c>
      <c r="U53" s="529">
        <f t="shared" si="40"/>
        <v>17842.123407826031</v>
      </c>
      <c r="V53" s="529">
        <f t="shared" si="40"/>
        <v>18604.78428671007</v>
      </c>
      <c r="W53" s="154"/>
      <c r="X53" s="154"/>
      <c r="Y53" s="154"/>
      <c r="Z53" s="154"/>
      <c r="AA53" s="154"/>
      <c r="AB53" s="154"/>
      <c r="AC53" s="154"/>
      <c r="AD53" s="154"/>
      <c r="AE53" s="154"/>
      <c r="AF53" s="154"/>
      <c r="AG53" s="154"/>
      <c r="AH53" s="154"/>
      <c r="AI53" s="154"/>
      <c r="AJ53" s="154"/>
      <c r="AK53" s="154"/>
      <c r="AL53" s="154"/>
      <c r="AM53" s="154"/>
      <c r="AN53" s="154"/>
      <c r="AO53" s="154"/>
      <c r="AP53" s="154"/>
      <c r="AQ53" s="154"/>
    </row>
    <row r="54" spans="1:43" ht="15.75">
      <c r="A54" s="154"/>
      <c r="B54" s="154"/>
      <c r="C54" s="154"/>
      <c r="D54" s="154"/>
      <c r="E54" s="540"/>
      <c r="F54" s="154"/>
      <c r="G54" s="154"/>
      <c r="H54" s="154"/>
      <c r="I54" s="154"/>
      <c r="J54" s="154"/>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L54" s="154"/>
      <c r="AM54" s="154"/>
      <c r="AN54" s="154"/>
      <c r="AO54" s="154"/>
      <c r="AP54" s="154"/>
      <c r="AQ54" s="154"/>
    </row>
    <row r="55" spans="1:43" ht="15.75">
      <c r="A55" s="160" t="s">
        <v>1</v>
      </c>
      <c r="B55" s="160"/>
      <c r="C55" s="160"/>
      <c r="D55" s="160"/>
      <c r="E55" s="591"/>
      <c r="F55" s="160"/>
      <c r="G55" s="641">
        <f>G53/G42</f>
        <v>1.3079403466344217</v>
      </c>
      <c r="H55" s="641">
        <f>H53/H42</f>
        <v>1.214300264819719</v>
      </c>
      <c r="I55" s="641">
        <f>I53/I42</f>
        <v>1.344282572842221</v>
      </c>
      <c r="J55" s="641">
        <f>J53/J42</f>
        <v>1.3114939637826961</v>
      </c>
      <c r="K55" s="641">
        <f>K53/K42</f>
        <v>1.3025993705560088</v>
      </c>
      <c r="L55" s="642">
        <v>1.32</v>
      </c>
      <c r="M55" s="642">
        <f t="shared" ref="M55:V55" si="41">L55+0.01</f>
        <v>1.33</v>
      </c>
      <c r="N55" s="642">
        <f t="shared" si="41"/>
        <v>1.34</v>
      </c>
      <c r="O55" s="642">
        <f t="shared" si="41"/>
        <v>1.35</v>
      </c>
      <c r="P55" s="642">
        <f t="shared" si="41"/>
        <v>1.36</v>
      </c>
      <c r="Q55" s="642">
        <f t="shared" si="41"/>
        <v>1.37</v>
      </c>
      <c r="R55" s="642">
        <f t="shared" si="41"/>
        <v>1.3800000000000001</v>
      </c>
      <c r="S55" s="642">
        <f t="shared" si="41"/>
        <v>1.3900000000000001</v>
      </c>
      <c r="T55" s="642">
        <f t="shared" si="41"/>
        <v>1.4000000000000001</v>
      </c>
      <c r="U55" s="642">
        <f t="shared" si="41"/>
        <v>1.4100000000000001</v>
      </c>
      <c r="V55" s="642">
        <f t="shared" si="41"/>
        <v>1.4200000000000002</v>
      </c>
      <c r="W55" s="154"/>
      <c r="X55" s="936"/>
      <c r="Y55" s="154"/>
      <c r="Z55" s="154"/>
      <c r="AA55" s="154"/>
      <c r="AB55" s="154"/>
      <c r="AC55" s="154"/>
      <c r="AD55" s="154"/>
      <c r="AE55" s="154"/>
      <c r="AF55" s="154"/>
      <c r="AG55" s="154"/>
      <c r="AH55" s="154"/>
      <c r="AI55" s="154"/>
      <c r="AJ55" s="154"/>
      <c r="AK55" s="154"/>
      <c r="AL55" s="154"/>
      <c r="AM55" s="154"/>
      <c r="AN55" s="154"/>
      <c r="AO55" s="154"/>
      <c r="AP55" s="154"/>
      <c r="AQ55" s="154"/>
    </row>
    <row r="56" spans="1:43" ht="15.75">
      <c r="A56" s="530" t="s">
        <v>637</v>
      </c>
      <c r="B56" s="561"/>
      <c r="C56" s="561"/>
      <c r="D56" s="561"/>
      <c r="E56" s="561"/>
      <c r="F56" s="561"/>
      <c r="G56" s="561"/>
      <c r="H56" s="562"/>
      <c r="I56" s="568"/>
      <c r="J56" s="568"/>
      <c r="K56" s="568"/>
      <c r="L56" s="568" cm="1">
        <f t="array" ref="L56">_xll.VAData("IHS_US", "FY-2025", "Tenancy ratio - Latin America", "Consensus", "CD", "","","")</f>
        <v>1.3106760393105601</v>
      </c>
      <c r="M56" s="568" cm="1">
        <f t="array" ref="M56">_xll.VAData("IHS_US", "FY-2026", "Tenancy ratio - Latin America", "Consensus", "CD", "","","")</f>
        <v>1.3300937098936201</v>
      </c>
      <c r="N56" s="568" cm="1">
        <f t="array" ref="N56">_xll.VAData("IHS_US", "FY-2027", "Tenancy ratio - Latin America", "Consensus", "CD", "","","")</f>
        <v>1.3484522348085199</v>
      </c>
      <c r="O56" s="154"/>
      <c r="P56" s="154"/>
      <c r="Q56" s="154"/>
      <c r="R56" s="154"/>
      <c r="S56" s="154"/>
      <c r="T56" s="154"/>
      <c r="U56" s="154"/>
      <c r="V56" s="154"/>
      <c r="W56" s="154"/>
      <c r="X56" s="154"/>
      <c r="Y56" s="154"/>
      <c r="Z56" s="154"/>
      <c r="AA56" s="154"/>
      <c r="AB56" s="154"/>
      <c r="AC56" s="154"/>
      <c r="AD56" s="154"/>
      <c r="AE56" s="154"/>
      <c r="AF56" s="154"/>
      <c r="AG56" s="154"/>
      <c r="AH56" s="154"/>
      <c r="AI56" s="154"/>
      <c r="AJ56" s="154"/>
      <c r="AK56" s="154"/>
      <c r="AL56" s="154"/>
      <c r="AM56" s="154"/>
      <c r="AN56" s="154"/>
      <c r="AO56" s="154"/>
      <c r="AP56" s="154"/>
      <c r="AQ56" s="154"/>
    </row>
    <row r="57" spans="1:43" ht="15.75">
      <c r="A57" s="154"/>
      <c r="B57" s="154"/>
      <c r="C57" s="154"/>
      <c r="D57" s="154"/>
      <c r="E57" s="540"/>
      <c r="F57" s="154"/>
      <c r="G57" s="154"/>
      <c r="H57" s="154"/>
      <c r="I57" s="154"/>
      <c r="J57" s="154"/>
      <c r="K57" s="154"/>
      <c r="L57" s="154"/>
      <c r="M57" s="154"/>
      <c r="N57" s="154"/>
      <c r="O57" s="154"/>
      <c r="P57" s="154"/>
      <c r="Q57" s="154"/>
      <c r="R57" s="154"/>
      <c r="S57" s="154"/>
      <c r="T57" s="154"/>
      <c r="U57" s="154"/>
      <c r="V57" s="154"/>
      <c r="W57" s="154"/>
      <c r="X57" s="154"/>
      <c r="Y57" s="154"/>
      <c r="Z57" s="154"/>
      <c r="AA57" s="154"/>
      <c r="AB57" s="154"/>
      <c r="AC57" s="154"/>
      <c r="AD57" s="154"/>
      <c r="AE57" s="154"/>
      <c r="AF57" s="154"/>
      <c r="AG57" s="154"/>
      <c r="AH57" s="154"/>
      <c r="AI57" s="154"/>
      <c r="AJ57" s="154"/>
      <c r="AK57" s="154"/>
      <c r="AL57" s="154"/>
      <c r="AM57" s="154"/>
      <c r="AN57" s="154"/>
      <c r="AO57" s="154"/>
      <c r="AP57" s="154"/>
      <c r="AQ57" s="154"/>
    </row>
    <row r="58" spans="1:43" ht="15.75">
      <c r="A58" s="160" t="s">
        <v>2</v>
      </c>
      <c r="B58" s="154"/>
      <c r="C58" s="154"/>
      <c r="D58" s="154"/>
      <c r="E58" s="540"/>
      <c r="F58" s="154"/>
      <c r="G58" s="154"/>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c r="AE58" s="154"/>
      <c r="AF58" s="154"/>
      <c r="AG58" s="154"/>
      <c r="AH58" s="154"/>
      <c r="AI58" s="154"/>
      <c r="AJ58" s="154"/>
      <c r="AK58" s="154"/>
      <c r="AL58" s="154"/>
      <c r="AM58" s="154"/>
      <c r="AN58" s="154"/>
      <c r="AO58" s="154"/>
      <c r="AP58" s="154"/>
      <c r="AQ58" s="154"/>
    </row>
    <row r="59" spans="1:43" ht="15.75">
      <c r="A59" s="154" t="s">
        <v>2</v>
      </c>
      <c r="B59" s="540"/>
      <c r="C59" s="540"/>
      <c r="D59" s="540"/>
      <c r="E59" s="540"/>
      <c r="F59" s="643"/>
      <c r="G59" s="540">
        <f t="shared" ref="G59:Q59" si="42">G53</f>
        <v>3245</v>
      </c>
      <c r="H59" s="540">
        <f t="shared" si="42"/>
        <v>5961</v>
      </c>
      <c r="I59" s="540">
        <f t="shared" si="42"/>
        <v>9781</v>
      </c>
      <c r="J59" s="540">
        <f t="shared" si="42"/>
        <v>10429</v>
      </c>
      <c r="K59" s="540">
        <f t="shared" si="42"/>
        <v>11175</v>
      </c>
      <c r="L59" s="540">
        <f t="shared" si="42"/>
        <v>11883.93847839</v>
      </c>
      <c r="M59" s="540">
        <f t="shared" si="42"/>
        <v>12571.071928603653</v>
      </c>
      <c r="N59" s="540">
        <f t="shared" si="42"/>
        <v>13201.257295286679</v>
      </c>
      <c r="O59" s="540">
        <f t="shared" si="42"/>
        <v>13794.818565694461</v>
      </c>
      <c r="P59" s="540">
        <f t="shared" si="42"/>
        <v>14410.302968014474</v>
      </c>
      <c r="Q59" s="540">
        <f t="shared" si="42"/>
        <v>15048.41922669532</v>
      </c>
      <c r="R59" s="540">
        <f t="shared" ref="R59:V59" si="43">R53</f>
        <v>15709.897030384394</v>
      </c>
      <c r="S59" s="540">
        <f t="shared" si="43"/>
        <v>16395.487614695518</v>
      </c>
      <c r="T59" s="540">
        <f t="shared" si="43"/>
        <v>17105.964360455397</v>
      </c>
      <c r="U59" s="540">
        <f t="shared" si="43"/>
        <v>17842.123407826031</v>
      </c>
      <c r="V59" s="540">
        <f t="shared" si="43"/>
        <v>18604.78428671007</v>
      </c>
      <c r="W59" s="154"/>
      <c r="X59" s="154"/>
      <c r="Y59" s="154"/>
      <c r="Z59" s="154"/>
      <c r="AA59" s="154"/>
      <c r="AB59" s="154"/>
      <c r="AC59" s="154"/>
      <c r="AD59" s="154"/>
      <c r="AE59" s="154"/>
      <c r="AF59" s="154"/>
      <c r="AG59" s="154"/>
      <c r="AH59" s="154"/>
      <c r="AI59" s="154"/>
      <c r="AJ59" s="154"/>
      <c r="AK59" s="154"/>
      <c r="AL59" s="154"/>
      <c r="AM59" s="154"/>
      <c r="AN59" s="154"/>
      <c r="AO59" s="154"/>
      <c r="AP59" s="154"/>
      <c r="AQ59" s="154"/>
    </row>
    <row r="60" spans="1:43" ht="15.75">
      <c r="A60" s="154" t="s">
        <v>3</v>
      </c>
      <c r="B60" s="154"/>
      <c r="C60" s="159"/>
      <c r="D60" s="159"/>
      <c r="E60" s="159"/>
      <c r="F60" s="159"/>
      <c r="G60" s="159"/>
      <c r="H60" s="159">
        <f t="shared" ref="H60:V60" si="44">H59/G59-1</f>
        <v>0.83697996918335904</v>
      </c>
      <c r="I60" s="159">
        <f t="shared" si="44"/>
        <v>0.64083207515517526</v>
      </c>
      <c r="J60" s="159">
        <f t="shared" si="44"/>
        <v>6.6250894591554976E-2</v>
      </c>
      <c r="K60" s="159">
        <f t="shared" si="44"/>
        <v>7.1531306932591798E-2</v>
      </c>
      <c r="L60" s="159">
        <f t="shared" si="44"/>
        <v>6.3439684867114154E-2</v>
      </c>
      <c r="M60" s="159">
        <f t="shared" si="44"/>
        <v>5.7820347308524811E-2</v>
      </c>
      <c r="N60" s="159">
        <f t="shared" si="44"/>
        <v>5.0129803588915278E-2</v>
      </c>
      <c r="O60" s="159">
        <f t="shared" si="44"/>
        <v>4.4962480249491454E-2</v>
      </c>
      <c r="P60" s="159">
        <f t="shared" si="44"/>
        <v>4.4617071213290505E-2</v>
      </c>
      <c r="Q60" s="159">
        <f t="shared" si="44"/>
        <v>4.4281946056042409E-2</v>
      </c>
      <c r="R60" s="159">
        <f t="shared" si="44"/>
        <v>4.3956630508780625E-2</v>
      </c>
      <c r="S60" s="159">
        <f t="shared" si="44"/>
        <v>4.3640679692879436E-2</v>
      </c>
      <c r="T60" s="159">
        <f t="shared" si="44"/>
        <v>4.3333675853779896E-2</v>
      </c>
      <c r="U60" s="159">
        <f t="shared" si="44"/>
        <v>4.3035226302262419E-2</v>
      </c>
      <c r="V60" s="159">
        <f t="shared" si="44"/>
        <v>4.2744961541377746E-2</v>
      </c>
      <c r="W60" s="154"/>
      <c r="X60" s="154"/>
      <c r="Y60" s="154"/>
      <c r="Z60" s="154"/>
      <c r="AA60" s="154"/>
      <c r="AB60" s="154"/>
      <c r="AC60" s="154"/>
      <c r="AD60" s="154"/>
      <c r="AE60" s="154"/>
      <c r="AF60" s="154"/>
      <c r="AG60" s="154"/>
      <c r="AH60" s="154"/>
      <c r="AI60" s="154"/>
      <c r="AJ60" s="154"/>
      <c r="AK60" s="154"/>
      <c r="AL60" s="154"/>
      <c r="AM60" s="154"/>
      <c r="AN60" s="154"/>
      <c r="AO60" s="154"/>
      <c r="AP60" s="154"/>
      <c r="AQ60" s="154"/>
    </row>
    <row r="61" spans="1:43" ht="15.75">
      <c r="A61" s="154" t="s">
        <v>4</v>
      </c>
      <c r="B61" s="540"/>
      <c r="C61" s="540"/>
      <c r="D61" s="540"/>
      <c r="E61" s="540"/>
      <c r="F61" s="540"/>
      <c r="G61" s="540"/>
      <c r="H61" s="540">
        <f t="shared" ref="H61:V61" si="45">H59-G59</f>
        <v>2716</v>
      </c>
      <c r="I61" s="540">
        <f t="shared" si="45"/>
        <v>3820</v>
      </c>
      <c r="J61" s="540">
        <f t="shared" si="45"/>
        <v>648</v>
      </c>
      <c r="K61" s="540">
        <f t="shared" si="45"/>
        <v>746</v>
      </c>
      <c r="L61" s="540">
        <f t="shared" si="45"/>
        <v>708.93847839000045</v>
      </c>
      <c r="M61" s="540">
        <f t="shared" si="45"/>
        <v>687.1334502136524</v>
      </c>
      <c r="N61" s="540">
        <f t="shared" si="45"/>
        <v>630.18536668302659</v>
      </c>
      <c r="O61" s="540">
        <f t="shared" si="45"/>
        <v>593.56127040778119</v>
      </c>
      <c r="P61" s="540">
        <f t="shared" si="45"/>
        <v>615.48440232001303</v>
      </c>
      <c r="Q61" s="540">
        <f t="shared" si="45"/>
        <v>638.11625868084593</v>
      </c>
      <c r="R61" s="540">
        <f t="shared" si="45"/>
        <v>661.47780368907479</v>
      </c>
      <c r="S61" s="540">
        <f t="shared" si="45"/>
        <v>685.59058431112317</v>
      </c>
      <c r="T61" s="540">
        <f t="shared" si="45"/>
        <v>710.47674575987912</v>
      </c>
      <c r="U61" s="540">
        <f t="shared" si="45"/>
        <v>736.15904737063465</v>
      </c>
      <c r="V61" s="540">
        <f t="shared" si="45"/>
        <v>762.66087888403854</v>
      </c>
      <c r="W61" s="154"/>
      <c r="X61" s="154"/>
      <c r="Y61" s="154"/>
      <c r="Z61" s="154"/>
      <c r="AA61" s="154"/>
      <c r="AB61" s="154"/>
      <c r="AC61" s="154"/>
      <c r="AD61" s="154"/>
      <c r="AE61" s="154"/>
      <c r="AF61" s="154"/>
      <c r="AG61" s="154"/>
      <c r="AH61" s="154"/>
      <c r="AI61" s="154"/>
      <c r="AJ61" s="154"/>
      <c r="AK61" s="154"/>
      <c r="AL61" s="154"/>
      <c r="AM61" s="154"/>
      <c r="AN61" s="154"/>
      <c r="AO61" s="154"/>
      <c r="AP61" s="154"/>
      <c r="AQ61" s="154"/>
    </row>
    <row r="62" spans="1:43" ht="15.75">
      <c r="A62" s="154" t="s">
        <v>146</v>
      </c>
      <c r="B62" s="154"/>
      <c r="C62" s="529"/>
      <c r="D62" s="529"/>
      <c r="E62" s="529"/>
      <c r="F62" s="529"/>
      <c r="G62" s="529"/>
      <c r="H62" s="529">
        <f t="shared" ref="H62:Q62" si="46">H61-H43</f>
        <v>288</v>
      </c>
      <c r="I62" s="529">
        <f t="shared" si="46"/>
        <v>1453</v>
      </c>
      <c r="J62" s="529">
        <f t="shared" si="46"/>
        <v>-28</v>
      </c>
      <c r="K62" s="529">
        <f t="shared" si="46"/>
        <v>119</v>
      </c>
      <c r="L62" s="529">
        <f t="shared" si="46"/>
        <v>284.95478264000121</v>
      </c>
      <c r="M62" s="529">
        <f t="shared" si="46"/>
        <v>238.18336505865045</v>
      </c>
      <c r="N62" s="529">
        <f t="shared" si="46"/>
        <v>230.4345988666264</v>
      </c>
      <c r="O62" s="529">
        <f t="shared" si="46"/>
        <v>226.86169639254513</v>
      </c>
      <c r="P62" s="529">
        <f t="shared" si="46"/>
        <v>238.05751916365625</v>
      </c>
      <c r="Q62" s="529">
        <f t="shared" si="46"/>
        <v>249.67965384732997</v>
      </c>
      <c r="R62" s="529">
        <f t="shared" ref="R62:V62" si="47">R61-R43</f>
        <v>261.7420590645761</v>
      </c>
      <c r="S62" s="529">
        <f t="shared" si="47"/>
        <v>274.25910894593471</v>
      </c>
      <c r="T62" s="529">
        <f t="shared" si="47"/>
        <v>287.2456047222222</v>
      </c>
      <c r="U62" s="529">
        <f t="shared" si="47"/>
        <v>300.7167866237578</v>
      </c>
      <c r="V62" s="529">
        <f t="shared" si="47"/>
        <v>314.68834609598889</v>
      </c>
      <c r="W62" s="154"/>
      <c r="X62" s="154"/>
      <c r="Y62" s="154"/>
      <c r="Z62" s="154"/>
      <c r="AA62" s="154"/>
      <c r="AB62" s="154"/>
      <c r="AC62" s="154"/>
      <c r="AD62" s="154"/>
      <c r="AE62" s="154"/>
      <c r="AF62" s="154"/>
      <c r="AG62" s="154"/>
      <c r="AH62" s="154"/>
      <c r="AI62" s="154"/>
      <c r="AJ62" s="154"/>
      <c r="AK62" s="154"/>
      <c r="AL62" s="154"/>
      <c r="AM62" s="154"/>
      <c r="AN62" s="154"/>
      <c r="AO62" s="154"/>
      <c r="AP62" s="154"/>
      <c r="AQ62" s="154"/>
    </row>
    <row r="63" spans="1:43" ht="15.75">
      <c r="A63" s="154"/>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row>
    <row r="64" spans="1:43" ht="15.75">
      <c r="A64" s="154" t="s">
        <v>6</v>
      </c>
      <c r="B64" s="154"/>
      <c r="C64" s="540"/>
      <c r="D64" s="540"/>
      <c r="E64" s="540"/>
      <c r="F64" s="540"/>
      <c r="G64" s="540">
        <v>950</v>
      </c>
      <c r="H64" s="540">
        <f>H78/AVERAGE(G59:H59)/12*1000000</f>
        <v>1080.9254833804041</v>
      </c>
      <c r="I64" s="540">
        <f t="shared" ref="I64:V64" si="48">I78/AVERAGE(H59:I59)/12*1000000</f>
        <v>1090.5856943209251</v>
      </c>
      <c r="J64" s="540">
        <f t="shared" si="48"/>
        <v>1133.9848259937326</v>
      </c>
      <c r="K64" s="540">
        <f t="shared" si="48"/>
        <v>887.64426340801072</v>
      </c>
      <c r="L64" s="540">
        <f t="shared" si="48"/>
        <v>801.73862660643431</v>
      </c>
      <c r="M64" s="540">
        <f t="shared" si="48"/>
        <v>729.72475590918384</v>
      </c>
      <c r="N64" s="540">
        <f t="shared" si="48"/>
        <v>669.26007201984464</v>
      </c>
      <c r="O64" s="540">
        <f t="shared" si="48"/>
        <v>618.41778693491312</v>
      </c>
      <c r="P64" s="540">
        <f t="shared" si="48"/>
        <v>567.89725264711308</v>
      </c>
      <c r="Q64" s="540">
        <f t="shared" si="48"/>
        <v>516.05233887871736</v>
      </c>
      <c r="R64" s="540">
        <f t="shared" si="48"/>
        <v>462.73089482591934</v>
      </c>
      <c r="S64" s="540">
        <f t="shared" si="48"/>
        <v>407.77498327271138</v>
      </c>
      <c r="T64" s="540">
        <f t="shared" si="48"/>
        <v>351.02022264485117</v>
      </c>
      <c r="U64" s="540">
        <f t="shared" si="48"/>
        <v>292.29510934468323</v>
      </c>
      <c r="V64" s="540">
        <f t="shared" si="48"/>
        <v>231.42031663857512</v>
      </c>
      <c r="W64" s="154"/>
      <c r="X64" s="154"/>
      <c r="Y64" s="154"/>
      <c r="Z64" s="154"/>
      <c r="AA64" s="154"/>
      <c r="AB64" s="154"/>
      <c r="AC64" s="154"/>
      <c r="AD64" s="154"/>
      <c r="AE64" s="154"/>
      <c r="AF64" s="154"/>
      <c r="AG64" s="154"/>
      <c r="AH64" s="154"/>
      <c r="AI64" s="154"/>
      <c r="AJ64" s="154"/>
      <c r="AK64" s="154"/>
      <c r="AL64" s="154"/>
      <c r="AM64" s="154"/>
      <c r="AN64" s="154"/>
      <c r="AO64" s="154"/>
      <c r="AP64" s="154"/>
      <c r="AQ64" s="154"/>
    </row>
    <row r="65" spans="1:43" ht="15.75">
      <c r="A65" s="154" t="s">
        <v>3</v>
      </c>
      <c r="B65" s="154"/>
      <c r="C65" s="154"/>
      <c r="D65" s="467"/>
      <c r="E65" s="467"/>
      <c r="F65" s="467"/>
      <c r="G65" s="467"/>
      <c r="H65" s="467">
        <f>H64/G64-1</f>
        <v>0.13781629829516229</v>
      </c>
      <c r="I65" s="467">
        <f t="shared" ref="I65:V65" si="49">I64/H64-1</f>
        <v>8.9369814007069781E-3</v>
      </c>
      <c r="J65" s="467">
        <f t="shared" si="49"/>
        <v>3.9794334272677867E-2</v>
      </c>
      <c r="K65" s="467">
        <f t="shared" si="49"/>
        <v>-0.21723444347665666</v>
      </c>
      <c r="L65" s="467">
        <f t="shared" si="49"/>
        <v>-9.6779352205523583E-2</v>
      </c>
      <c r="M65" s="467">
        <f t="shared" si="49"/>
        <v>-8.9822129441446186E-2</v>
      </c>
      <c r="N65" s="467">
        <f t="shared" si="49"/>
        <v>-8.2859576024667869E-2</v>
      </c>
      <c r="O65" s="467">
        <f t="shared" si="49"/>
        <v>-7.5967904272980391E-2</v>
      </c>
      <c r="P65" s="467">
        <f t="shared" si="49"/>
        <v>-8.1693210245773917E-2</v>
      </c>
      <c r="Q65" s="467">
        <f t="shared" si="49"/>
        <v>-9.1292770878417584E-2</v>
      </c>
      <c r="R65" s="467">
        <f t="shared" si="49"/>
        <v>-0.10332565136446292</v>
      </c>
      <c r="S65" s="467">
        <f t="shared" si="49"/>
        <v>-0.11876430160100404</v>
      </c>
      <c r="T65" s="467">
        <f t="shared" si="49"/>
        <v>-0.13918156570655493</v>
      </c>
      <c r="U65" s="467">
        <f t="shared" si="49"/>
        <v>-0.16729837630917288</v>
      </c>
      <c r="V65" s="467">
        <f t="shared" si="49"/>
        <v>-0.20826483495597159</v>
      </c>
      <c r="W65" s="154"/>
      <c r="X65" s="154"/>
      <c r="Y65" s="154"/>
      <c r="Z65" s="154"/>
      <c r="AA65" s="154"/>
      <c r="AB65" s="154"/>
      <c r="AC65" s="154"/>
      <c r="AD65" s="154"/>
      <c r="AE65" s="154"/>
      <c r="AF65" s="154"/>
      <c r="AG65" s="154"/>
      <c r="AH65" s="154"/>
      <c r="AI65" s="154"/>
      <c r="AJ65" s="154"/>
      <c r="AK65" s="154"/>
      <c r="AL65" s="154"/>
      <c r="AM65" s="154"/>
      <c r="AN65" s="154"/>
      <c r="AO65" s="154"/>
      <c r="AP65" s="154"/>
      <c r="AQ65" s="154"/>
    </row>
    <row r="66" spans="1:43" ht="15.75">
      <c r="A66" s="154" t="s">
        <v>7</v>
      </c>
      <c r="B66" s="154"/>
      <c r="C66" s="540"/>
      <c r="D66" s="540"/>
      <c r="E66" s="540"/>
      <c r="F66" s="540"/>
      <c r="G66" s="540">
        <v>1200</v>
      </c>
      <c r="H66" s="540">
        <f>H78/AVERAGE(G42:H42)/12*1000000</f>
        <v>1346.5493910690122</v>
      </c>
      <c r="I66" s="540">
        <f t="shared" ref="I66:V66" si="50">I78/AVERAGE(H42:I42)/12*1000000</f>
        <v>1408.9454247025033</v>
      </c>
      <c r="J66" s="540">
        <f t="shared" si="50"/>
        <v>1504.9798616583487</v>
      </c>
      <c r="K66" s="540">
        <f t="shared" si="50"/>
        <v>1160.0427479684631</v>
      </c>
      <c r="L66" s="540">
        <f t="shared" si="50"/>
        <v>1051.4878176764255</v>
      </c>
      <c r="M66" s="540">
        <f t="shared" si="50"/>
        <v>966.97406111807345</v>
      </c>
      <c r="N66" s="540">
        <f t="shared" si="50"/>
        <v>893.53149331738825</v>
      </c>
      <c r="O66" s="540">
        <f t="shared" si="50"/>
        <v>831.82841888413679</v>
      </c>
      <c r="P66" s="540">
        <f t="shared" si="50"/>
        <v>769.55226616181926</v>
      </c>
      <c r="Q66" s="540">
        <f t="shared" si="50"/>
        <v>704.45788674784342</v>
      </c>
      <c r="R66" s="540">
        <f t="shared" si="50"/>
        <v>636.29632698991111</v>
      </c>
      <c r="S66" s="540">
        <f t="shared" si="50"/>
        <v>564.80453297247493</v>
      </c>
      <c r="T66" s="540">
        <f t="shared" si="50"/>
        <v>489.70414328518427</v>
      </c>
      <c r="U66" s="540">
        <f t="shared" si="50"/>
        <v>410.7002146114267</v>
      </c>
      <c r="V66" s="540">
        <f t="shared" si="50"/>
        <v>327.47987348050555</v>
      </c>
      <c r="W66" s="154"/>
      <c r="X66" s="154"/>
      <c r="Y66" s="154"/>
      <c r="Z66" s="154"/>
      <c r="AA66" s="154"/>
      <c r="AB66" s="154"/>
      <c r="AC66" s="154"/>
      <c r="AD66" s="154"/>
      <c r="AE66" s="154"/>
      <c r="AF66" s="154"/>
      <c r="AG66" s="154"/>
      <c r="AH66" s="154"/>
      <c r="AI66" s="154"/>
      <c r="AJ66" s="154"/>
      <c r="AK66" s="154"/>
      <c r="AL66" s="154"/>
      <c r="AM66" s="154"/>
      <c r="AN66" s="154"/>
      <c r="AO66" s="154"/>
      <c r="AP66" s="154"/>
      <c r="AQ66" s="154"/>
    </row>
    <row r="67" spans="1:43" ht="15.75">
      <c r="A67" s="154" t="s">
        <v>3</v>
      </c>
      <c r="B67" s="154"/>
      <c r="C67" s="154"/>
      <c r="D67" s="467"/>
      <c r="E67" s="467"/>
      <c r="F67" s="467"/>
      <c r="G67" s="467"/>
      <c r="H67" s="467"/>
      <c r="I67" s="467">
        <f t="shared" ref="I67:V67" si="51">I66/H66-1</f>
        <v>4.6337723701286082E-2</v>
      </c>
      <c r="J67" s="467">
        <f t="shared" si="51"/>
        <v>6.8160508755066296E-2</v>
      </c>
      <c r="K67" s="467">
        <f t="shared" si="51"/>
        <v>-0.22919716235258902</v>
      </c>
      <c r="L67" s="467">
        <f t="shared" si="51"/>
        <v>-9.3578387936259722E-2</v>
      </c>
      <c r="M67" s="467">
        <f t="shared" si="51"/>
        <v>-8.0375402489312964E-2</v>
      </c>
      <c r="N67" s="467">
        <f t="shared" si="51"/>
        <v>-7.5950918182610239E-2</v>
      </c>
      <c r="O67" s="467">
        <f t="shared" si="51"/>
        <v>-6.9055287804314802E-2</v>
      </c>
      <c r="P67" s="467">
        <f t="shared" si="51"/>
        <v>-7.4866584632751976E-2</v>
      </c>
      <c r="Q67" s="467">
        <f t="shared" si="51"/>
        <v>-8.458734029676418E-2</v>
      </c>
      <c r="R67" s="467">
        <f t="shared" si="51"/>
        <v>-9.6757465620269656E-2</v>
      </c>
      <c r="S67" s="467">
        <f t="shared" si="51"/>
        <v>-0.112356131860195</v>
      </c>
      <c r="T67" s="467">
        <f t="shared" si="51"/>
        <v>-0.13296704488551014</v>
      </c>
      <c r="U67" s="467">
        <f t="shared" si="51"/>
        <v>-0.16132991676108577</v>
      </c>
      <c r="V67" s="467">
        <f t="shared" si="51"/>
        <v>-0.20263038140765988</v>
      </c>
      <c r="W67" s="154"/>
      <c r="X67" s="154"/>
      <c r="Y67" s="154"/>
      <c r="Z67" s="154"/>
      <c r="AA67" s="154"/>
      <c r="AB67" s="154"/>
      <c r="AC67" s="154"/>
      <c r="AD67" s="154"/>
      <c r="AE67" s="154"/>
      <c r="AF67" s="154"/>
      <c r="AG67" s="154"/>
      <c r="AH67" s="154"/>
      <c r="AI67" s="154"/>
      <c r="AJ67" s="154"/>
      <c r="AK67" s="154"/>
      <c r="AL67" s="154"/>
      <c r="AM67" s="154"/>
      <c r="AN67" s="154"/>
      <c r="AO67" s="154"/>
      <c r="AP67" s="154"/>
      <c r="AQ67" s="154"/>
    </row>
    <row r="68" spans="1:43" ht="15.75">
      <c r="A68" s="154"/>
      <c r="B68" s="154"/>
      <c r="C68" s="154"/>
      <c r="D68" s="467"/>
      <c r="E68" s="467"/>
      <c r="F68" s="467"/>
      <c r="G68" s="467"/>
      <c r="H68" s="467"/>
      <c r="I68" s="467"/>
      <c r="J68" s="467"/>
      <c r="K68" s="467"/>
      <c r="L68" s="467"/>
      <c r="M68" s="467"/>
      <c r="N68" s="467"/>
      <c r="O68" s="467"/>
      <c r="P68" s="467"/>
      <c r="Q68" s="467"/>
      <c r="R68" s="467"/>
      <c r="S68" s="467"/>
      <c r="T68" s="467"/>
      <c r="U68" s="467"/>
      <c r="V68" s="467"/>
      <c r="W68" s="154"/>
      <c r="X68" s="154"/>
      <c r="Y68" s="154"/>
      <c r="Z68" s="154"/>
      <c r="AA68" s="154"/>
      <c r="AB68" s="154"/>
      <c r="AC68" s="154"/>
      <c r="AD68" s="154"/>
      <c r="AE68" s="154"/>
      <c r="AF68" s="154"/>
      <c r="AG68" s="154"/>
      <c r="AH68" s="154"/>
      <c r="AI68" s="154"/>
      <c r="AJ68" s="154"/>
      <c r="AK68" s="154"/>
      <c r="AL68" s="154"/>
      <c r="AM68" s="154"/>
      <c r="AN68" s="154"/>
      <c r="AO68" s="154"/>
      <c r="AP68" s="154"/>
      <c r="AQ68" s="154"/>
    </row>
    <row r="69" spans="1:43" ht="15.75">
      <c r="A69" s="154"/>
      <c r="B69" s="154"/>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c r="AP69" s="154"/>
      <c r="AQ69" s="154"/>
    </row>
    <row r="70" spans="1:43" ht="15.75">
      <c r="A70" s="154"/>
      <c r="B70" s="154"/>
      <c r="C70" s="154"/>
      <c r="D70" s="154"/>
      <c r="E70" s="154"/>
      <c r="F70" s="154"/>
      <c r="G70" s="154"/>
      <c r="H70" s="529"/>
      <c r="I70" s="529"/>
      <c r="J70" s="529"/>
      <c r="K70" s="537"/>
      <c r="L70" s="537"/>
      <c r="M70" s="537"/>
      <c r="N70" s="537"/>
      <c r="O70" s="537"/>
      <c r="P70" s="537"/>
      <c r="Q70" s="537"/>
      <c r="R70" s="537"/>
      <c r="S70" s="537"/>
      <c r="T70" s="537"/>
      <c r="U70" s="537"/>
      <c r="V70" s="537"/>
      <c r="W70" s="537"/>
      <c r="X70" s="537"/>
      <c r="Y70" s="537"/>
      <c r="Z70" s="537"/>
      <c r="AA70" s="154"/>
      <c r="AB70" s="154"/>
      <c r="AC70" s="154"/>
      <c r="AD70" s="154"/>
      <c r="AE70" s="154"/>
      <c r="AF70" s="154"/>
      <c r="AG70" s="154"/>
      <c r="AH70" s="154"/>
      <c r="AI70" s="154"/>
      <c r="AJ70" s="154"/>
      <c r="AK70" s="154"/>
      <c r="AL70" s="154"/>
      <c r="AM70" s="154"/>
      <c r="AN70" s="154"/>
      <c r="AO70" s="154"/>
      <c r="AP70" s="154"/>
      <c r="AQ70" s="154"/>
    </row>
    <row r="71" spans="1:43" ht="15.75">
      <c r="A71" s="163" t="s">
        <v>673</v>
      </c>
      <c r="B71" s="164"/>
      <c r="C71" s="164"/>
      <c r="D71" s="164"/>
      <c r="E71" s="164"/>
      <c r="F71" s="164"/>
      <c r="G71" s="164"/>
      <c r="H71" s="164"/>
      <c r="I71" s="164"/>
      <c r="J71" s="164"/>
      <c r="K71" s="164"/>
      <c r="L71" s="164"/>
      <c r="M71" s="164"/>
      <c r="N71" s="164"/>
      <c r="O71" s="164"/>
      <c r="P71" s="164"/>
      <c r="Q71" s="164"/>
      <c r="R71" s="164"/>
      <c r="S71" s="164"/>
      <c r="T71" s="164"/>
      <c r="U71" s="164"/>
      <c r="V71" s="164"/>
      <c r="W71" s="154"/>
      <c r="X71" s="154"/>
      <c r="Y71" s="154"/>
      <c r="Z71" s="154"/>
      <c r="AA71" s="154"/>
      <c r="AB71" s="154"/>
      <c r="AC71" s="154"/>
      <c r="AD71" s="154"/>
      <c r="AE71" s="154"/>
      <c r="AF71" s="154"/>
      <c r="AG71" s="154"/>
      <c r="AH71" s="154"/>
      <c r="AI71" s="154"/>
      <c r="AJ71" s="154"/>
      <c r="AK71" s="154"/>
      <c r="AL71" s="154"/>
      <c r="AM71" s="154"/>
      <c r="AN71" s="154"/>
      <c r="AO71" s="154"/>
      <c r="AP71" s="154"/>
      <c r="AQ71" s="154"/>
    </row>
    <row r="72" spans="1:43" ht="15.75">
      <c r="A72" s="154"/>
      <c r="B72" s="154"/>
      <c r="C72" s="154"/>
      <c r="D72" s="154"/>
      <c r="E72" s="154"/>
      <c r="F72" s="154"/>
      <c r="G72" s="460"/>
      <c r="H72" s="460"/>
      <c r="I72" s="460"/>
      <c r="J72" s="460"/>
      <c r="K72" s="460"/>
      <c r="L72" s="460"/>
      <c r="M72" s="460"/>
      <c r="N72" s="460"/>
      <c r="O72" s="460"/>
      <c r="P72" s="460"/>
      <c r="Q72" s="460"/>
      <c r="R72" s="460"/>
      <c r="S72" s="460"/>
      <c r="T72" s="460"/>
      <c r="U72" s="460"/>
      <c r="V72" s="460"/>
      <c r="W72" s="460"/>
      <c r="X72" s="460"/>
      <c r="Y72" s="460"/>
      <c r="Z72" s="460"/>
      <c r="AA72" s="154"/>
      <c r="AB72" s="154"/>
      <c r="AC72" s="154"/>
      <c r="AD72" s="154"/>
      <c r="AE72" s="154"/>
      <c r="AF72" s="154"/>
      <c r="AG72" s="154"/>
      <c r="AH72" s="154"/>
      <c r="AI72" s="154"/>
      <c r="AJ72" s="154"/>
      <c r="AK72" s="154"/>
      <c r="AL72" s="154"/>
      <c r="AM72" s="154"/>
      <c r="AN72" s="154"/>
      <c r="AO72" s="154"/>
      <c r="AP72" s="154"/>
      <c r="AQ72" s="154"/>
    </row>
    <row r="73" spans="1:43" ht="15.75">
      <c r="A73" s="160" t="s">
        <v>5</v>
      </c>
      <c r="B73" s="593"/>
      <c r="C73" s="593"/>
      <c r="D73" s="593"/>
      <c r="E73" s="593"/>
      <c r="F73" s="593"/>
      <c r="G73" s="644">
        <v>30.184999999999999</v>
      </c>
      <c r="H73" s="644">
        <v>59.706000000000003</v>
      </c>
      <c r="I73" s="644">
        <v>160.00800000000001</v>
      </c>
      <c r="J73" s="644">
        <v>200.20699999999999</v>
      </c>
      <c r="K73" s="644">
        <v>184.03</v>
      </c>
      <c r="L73" s="593">
        <f t="shared" ref="L73:V73" si="52">K73*(1+L74)</f>
        <v>186.79044999999999</v>
      </c>
      <c r="M73" s="593">
        <f t="shared" si="52"/>
        <v>190.52625899999998</v>
      </c>
      <c r="N73" s="593">
        <f t="shared" si="52"/>
        <v>195.28941547499997</v>
      </c>
      <c r="O73" s="593">
        <f t="shared" si="52"/>
        <v>201.14809793924996</v>
      </c>
      <c r="P73" s="593">
        <f t="shared" si="52"/>
        <v>207.18254087742747</v>
      </c>
      <c r="Q73" s="593">
        <f t="shared" si="52"/>
        <v>213.39801710375031</v>
      </c>
      <c r="R73" s="593">
        <f t="shared" si="52"/>
        <v>219.79995761686283</v>
      </c>
      <c r="S73" s="593">
        <f t="shared" si="52"/>
        <v>226.39395634536871</v>
      </c>
      <c r="T73" s="593">
        <f t="shared" si="52"/>
        <v>233.18577503572976</v>
      </c>
      <c r="U73" s="593">
        <f t="shared" si="52"/>
        <v>240.18134828680166</v>
      </c>
      <c r="V73" s="593">
        <f t="shared" si="52"/>
        <v>247.38678873540573</v>
      </c>
      <c r="W73" s="154"/>
      <c r="X73" s="154"/>
      <c r="Y73" s="154"/>
      <c r="Z73" s="154"/>
      <c r="AA73" s="154"/>
      <c r="AB73" s="154"/>
      <c r="AC73" s="154"/>
      <c r="AD73" s="154"/>
      <c r="AE73" s="154"/>
      <c r="AF73" s="154"/>
      <c r="AG73" s="154"/>
      <c r="AH73" s="154"/>
      <c r="AI73" s="154"/>
      <c r="AJ73" s="154"/>
      <c r="AK73" s="154"/>
      <c r="AL73" s="154"/>
      <c r="AM73" s="154"/>
      <c r="AN73" s="154"/>
      <c r="AO73" s="154"/>
      <c r="AP73" s="154"/>
      <c r="AQ73" s="154"/>
    </row>
    <row r="74" spans="1:43" ht="15.75">
      <c r="A74" s="154" t="s">
        <v>3</v>
      </c>
      <c r="B74" s="154"/>
      <c r="C74" s="597"/>
      <c r="D74" s="597"/>
      <c r="E74" s="597"/>
      <c r="F74" s="597"/>
      <c r="G74" s="597"/>
      <c r="H74" s="597">
        <f>H73/G73-1</f>
        <v>0.97800231903263235</v>
      </c>
      <c r="I74" s="597">
        <f>I73/H73-1</f>
        <v>1.6799316651592804</v>
      </c>
      <c r="J74" s="597">
        <f>J73/I73-1</f>
        <v>0.25123118844057779</v>
      </c>
      <c r="K74" s="597">
        <f>K73/J73-1</f>
        <v>-8.0801370581448206E-2</v>
      </c>
      <c r="L74" s="603">
        <v>1.4999999999999999E-2</v>
      </c>
      <c r="M74" s="603">
        <v>0.02</v>
      </c>
      <c r="N74" s="603">
        <v>2.5000000000000001E-2</v>
      </c>
      <c r="O74" s="603">
        <v>0.03</v>
      </c>
      <c r="P74" s="603">
        <v>0.03</v>
      </c>
      <c r="Q74" s="603">
        <v>0.03</v>
      </c>
      <c r="R74" s="603">
        <v>0.03</v>
      </c>
      <c r="S74" s="603">
        <v>0.03</v>
      </c>
      <c r="T74" s="603">
        <v>0.03</v>
      </c>
      <c r="U74" s="603">
        <v>0.03</v>
      </c>
      <c r="V74" s="603">
        <v>0.03</v>
      </c>
      <c r="W74" s="154"/>
      <c r="X74" s="154"/>
      <c r="Y74" s="154"/>
      <c r="Z74" s="154"/>
      <c r="AA74" s="154"/>
      <c r="AB74" s="154"/>
      <c r="AC74" s="154"/>
      <c r="AD74" s="154"/>
      <c r="AE74" s="154"/>
      <c r="AF74" s="154"/>
      <c r="AG74" s="154"/>
      <c r="AH74" s="154"/>
      <c r="AI74" s="154"/>
      <c r="AJ74" s="154"/>
      <c r="AK74" s="154"/>
      <c r="AL74" s="154"/>
      <c r="AM74" s="154"/>
      <c r="AN74" s="154"/>
      <c r="AO74" s="154"/>
      <c r="AP74" s="154"/>
      <c r="AQ74" s="154"/>
    </row>
    <row r="75" spans="1:43" ht="15.75">
      <c r="A75" s="154" t="s">
        <v>634</v>
      </c>
      <c r="B75" s="154"/>
      <c r="C75" s="154"/>
      <c r="D75" s="154"/>
      <c r="E75" s="154"/>
      <c r="F75" s="154"/>
      <c r="G75" s="154"/>
      <c r="H75" s="154"/>
      <c r="I75" s="527">
        <v>0.32100000000000001</v>
      </c>
      <c r="J75" s="527">
        <v>0.157</v>
      </c>
      <c r="K75" s="527">
        <v>-6.0000000000000001E-3</v>
      </c>
      <c r="L75" s="154"/>
      <c r="M75" s="154"/>
      <c r="N75" s="154"/>
      <c r="O75" s="154"/>
      <c r="P75" s="154"/>
      <c r="Q75" s="154"/>
      <c r="R75" s="154"/>
      <c r="S75" s="154"/>
      <c r="T75" s="154"/>
      <c r="U75" s="154"/>
      <c r="V75" s="154"/>
      <c r="W75" s="154"/>
      <c r="X75" s="540">
        <f>Consolidation!K10</f>
        <v>1725.2777405198199</v>
      </c>
      <c r="Y75" s="540">
        <v>1700</v>
      </c>
      <c r="Z75" s="540">
        <v>1730</v>
      </c>
      <c r="AA75" s="154"/>
      <c r="AB75" s="154"/>
      <c r="AC75" s="154"/>
      <c r="AD75" s="154"/>
      <c r="AE75" s="154"/>
      <c r="AF75" s="154"/>
      <c r="AG75" s="154"/>
      <c r="AH75" s="154"/>
      <c r="AI75" s="154"/>
      <c r="AJ75" s="154"/>
      <c r="AK75" s="154"/>
      <c r="AL75" s="154"/>
      <c r="AM75" s="154"/>
      <c r="AN75" s="154"/>
      <c r="AO75" s="154"/>
      <c r="AP75" s="154"/>
      <c r="AQ75" s="154"/>
    </row>
    <row r="76" spans="1:43" ht="15.75">
      <c r="A76" s="530" t="s">
        <v>637</v>
      </c>
      <c r="B76" s="561"/>
      <c r="C76" s="561"/>
      <c r="D76" s="561"/>
      <c r="E76" s="561"/>
      <c r="F76" s="561"/>
      <c r="G76" s="561"/>
      <c r="H76" s="562"/>
      <c r="I76" s="562"/>
      <c r="J76" s="562"/>
      <c r="K76" s="562"/>
      <c r="L76" s="562" cm="1">
        <f t="array" ref="L76">_xll.VAData("IHS_US", "FY-2025", "Revenue - Latin America", "Consensus", "CD", "","","")</f>
        <v>187.41963159584699</v>
      </c>
      <c r="M76" s="562" cm="1">
        <f t="array" ref="M76">_xll.VAData("IHS_US", "FY-2026", "Revenue - Latin America", "Consensus", "CD", "","","")</f>
        <v>198.371671861268</v>
      </c>
      <c r="N76" s="562" cm="1">
        <f t="array" ref="N76">_xll.VAData("IHS_US", "FY-2027", "Revenue - Latin America", "Consensus", "CD", "","","")</f>
        <v>209.39104786283599</v>
      </c>
      <c r="O76" s="154"/>
      <c r="P76" s="154"/>
      <c r="Q76" s="154"/>
      <c r="R76" s="154"/>
      <c r="S76" s="154"/>
      <c r="T76" s="154"/>
      <c r="U76" s="154"/>
      <c r="V76" s="154"/>
      <c r="W76" s="154"/>
      <c r="X76" s="540">
        <f>Consolidation!K32</f>
        <v>998.65849699308114</v>
      </c>
      <c r="Y76" s="540">
        <v>985</v>
      </c>
      <c r="Z76" s="540">
        <v>1005</v>
      </c>
      <c r="AA76" s="154"/>
      <c r="AB76" s="154"/>
      <c r="AC76" s="154"/>
      <c r="AD76" s="154"/>
      <c r="AE76" s="154"/>
      <c r="AF76" s="154"/>
      <c r="AG76" s="154"/>
      <c r="AH76" s="154"/>
      <c r="AI76" s="154"/>
      <c r="AJ76" s="154"/>
      <c r="AK76" s="154"/>
      <c r="AL76" s="154"/>
      <c r="AM76" s="154"/>
      <c r="AN76" s="154"/>
      <c r="AO76" s="154"/>
      <c r="AP76" s="154"/>
      <c r="AQ76" s="154"/>
    </row>
    <row r="77" spans="1:43" ht="15.75">
      <c r="A77" s="154"/>
      <c r="B77" s="154"/>
      <c r="C77" s="154"/>
      <c r="D77" s="154"/>
      <c r="E77" s="154"/>
      <c r="F77" s="154"/>
      <c r="G77" s="154"/>
      <c r="H77" s="154"/>
      <c r="I77" s="154"/>
      <c r="J77" s="154"/>
      <c r="K77" s="154"/>
      <c r="L77" s="154"/>
      <c r="M77" s="154"/>
      <c r="N77" s="154"/>
      <c r="O77" s="154"/>
      <c r="P77" s="154"/>
      <c r="Q77" s="154"/>
      <c r="R77" s="154"/>
      <c r="S77" s="154"/>
      <c r="T77" s="154"/>
      <c r="U77" s="154"/>
      <c r="V77" s="154"/>
      <c r="W77" s="154"/>
      <c r="X77" s="540">
        <f>Consolidation!K88</f>
        <v>258.79166107797295</v>
      </c>
      <c r="Y77" s="540">
        <v>240</v>
      </c>
      <c r="Z77" s="540">
        <v>270</v>
      </c>
      <c r="AA77" s="154"/>
      <c r="AB77" s="154"/>
      <c r="AC77" s="154"/>
      <c r="AD77" s="154"/>
      <c r="AE77" s="154"/>
      <c r="AF77" s="154"/>
      <c r="AG77" s="154"/>
      <c r="AH77" s="154"/>
      <c r="AI77" s="154"/>
      <c r="AJ77" s="154"/>
      <c r="AK77" s="154"/>
      <c r="AL77" s="154"/>
      <c r="AM77" s="154"/>
      <c r="AN77" s="154"/>
      <c r="AO77" s="154"/>
      <c r="AP77" s="154"/>
      <c r="AQ77" s="154"/>
    </row>
    <row r="78" spans="1:43" ht="15.75">
      <c r="A78" s="154" t="s">
        <v>843</v>
      </c>
      <c r="B78" s="154"/>
      <c r="C78" s="154"/>
      <c r="D78" s="154"/>
      <c r="E78" s="154"/>
      <c r="F78" s="154"/>
      <c r="G78" s="529">
        <f>G73-G80</f>
        <v>30.184999999999999</v>
      </c>
      <c r="H78" s="529">
        <f>H73-H80</f>
        <v>59.706000000000003</v>
      </c>
      <c r="I78" s="529">
        <f>I73-I80</f>
        <v>103.00800000000001</v>
      </c>
      <c r="J78" s="529">
        <f t="shared" ref="J78:Q78" si="53">J73-J80</f>
        <v>137.50700000000001</v>
      </c>
      <c r="K78" s="529">
        <f t="shared" si="53"/>
        <v>115.05999999999999</v>
      </c>
      <c r="L78" s="529">
        <f t="shared" si="53"/>
        <v>110.92344999999997</v>
      </c>
      <c r="M78" s="529">
        <f t="shared" si="53"/>
        <v>107.07255899999996</v>
      </c>
      <c r="N78" s="529">
        <f t="shared" si="53"/>
        <v>103.49034547499993</v>
      </c>
      <c r="O78" s="529">
        <f t="shared" si="53"/>
        <v>100.16912093924991</v>
      </c>
      <c r="P78" s="529">
        <f t="shared" si="53"/>
        <v>96.105666177427395</v>
      </c>
      <c r="Q78" s="529">
        <f t="shared" si="53"/>
        <v>91.213454933750214</v>
      </c>
      <c r="R78" s="529">
        <f t="shared" ref="R78:V78" si="54">R73-R80</f>
        <v>85.39693922986271</v>
      </c>
      <c r="S78" s="529">
        <f t="shared" si="54"/>
        <v>78.550636119668553</v>
      </c>
      <c r="T78" s="529">
        <f t="shared" si="54"/>
        <v>70.558122787459581</v>
      </c>
      <c r="U78" s="529">
        <f t="shared" si="54"/>
        <v>61.290930813704449</v>
      </c>
      <c r="V78" s="529">
        <f t="shared" si="54"/>
        <v>50.607329514998781</v>
      </c>
      <c r="W78" s="154"/>
      <c r="X78" s="540">
        <f>Consolidation!K128</f>
        <v>400.40542278029807</v>
      </c>
      <c r="Y78" s="540">
        <v>390</v>
      </c>
      <c r="Z78" s="540">
        <v>410</v>
      </c>
      <c r="AA78" s="154"/>
      <c r="AB78" s="154"/>
      <c r="AC78" s="154"/>
      <c r="AD78" s="154"/>
      <c r="AE78" s="154"/>
      <c r="AF78" s="154"/>
      <c r="AG78" s="154"/>
      <c r="AH78" s="154"/>
      <c r="AI78" s="154"/>
      <c r="AJ78" s="154"/>
      <c r="AK78" s="154"/>
      <c r="AL78" s="154"/>
      <c r="AM78" s="154"/>
      <c r="AN78" s="154"/>
      <c r="AO78" s="154"/>
      <c r="AP78" s="154"/>
      <c r="AQ78" s="154"/>
    </row>
    <row r="79" spans="1:43" ht="15.75">
      <c r="A79" s="154" t="s">
        <v>633</v>
      </c>
      <c r="B79" s="154"/>
      <c r="C79" s="154"/>
      <c r="D79" s="154"/>
      <c r="E79" s="154"/>
      <c r="F79" s="154"/>
      <c r="G79" s="529"/>
      <c r="H79" s="165">
        <f>H78/G78-1</f>
        <v>0.97800231903263235</v>
      </c>
      <c r="I79" s="165">
        <f t="shared" ref="I79:V79" si="55">I78/H78-1</f>
        <v>0.7252537433423778</v>
      </c>
      <c r="J79" s="165">
        <f t="shared" si="55"/>
        <v>0.3349157347002174</v>
      </c>
      <c r="K79" s="165">
        <f t="shared" si="55"/>
        <v>-0.163242598558619</v>
      </c>
      <c r="L79" s="165">
        <f t="shared" si="55"/>
        <v>-3.5951242829828089E-2</v>
      </c>
      <c r="M79" s="165">
        <f t="shared" si="55"/>
        <v>-3.4716653692253741E-2</v>
      </c>
      <c r="N79" s="165">
        <f t="shared" si="55"/>
        <v>-3.3455943880075112E-2</v>
      </c>
      <c r="O79" s="165">
        <f t="shared" si="55"/>
        <v>-3.2092119516137108E-2</v>
      </c>
      <c r="P79" s="165">
        <f t="shared" si="55"/>
        <v>-4.0565942115903142E-2</v>
      </c>
      <c r="Q79" s="165">
        <f t="shared" si="55"/>
        <v>-5.0904503743258278E-2</v>
      </c>
      <c r="R79" s="165">
        <f t="shared" si="55"/>
        <v>-6.376817661508527E-2</v>
      </c>
      <c r="S79" s="165">
        <f t="shared" si="55"/>
        <v>-8.0170357063570896E-2</v>
      </c>
      <c r="T79" s="165">
        <f t="shared" si="55"/>
        <v>-0.10174982313361181</v>
      </c>
      <c r="U79" s="165">
        <f t="shared" si="55"/>
        <v>-0.13134124899652522</v>
      </c>
      <c r="V79" s="165">
        <f t="shared" si="55"/>
        <v>-0.17430965979581514</v>
      </c>
      <c r="W79" s="154"/>
      <c r="X79" s="540"/>
      <c r="Y79" s="154"/>
      <c r="Z79" s="154"/>
      <c r="AA79" s="154"/>
      <c r="AB79" s="154"/>
      <c r="AC79" s="154"/>
      <c r="AD79" s="154"/>
      <c r="AE79" s="154"/>
      <c r="AF79" s="154"/>
      <c r="AG79" s="154"/>
      <c r="AH79" s="154"/>
      <c r="AI79" s="154"/>
      <c r="AJ79" s="154"/>
      <c r="AK79" s="154"/>
      <c r="AL79" s="154"/>
      <c r="AM79" s="154"/>
      <c r="AN79" s="154"/>
      <c r="AO79" s="154"/>
      <c r="AP79" s="154"/>
      <c r="AQ79" s="154"/>
    </row>
    <row r="80" spans="1:43" ht="15.75">
      <c r="A80" s="154" t="s">
        <v>844</v>
      </c>
      <c r="B80" s="154"/>
      <c r="C80" s="154"/>
      <c r="D80" s="154"/>
      <c r="E80" s="154"/>
      <c r="F80" s="154"/>
      <c r="G80" s="154"/>
      <c r="H80" s="154"/>
      <c r="I80" s="645">
        <v>57</v>
      </c>
      <c r="J80" s="646">
        <f>I80*1.1</f>
        <v>62.7</v>
      </c>
      <c r="K80" s="646">
        <f>J80*1.1</f>
        <v>68.970000000000013</v>
      </c>
      <c r="L80" s="646">
        <f t="shared" ref="L80:V80" si="56">K80*1.1</f>
        <v>75.867000000000019</v>
      </c>
      <c r="M80" s="646">
        <f t="shared" si="56"/>
        <v>83.453700000000026</v>
      </c>
      <c r="N80" s="646">
        <f t="shared" si="56"/>
        <v>91.799070000000043</v>
      </c>
      <c r="O80" s="646">
        <f t="shared" si="56"/>
        <v>100.97897700000006</v>
      </c>
      <c r="P80" s="646">
        <f t="shared" si="56"/>
        <v>111.07687470000008</v>
      </c>
      <c r="Q80" s="646">
        <f t="shared" si="56"/>
        <v>122.18456217000009</v>
      </c>
      <c r="R80" s="646">
        <f t="shared" si="56"/>
        <v>134.40301838700012</v>
      </c>
      <c r="S80" s="646">
        <f t="shared" si="56"/>
        <v>147.84332022570015</v>
      </c>
      <c r="T80" s="646">
        <f t="shared" si="56"/>
        <v>162.62765224827018</v>
      </c>
      <c r="U80" s="646">
        <f t="shared" si="56"/>
        <v>178.89041747309722</v>
      </c>
      <c r="V80" s="646">
        <f t="shared" si="56"/>
        <v>196.77945922040695</v>
      </c>
      <c r="W80" s="154"/>
      <c r="X80" s="540"/>
      <c r="Y80" s="154"/>
      <c r="Z80" s="154"/>
      <c r="AA80" s="154"/>
      <c r="AB80" s="154"/>
      <c r="AC80" s="154"/>
      <c r="AD80" s="154"/>
      <c r="AE80" s="154"/>
      <c r="AF80" s="154"/>
      <c r="AG80" s="154"/>
      <c r="AH80" s="154"/>
      <c r="AI80" s="154"/>
      <c r="AJ80" s="154"/>
      <c r="AK80" s="154"/>
      <c r="AL80" s="154"/>
      <c r="AM80" s="154"/>
      <c r="AN80" s="154"/>
      <c r="AO80" s="154"/>
      <c r="AP80" s="154"/>
      <c r="AQ80" s="154"/>
    </row>
    <row r="81" spans="1:43" ht="15.75">
      <c r="A81" s="154" t="s">
        <v>633</v>
      </c>
      <c r="B81" s="154"/>
      <c r="C81" s="154"/>
      <c r="D81" s="154"/>
      <c r="E81" s="154"/>
      <c r="F81" s="154"/>
      <c r="G81" s="154"/>
      <c r="H81" s="165"/>
      <c r="I81" s="165"/>
      <c r="J81" s="165">
        <f t="shared" ref="J81:V81" si="57">J80/I80-1</f>
        <v>0.10000000000000009</v>
      </c>
      <c r="K81" s="165">
        <f t="shared" si="57"/>
        <v>0.10000000000000009</v>
      </c>
      <c r="L81" s="165">
        <f t="shared" si="57"/>
        <v>0.10000000000000009</v>
      </c>
      <c r="M81" s="165">
        <f t="shared" si="57"/>
        <v>0.10000000000000009</v>
      </c>
      <c r="N81" s="165">
        <f t="shared" si="57"/>
        <v>0.10000000000000009</v>
      </c>
      <c r="O81" s="165">
        <f t="shared" si="57"/>
        <v>0.10000000000000009</v>
      </c>
      <c r="P81" s="165">
        <f t="shared" si="57"/>
        <v>0.10000000000000009</v>
      </c>
      <c r="Q81" s="165">
        <f t="shared" si="57"/>
        <v>0.10000000000000009</v>
      </c>
      <c r="R81" s="165">
        <f t="shared" si="57"/>
        <v>0.10000000000000009</v>
      </c>
      <c r="S81" s="165">
        <f t="shared" si="57"/>
        <v>0.10000000000000009</v>
      </c>
      <c r="T81" s="165">
        <f t="shared" si="57"/>
        <v>0.10000000000000009</v>
      </c>
      <c r="U81" s="165">
        <f t="shared" si="57"/>
        <v>0.10000000000000009</v>
      </c>
      <c r="V81" s="165">
        <f t="shared" si="57"/>
        <v>0.10000000000000009</v>
      </c>
      <c r="W81" s="154"/>
      <c r="X81" s="540"/>
      <c r="Y81" s="154"/>
      <c r="Z81" s="154"/>
      <c r="AA81" s="154"/>
      <c r="AB81" s="154"/>
      <c r="AC81" s="154"/>
      <c r="AD81" s="154"/>
      <c r="AE81" s="154"/>
      <c r="AF81" s="154"/>
      <c r="AG81" s="154"/>
      <c r="AH81" s="154"/>
      <c r="AI81" s="154"/>
      <c r="AJ81" s="154"/>
      <c r="AK81" s="154"/>
      <c r="AL81" s="154"/>
      <c r="AM81" s="154"/>
      <c r="AN81" s="154"/>
      <c r="AO81" s="154"/>
      <c r="AP81" s="154"/>
      <c r="AQ81" s="154"/>
    </row>
    <row r="82" spans="1:43" ht="15.75">
      <c r="A82" s="154"/>
      <c r="B82" s="154"/>
      <c r="C82" s="154"/>
      <c r="D82" s="154"/>
      <c r="E82" s="154"/>
      <c r="F82" s="154"/>
      <c r="G82" s="154"/>
      <c r="H82" s="154"/>
      <c r="I82" s="154"/>
      <c r="J82" s="154"/>
      <c r="K82" s="154"/>
      <c r="L82" s="154"/>
      <c r="M82" s="154"/>
      <c r="N82" s="154"/>
      <c r="O82" s="154"/>
      <c r="P82" s="154"/>
      <c r="Q82" s="154"/>
      <c r="R82" s="154"/>
      <c r="S82" s="154"/>
      <c r="T82" s="154"/>
      <c r="U82" s="154"/>
      <c r="V82" s="154"/>
      <c r="W82" s="154"/>
      <c r="X82" s="540"/>
      <c r="Y82" s="154"/>
      <c r="Z82" s="154"/>
      <c r="AA82" s="154"/>
      <c r="AB82" s="154"/>
      <c r="AC82" s="154"/>
      <c r="AD82" s="154"/>
      <c r="AE82" s="154"/>
      <c r="AF82" s="154"/>
      <c r="AG82" s="154"/>
      <c r="AH82" s="154"/>
      <c r="AI82" s="154"/>
      <c r="AJ82" s="154"/>
      <c r="AK82" s="154"/>
      <c r="AL82" s="154"/>
      <c r="AM82" s="154"/>
      <c r="AN82" s="154"/>
      <c r="AO82" s="154"/>
      <c r="AP82" s="154"/>
      <c r="AQ82" s="154"/>
    </row>
    <row r="83" spans="1:43" ht="15.75">
      <c r="A83" s="154" t="s">
        <v>956</v>
      </c>
      <c r="B83" s="154"/>
      <c r="C83" s="154"/>
      <c r="D83" s="154"/>
      <c r="E83" s="154"/>
      <c r="F83" s="154"/>
      <c r="G83" s="154"/>
      <c r="H83" s="154"/>
      <c r="I83" s="725">
        <v>77.900000000000006</v>
      </c>
      <c r="J83" s="725">
        <v>8.5</v>
      </c>
      <c r="K83" s="725"/>
      <c r="L83" s="154"/>
      <c r="M83" s="154"/>
      <c r="N83" s="154"/>
      <c r="O83" s="154"/>
      <c r="P83" s="154"/>
      <c r="Q83" s="154"/>
      <c r="R83" s="154"/>
      <c r="S83" s="154"/>
      <c r="T83" s="154"/>
      <c r="U83" s="154"/>
      <c r="V83" s="154"/>
      <c r="W83" s="154"/>
      <c r="X83" s="540"/>
      <c r="Y83" s="154"/>
      <c r="Z83" s="154"/>
      <c r="AA83" s="154"/>
      <c r="AB83" s="154"/>
      <c r="AC83" s="154"/>
      <c r="AD83" s="154"/>
      <c r="AE83" s="154"/>
      <c r="AF83" s="154"/>
      <c r="AG83" s="154"/>
      <c r="AH83" s="154"/>
      <c r="AI83" s="154"/>
      <c r="AJ83" s="154"/>
      <c r="AK83" s="154"/>
      <c r="AL83" s="154"/>
      <c r="AM83" s="154"/>
      <c r="AN83" s="154"/>
      <c r="AO83" s="154"/>
      <c r="AP83" s="154"/>
      <c r="AQ83" s="154"/>
    </row>
    <row r="84" spans="1:43" ht="15.75">
      <c r="A84" s="154" t="s">
        <v>957</v>
      </c>
      <c r="B84" s="154"/>
      <c r="C84" s="154"/>
      <c r="D84" s="154"/>
      <c r="E84" s="154"/>
      <c r="F84" s="154"/>
      <c r="G84" s="154"/>
      <c r="H84" s="154"/>
      <c r="I84" s="725">
        <v>3.2</v>
      </c>
      <c r="J84" s="725">
        <v>6.5</v>
      </c>
      <c r="K84" s="725">
        <v>-14.4</v>
      </c>
      <c r="L84" s="154"/>
      <c r="M84" s="154"/>
      <c r="N84" s="154"/>
      <c r="O84" s="154"/>
      <c r="P84" s="154"/>
      <c r="Q84" s="154"/>
      <c r="R84" s="154"/>
      <c r="S84" s="154"/>
      <c r="T84" s="154"/>
      <c r="U84" s="154"/>
      <c r="V84" s="154"/>
      <c r="W84" s="154"/>
      <c r="X84" s="540"/>
      <c r="Y84" s="154"/>
      <c r="Z84" s="154"/>
      <c r="AA84" s="154"/>
      <c r="AB84" s="154"/>
      <c r="AC84" s="154"/>
      <c r="AD84" s="154"/>
      <c r="AE84" s="154"/>
      <c r="AF84" s="154"/>
      <c r="AG84" s="154"/>
      <c r="AH84" s="154"/>
      <c r="AI84" s="154"/>
      <c r="AJ84" s="154"/>
      <c r="AK84" s="154"/>
      <c r="AL84" s="154"/>
      <c r="AM84" s="154"/>
      <c r="AN84" s="154"/>
      <c r="AO84" s="154"/>
      <c r="AP84" s="154"/>
      <c r="AQ84" s="154"/>
    </row>
    <row r="85" spans="1:43" ht="15.75">
      <c r="A85" s="154" t="s">
        <v>958</v>
      </c>
      <c r="B85" s="154"/>
      <c r="C85" s="154"/>
      <c r="D85" s="154"/>
      <c r="E85" s="154"/>
      <c r="F85" s="154"/>
      <c r="G85" s="154"/>
      <c r="H85" s="154"/>
      <c r="I85" s="529">
        <f>I73-I83-I84</f>
        <v>78.908000000000001</v>
      </c>
      <c r="J85" s="529">
        <f>J73-J83-J84</f>
        <v>185.20699999999999</v>
      </c>
      <c r="K85" s="529">
        <f>K73-K83-K84</f>
        <v>198.43</v>
      </c>
      <c r="L85" s="154"/>
      <c r="M85" s="154"/>
      <c r="N85" s="154"/>
      <c r="O85" s="154"/>
      <c r="P85" s="154"/>
      <c r="Q85" s="154"/>
      <c r="R85" s="154"/>
      <c r="S85" s="154"/>
      <c r="T85" s="154"/>
      <c r="U85" s="154"/>
      <c r="V85" s="154"/>
      <c r="W85" s="154"/>
      <c r="X85" s="540"/>
      <c r="Y85" s="154"/>
      <c r="Z85" s="154"/>
      <c r="AA85" s="154"/>
      <c r="AB85" s="154"/>
      <c r="AC85" s="154"/>
      <c r="AD85" s="154"/>
      <c r="AE85" s="154"/>
      <c r="AF85" s="154"/>
      <c r="AG85" s="154"/>
      <c r="AH85" s="154"/>
      <c r="AI85" s="154"/>
      <c r="AJ85" s="154"/>
      <c r="AK85" s="154"/>
      <c r="AL85" s="154"/>
      <c r="AM85" s="154"/>
      <c r="AN85" s="154"/>
      <c r="AO85" s="154"/>
      <c r="AP85" s="154"/>
      <c r="AQ85" s="154"/>
    </row>
    <row r="86" spans="1:43" ht="15.75">
      <c r="A86" s="154" t="s">
        <v>633</v>
      </c>
      <c r="B86" s="154"/>
      <c r="C86" s="154"/>
      <c r="D86" s="154"/>
      <c r="E86" s="154"/>
      <c r="F86" s="154"/>
      <c r="G86" s="154"/>
      <c r="H86" s="154"/>
      <c r="I86" s="157">
        <f>I85/H73-1</f>
        <v>0.32160921850400292</v>
      </c>
      <c r="J86" s="157">
        <f>J85/I73-1</f>
        <v>0.15748587570621453</v>
      </c>
      <c r="K86" s="157">
        <f>K85/J73-1</f>
        <v>-8.8758135329932708E-3</v>
      </c>
      <c r="L86" s="154"/>
      <c r="M86" s="154"/>
      <c r="N86" s="154"/>
      <c r="O86" s="154"/>
      <c r="P86" s="154"/>
      <c r="Q86" s="154"/>
      <c r="R86" s="154"/>
      <c r="S86" s="154"/>
      <c r="T86" s="154"/>
      <c r="U86" s="154"/>
      <c r="V86" s="154"/>
      <c r="W86" s="154"/>
      <c r="X86" s="540"/>
      <c r="Y86" s="154"/>
      <c r="Z86" s="154"/>
      <c r="AA86" s="154"/>
      <c r="AB86" s="154"/>
      <c r="AC86" s="154"/>
      <c r="AD86" s="154"/>
      <c r="AE86" s="154"/>
      <c r="AF86" s="154"/>
      <c r="AG86" s="154"/>
      <c r="AH86" s="154"/>
      <c r="AI86" s="154"/>
      <c r="AJ86" s="154"/>
      <c r="AK86" s="154"/>
      <c r="AL86" s="154"/>
      <c r="AM86" s="154"/>
      <c r="AN86" s="154"/>
      <c r="AO86" s="154"/>
      <c r="AP86" s="154"/>
      <c r="AQ86" s="154"/>
    </row>
    <row r="87" spans="1:43" ht="15.75">
      <c r="A87" s="154"/>
      <c r="B87" s="154"/>
      <c r="C87" s="154"/>
      <c r="D87" s="154"/>
      <c r="E87" s="154"/>
      <c r="F87" s="154"/>
      <c r="G87" s="154"/>
      <c r="H87" s="154"/>
      <c r="I87" s="154"/>
      <c r="J87" s="154"/>
      <c r="K87" s="154"/>
      <c r="L87" s="154"/>
      <c r="M87" s="154"/>
      <c r="N87" s="154"/>
      <c r="O87" s="154"/>
      <c r="P87" s="154"/>
      <c r="Q87" s="154"/>
      <c r="R87" s="154"/>
      <c r="S87" s="154"/>
      <c r="T87" s="154"/>
      <c r="U87" s="154"/>
      <c r="V87" s="154"/>
      <c r="W87" s="154"/>
      <c r="X87" s="540"/>
      <c r="Y87" s="154"/>
      <c r="Z87" s="154"/>
      <c r="AA87" s="154"/>
      <c r="AB87" s="154"/>
      <c r="AC87" s="154"/>
      <c r="AD87" s="154"/>
      <c r="AE87" s="154"/>
      <c r="AF87" s="154"/>
      <c r="AG87" s="154"/>
      <c r="AH87" s="154"/>
      <c r="AI87" s="154"/>
      <c r="AJ87" s="154"/>
      <c r="AK87" s="154"/>
      <c r="AL87" s="154"/>
      <c r="AM87" s="154"/>
      <c r="AN87" s="154"/>
      <c r="AO87" s="154"/>
      <c r="AP87" s="154"/>
      <c r="AQ87" s="154"/>
    </row>
    <row r="88" spans="1:43" ht="15.75">
      <c r="A88" s="154" t="s">
        <v>282</v>
      </c>
      <c r="B88" s="612"/>
      <c r="C88" s="612"/>
      <c r="D88" s="612"/>
      <c r="E88" s="612"/>
      <c r="F88" s="612"/>
      <c r="G88" s="612">
        <f t="shared" ref="G88:Q88" si="58">G73-G92</f>
        <v>7.4889999999999972</v>
      </c>
      <c r="H88" s="612">
        <f t="shared" si="58"/>
        <v>17.018000000000001</v>
      </c>
      <c r="I88" s="612">
        <f t="shared" si="58"/>
        <v>45.574000000000012</v>
      </c>
      <c r="J88" s="612">
        <f t="shared" si="58"/>
        <v>54.453000000000003</v>
      </c>
      <c r="K88" s="612">
        <f t="shared" si="58"/>
        <v>45.995000000000005</v>
      </c>
      <c r="L88" s="612">
        <f t="shared" si="58"/>
        <v>47.631564749999995</v>
      </c>
      <c r="M88" s="612">
        <f t="shared" si="58"/>
        <v>48.107880397499997</v>
      </c>
      <c r="N88" s="612">
        <f t="shared" si="58"/>
        <v>48.822353868750014</v>
      </c>
      <c r="O88" s="612">
        <f t="shared" si="58"/>
        <v>49.784154239964408</v>
      </c>
      <c r="P88" s="612">
        <f t="shared" si="58"/>
        <v>50.759722514969781</v>
      </c>
      <c r="Q88" s="612">
        <f t="shared" si="58"/>
        <v>51.74901914765951</v>
      </c>
      <c r="R88" s="612">
        <f t="shared" ref="R88:V88" si="59">R73-R92</f>
        <v>52.751989828047158</v>
      </c>
      <c r="S88" s="612">
        <f t="shared" si="59"/>
        <v>53.768564632025146</v>
      </c>
      <c r="T88" s="612">
        <f t="shared" si="59"/>
        <v>54.798657133396603</v>
      </c>
      <c r="U88" s="612">
        <f t="shared" si="59"/>
        <v>55.842163476681492</v>
      </c>
      <c r="V88" s="612">
        <f t="shared" si="59"/>
        <v>56.898961409143453</v>
      </c>
      <c r="W88" s="154"/>
      <c r="X88" s="154"/>
      <c r="Y88" s="154"/>
      <c r="Z88" s="154"/>
      <c r="AA88" s="154"/>
      <c r="AB88" s="154"/>
      <c r="AC88" s="154"/>
      <c r="AD88" s="154"/>
      <c r="AE88" s="154"/>
      <c r="AF88" s="154"/>
      <c r="AG88" s="154"/>
      <c r="AH88" s="154"/>
      <c r="AI88" s="154"/>
      <c r="AJ88" s="154"/>
      <c r="AK88" s="154"/>
      <c r="AL88" s="154"/>
      <c r="AM88" s="154"/>
      <c r="AN88" s="154"/>
      <c r="AO88" s="154"/>
      <c r="AP88" s="154"/>
      <c r="AQ88" s="154"/>
    </row>
    <row r="89" spans="1:43" ht="15.75">
      <c r="A89" s="154" t="s">
        <v>283</v>
      </c>
      <c r="B89" s="612"/>
      <c r="C89" s="612"/>
      <c r="D89" s="612"/>
      <c r="E89" s="612"/>
      <c r="F89" s="612"/>
      <c r="G89" s="612">
        <f t="shared" ref="G89:V89" si="60">G88/AVERAGE(F42:G42)/12*1000000</f>
        <v>251.54507591025117</v>
      </c>
      <c r="H89" s="612">
        <f t="shared" si="60"/>
        <v>383.80694632386104</v>
      </c>
      <c r="I89" s="612">
        <f t="shared" si="60"/>
        <v>623.36205717412133</v>
      </c>
      <c r="J89" s="612">
        <f t="shared" si="60"/>
        <v>595.97452061991078</v>
      </c>
      <c r="K89" s="612">
        <f t="shared" si="60"/>
        <v>463.7247192144053</v>
      </c>
      <c r="L89" s="612">
        <f t="shared" si="60"/>
        <v>451.51868312327878</v>
      </c>
      <c r="M89" s="612">
        <f t="shared" si="60"/>
        <v>434.46306798134106</v>
      </c>
      <c r="N89" s="612">
        <f t="shared" si="60"/>
        <v>421.53024573826025</v>
      </c>
      <c r="O89" s="612">
        <f t="shared" si="60"/>
        <v>413.41956401942332</v>
      </c>
      <c r="P89" s="612">
        <f t="shared" si="60"/>
        <v>406.45115990377241</v>
      </c>
      <c r="Q89" s="612">
        <f t="shared" si="60"/>
        <v>399.66696466559409</v>
      </c>
      <c r="R89" s="612">
        <f t="shared" si="60"/>
        <v>393.05738205260877</v>
      </c>
      <c r="S89" s="612">
        <f t="shared" si="60"/>
        <v>386.61340678802179</v>
      </c>
      <c r="T89" s="612">
        <f t="shared" si="60"/>
        <v>380.32657877709278</v>
      </c>
      <c r="U89" s="612">
        <f t="shared" si="60"/>
        <v>374.1889414919998</v>
      </c>
      <c r="V89" s="612">
        <f t="shared" si="60"/>
        <v>368.19300409668955</v>
      </c>
      <c r="W89" s="154"/>
      <c r="X89" s="154"/>
      <c r="Y89" s="154"/>
      <c r="Z89" s="154"/>
      <c r="AA89" s="154"/>
      <c r="AB89" s="154"/>
      <c r="AC89" s="154"/>
      <c r="AD89" s="154"/>
      <c r="AE89" s="154"/>
      <c r="AF89" s="154"/>
      <c r="AG89" s="154"/>
      <c r="AH89" s="154"/>
      <c r="AI89" s="154"/>
      <c r="AJ89" s="154"/>
      <c r="AK89" s="154"/>
      <c r="AL89" s="154"/>
      <c r="AM89" s="154"/>
      <c r="AN89" s="154"/>
      <c r="AO89" s="154"/>
      <c r="AP89" s="154"/>
      <c r="AQ89" s="154"/>
    </row>
    <row r="90" spans="1:43" ht="15.75">
      <c r="A90" s="154" t="s">
        <v>3</v>
      </c>
      <c r="B90" s="154"/>
      <c r="C90" s="597"/>
      <c r="D90" s="597"/>
      <c r="E90" s="597"/>
      <c r="F90" s="597"/>
      <c r="G90" s="597"/>
      <c r="H90" s="647">
        <f>H89/G89-1</f>
        <v>0.52579789103404906</v>
      </c>
      <c r="I90" s="647">
        <f t="shared" ref="I90:V90" si="61">I89/H89-1</f>
        <v>0.62415522476792473</v>
      </c>
      <c r="J90" s="647">
        <f t="shared" si="61"/>
        <v>-4.3935199839345573E-2</v>
      </c>
      <c r="K90" s="647">
        <f t="shared" si="61"/>
        <v>-0.2219051265277987</v>
      </c>
      <c r="L90" s="647">
        <f t="shared" si="61"/>
        <v>-2.6321728356005547E-2</v>
      </c>
      <c r="M90" s="647">
        <f t="shared" si="61"/>
        <v>-3.7773885731503642E-2</v>
      </c>
      <c r="N90" s="647">
        <f t="shared" si="61"/>
        <v>-2.9767368497329305E-2</v>
      </c>
      <c r="O90" s="647">
        <f t="shared" si="61"/>
        <v>-1.924104331975518E-2</v>
      </c>
      <c r="P90" s="647">
        <f t="shared" si="61"/>
        <v>-1.6855525771207858E-2</v>
      </c>
      <c r="Q90" s="647">
        <f t="shared" si="61"/>
        <v>-1.6691292601513252E-2</v>
      </c>
      <c r="R90" s="647">
        <f t="shared" si="61"/>
        <v>-1.6537725649943602E-2</v>
      </c>
      <c r="S90" s="647">
        <f t="shared" si="61"/>
        <v>-1.6394489860323991E-2</v>
      </c>
      <c r="T90" s="647">
        <f t="shared" si="61"/>
        <v>-1.6261277805029839E-2</v>
      </c>
      <c r="U90" s="647">
        <f t="shared" si="61"/>
        <v>-1.6137807946076332E-2</v>
      </c>
      <c r="V90" s="647">
        <f t="shared" si="61"/>
        <v>-1.602382307559036E-2</v>
      </c>
      <c r="W90" s="154"/>
      <c r="X90" s="154"/>
      <c r="Y90" s="154"/>
      <c r="Z90" s="154"/>
      <c r="AA90" s="154"/>
      <c r="AB90" s="154"/>
      <c r="AC90" s="154"/>
      <c r="AD90" s="154"/>
      <c r="AE90" s="154"/>
      <c r="AF90" s="154"/>
      <c r="AG90" s="154"/>
      <c r="AH90" s="154"/>
      <c r="AI90" s="154"/>
      <c r="AJ90" s="154"/>
      <c r="AK90" s="154"/>
      <c r="AL90" s="154"/>
      <c r="AM90" s="154"/>
      <c r="AN90" s="154"/>
      <c r="AO90" s="154"/>
      <c r="AP90" s="154"/>
      <c r="AQ90" s="154"/>
    </row>
    <row r="91" spans="1:43" ht="15.75">
      <c r="A91" s="154"/>
      <c r="B91" s="154"/>
      <c r="C91" s="154"/>
      <c r="D91" s="154"/>
      <c r="E91" s="154"/>
      <c r="F91" s="154"/>
      <c r="G91" s="165"/>
      <c r="H91" s="157"/>
      <c r="I91" s="157"/>
      <c r="J91" s="157"/>
      <c r="K91" s="460"/>
      <c r="L91" s="460"/>
      <c r="M91" s="460"/>
      <c r="N91" s="460"/>
      <c r="O91" s="460"/>
      <c r="P91" s="460"/>
      <c r="Q91" s="460"/>
      <c r="R91" s="460"/>
      <c r="S91" s="460"/>
      <c r="T91" s="460"/>
      <c r="U91" s="460"/>
      <c r="V91" s="460"/>
      <c r="W91" s="154"/>
      <c r="X91" s="154"/>
      <c r="Y91" s="154"/>
      <c r="Z91" s="154"/>
      <c r="AA91" s="154"/>
      <c r="AB91" s="154"/>
      <c r="AC91" s="154"/>
      <c r="AD91" s="154"/>
      <c r="AE91" s="154"/>
      <c r="AF91" s="154"/>
      <c r="AG91" s="154"/>
      <c r="AH91" s="154"/>
      <c r="AI91" s="154"/>
      <c r="AJ91" s="154"/>
      <c r="AK91" s="154"/>
      <c r="AL91" s="154"/>
      <c r="AM91" s="154"/>
      <c r="AN91" s="154"/>
      <c r="AO91" s="154"/>
      <c r="AP91" s="154"/>
      <c r="AQ91" s="154"/>
    </row>
    <row r="92" spans="1:43" ht="15.75">
      <c r="A92" s="160" t="s">
        <v>10</v>
      </c>
      <c r="B92" s="160"/>
      <c r="C92" s="160"/>
      <c r="D92" s="160"/>
      <c r="E92" s="160"/>
      <c r="F92" s="616"/>
      <c r="G92" s="615">
        <v>22.696000000000002</v>
      </c>
      <c r="H92" s="615">
        <v>42.688000000000002</v>
      </c>
      <c r="I92" s="615">
        <v>114.434</v>
      </c>
      <c r="J92" s="615">
        <v>145.75399999999999</v>
      </c>
      <c r="K92" s="615">
        <v>138.035</v>
      </c>
      <c r="L92" s="616">
        <f t="shared" ref="L92:Q92" si="62">L73*L93</f>
        <v>139.15888525</v>
      </c>
      <c r="M92" s="616">
        <f t="shared" si="62"/>
        <v>142.41837860249998</v>
      </c>
      <c r="N92" s="616">
        <f t="shared" si="62"/>
        <v>146.46706160624996</v>
      </c>
      <c r="O92" s="616">
        <f t="shared" si="62"/>
        <v>151.36394369928556</v>
      </c>
      <c r="P92" s="616">
        <f t="shared" si="62"/>
        <v>156.42281836245769</v>
      </c>
      <c r="Q92" s="616">
        <f t="shared" si="62"/>
        <v>161.6489979560908</v>
      </c>
      <c r="R92" s="616">
        <f t="shared" ref="R92:V92" si="63">R73*R93</f>
        <v>167.04796778881567</v>
      </c>
      <c r="S92" s="616">
        <f t="shared" si="63"/>
        <v>172.62539171334356</v>
      </c>
      <c r="T92" s="616">
        <f t="shared" si="63"/>
        <v>178.38711790233316</v>
      </c>
      <c r="U92" s="616">
        <f t="shared" si="63"/>
        <v>184.33918481012017</v>
      </c>
      <c r="V92" s="616">
        <f t="shared" si="63"/>
        <v>190.48782732626228</v>
      </c>
      <c r="W92" s="154"/>
      <c r="X92" s="154"/>
      <c r="Y92" s="154"/>
      <c r="Z92" s="154"/>
      <c r="AA92" s="154"/>
      <c r="AB92" s="154"/>
      <c r="AC92" s="154"/>
      <c r="AD92" s="154"/>
      <c r="AE92" s="154"/>
      <c r="AF92" s="154"/>
      <c r="AG92" s="154"/>
      <c r="AH92" s="154"/>
      <c r="AI92" s="154"/>
      <c r="AJ92" s="154"/>
      <c r="AK92" s="154"/>
      <c r="AL92" s="154"/>
      <c r="AM92" s="154"/>
      <c r="AN92" s="154"/>
      <c r="AO92" s="154"/>
      <c r="AP92" s="154"/>
      <c r="AQ92" s="154"/>
    </row>
    <row r="93" spans="1:43" ht="15.75">
      <c r="A93" s="154" t="s">
        <v>11</v>
      </c>
      <c r="B93" s="596"/>
      <c r="C93" s="596"/>
      <c r="D93" s="596"/>
      <c r="E93" s="596"/>
      <c r="F93" s="596"/>
      <c r="G93" s="596">
        <f>G92/G73</f>
        <v>0.75189663740268353</v>
      </c>
      <c r="H93" s="596">
        <f>H92/H73</f>
        <v>0.71497001976350782</v>
      </c>
      <c r="I93" s="596">
        <f>I92/I73</f>
        <v>0.71517674116294183</v>
      </c>
      <c r="J93" s="596">
        <f>J92/J73</f>
        <v>0.72801650291947828</v>
      </c>
      <c r="K93" s="596">
        <f>K92/K73</f>
        <v>0.75006792370809106</v>
      </c>
      <c r="L93" s="594">
        <v>0.745</v>
      </c>
      <c r="M93" s="594">
        <f t="shared" ref="M93:V93" si="64">L93+0.25%</f>
        <v>0.74749999999999994</v>
      </c>
      <c r="N93" s="594">
        <f t="shared" si="64"/>
        <v>0.74999999999999989</v>
      </c>
      <c r="O93" s="594">
        <f t="shared" si="64"/>
        <v>0.75249999999999984</v>
      </c>
      <c r="P93" s="594">
        <f t="shared" si="64"/>
        <v>0.75499999999999978</v>
      </c>
      <c r="Q93" s="594">
        <f t="shared" si="64"/>
        <v>0.75749999999999973</v>
      </c>
      <c r="R93" s="594">
        <f t="shared" si="64"/>
        <v>0.75999999999999968</v>
      </c>
      <c r="S93" s="594">
        <f t="shared" si="64"/>
        <v>0.76249999999999962</v>
      </c>
      <c r="T93" s="594">
        <f t="shared" si="64"/>
        <v>0.76499999999999957</v>
      </c>
      <c r="U93" s="594">
        <f t="shared" si="64"/>
        <v>0.76749999999999952</v>
      </c>
      <c r="V93" s="594">
        <f t="shared" si="64"/>
        <v>0.76999999999999946</v>
      </c>
      <c r="W93" s="154"/>
      <c r="X93" s="154"/>
      <c r="Y93" s="154"/>
      <c r="Z93" s="154"/>
      <c r="AA93" s="154"/>
      <c r="AB93" s="154"/>
      <c r="AC93" s="154"/>
      <c r="AD93" s="154"/>
      <c r="AE93" s="154"/>
      <c r="AF93" s="154"/>
      <c r="AG93" s="154"/>
      <c r="AH93" s="154"/>
      <c r="AI93" s="154"/>
      <c r="AJ93" s="154"/>
      <c r="AK93" s="154"/>
      <c r="AL93" s="154"/>
      <c r="AM93" s="154"/>
      <c r="AN93" s="154"/>
      <c r="AO93" s="154"/>
      <c r="AP93" s="154"/>
      <c r="AQ93" s="154"/>
    </row>
    <row r="94" spans="1:43" ht="15.75">
      <c r="A94" s="154" t="s">
        <v>3</v>
      </c>
      <c r="B94" s="154"/>
      <c r="C94" s="597"/>
      <c r="D94" s="597"/>
      <c r="E94" s="597"/>
      <c r="F94" s="597"/>
      <c r="G94" s="597"/>
      <c r="H94" s="597">
        <f t="shared" ref="H94:V94" si="65">H92/G92-1</f>
        <v>0.88086006344730339</v>
      </c>
      <c r="I94" s="597">
        <f t="shared" si="65"/>
        <v>1.6807065217391304</v>
      </c>
      <c r="J94" s="597">
        <f t="shared" si="65"/>
        <v>0.27369488089204252</v>
      </c>
      <c r="K94" s="597">
        <f t="shared" si="65"/>
        <v>-5.295909546221711E-2</v>
      </c>
      <c r="L94" s="597">
        <f t="shared" si="65"/>
        <v>8.1420310066286916E-3</v>
      </c>
      <c r="M94" s="597">
        <f t="shared" si="65"/>
        <v>2.3422818791946298E-2</v>
      </c>
      <c r="N94" s="597">
        <f t="shared" si="65"/>
        <v>2.842809364548482E-2</v>
      </c>
      <c r="O94" s="597">
        <f t="shared" si="65"/>
        <v>3.3433333333333204E-2</v>
      </c>
      <c r="P94" s="597">
        <f t="shared" si="65"/>
        <v>3.3421926910298883E-2</v>
      </c>
      <c r="Q94" s="597">
        <f t="shared" si="65"/>
        <v>3.3410596026490103E-2</v>
      </c>
      <c r="R94" s="597">
        <f t="shared" si="65"/>
        <v>3.3399339933993355E-2</v>
      </c>
      <c r="S94" s="597">
        <f t="shared" si="65"/>
        <v>3.3388157894736814E-2</v>
      </c>
      <c r="T94" s="597">
        <f t="shared" si="65"/>
        <v>3.3377049180327578E-2</v>
      </c>
      <c r="U94" s="597">
        <f t="shared" si="65"/>
        <v>3.3366013071895573E-2</v>
      </c>
      <c r="V94" s="597">
        <f t="shared" si="65"/>
        <v>3.3355048859934788E-2</v>
      </c>
      <c r="W94" s="154"/>
      <c r="X94" s="154"/>
      <c r="Y94" s="154"/>
      <c r="Z94" s="154"/>
      <c r="AA94" s="154"/>
      <c r="AB94" s="154"/>
      <c r="AC94" s="154"/>
      <c r="AD94" s="154"/>
      <c r="AE94" s="154"/>
      <c r="AF94" s="154"/>
      <c r="AG94" s="154"/>
      <c r="AH94" s="154"/>
      <c r="AI94" s="154"/>
      <c r="AJ94" s="154"/>
      <c r="AK94" s="154"/>
      <c r="AL94" s="154"/>
      <c r="AM94" s="154"/>
      <c r="AN94" s="154"/>
      <c r="AO94" s="154"/>
      <c r="AP94" s="154"/>
      <c r="AQ94" s="154"/>
    </row>
    <row r="95" spans="1:43" ht="15.75">
      <c r="A95" s="154" t="s">
        <v>634</v>
      </c>
      <c r="B95" s="154"/>
      <c r="C95" s="154"/>
      <c r="D95" s="154"/>
      <c r="E95" s="154"/>
      <c r="F95" s="154"/>
      <c r="G95" s="154"/>
      <c r="H95" s="154"/>
      <c r="I95" s="611"/>
      <c r="J95" s="597"/>
      <c r="K95" s="597"/>
      <c r="L95" s="597"/>
      <c r="M95" s="597"/>
      <c r="N95" s="597"/>
      <c r="O95" s="597"/>
      <c r="P95" s="597"/>
      <c r="Q95" s="597"/>
      <c r="R95" s="597"/>
      <c r="S95" s="597"/>
      <c r="T95" s="597"/>
      <c r="U95" s="597"/>
      <c r="V95" s="597"/>
      <c r="W95" s="154"/>
      <c r="X95" s="154"/>
      <c r="Y95" s="154"/>
      <c r="Z95" s="154"/>
      <c r="AA95" s="154"/>
      <c r="AB95" s="154"/>
      <c r="AC95" s="154"/>
      <c r="AD95" s="154"/>
      <c r="AE95" s="154"/>
      <c r="AF95" s="154"/>
      <c r="AG95" s="154"/>
      <c r="AH95" s="154"/>
      <c r="AI95" s="154"/>
      <c r="AJ95" s="154"/>
      <c r="AK95" s="154"/>
      <c r="AL95" s="154"/>
      <c r="AM95" s="154"/>
      <c r="AN95" s="154"/>
      <c r="AO95" s="154"/>
      <c r="AP95" s="154"/>
      <c r="AQ95" s="154"/>
    </row>
    <row r="96" spans="1:43" ht="15.75">
      <c r="A96" s="530" t="s">
        <v>637</v>
      </c>
      <c r="B96" s="561"/>
      <c r="C96" s="561"/>
      <c r="D96" s="561"/>
      <c r="E96" s="561"/>
      <c r="F96" s="561"/>
      <c r="G96" s="561"/>
      <c r="H96" s="562"/>
      <c r="I96" s="562"/>
      <c r="J96" s="562"/>
      <c r="K96" s="562"/>
      <c r="L96" s="562" cm="1">
        <f t="array" ref="L96">_xll.VAData("IHS_US", "FY-2025", "Adjusted EBITDA - Latin America", "Consensus", "CD", "","","")</f>
        <v>140.261852816594</v>
      </c>
      <c r="M96" s="562" cm="1">
        <f t="array" ref="M96">_xll.VAData("IHS_US", "FY-2026", "Adjusted EBITDA - Latin America", "Consensus", "CD", "","","")</f>
        <v>148.99572335299001</v>
      </c>
      <c r="N96" s="562" cm="1">
        <f t="array" ref="N96">_xll.VAData("IHS_US", "FY-2027", "Adjusted EBITDA - Latin America", "Consensus", "CD", "","","")</f>
        <v>157.51805715772801</v>
      </c>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row>
    <row r="97" spans="1:43" ht="15.75">
      <c r="A97" s="530"/>
      <c r="B97" s="530"/>
      <c r="C97" s="530"/>
      <c r="D97" s="530"/>
      <c r="E97" s="530"/>
      <c r="F97" s="530"/>
      <c r="G97" s="530"/>
      <c r="H97" s="530"/>
      <c r="I97" s="532"/>
      <c r="J97" s="532"/>
      <c r="K97" s="532"/>
      <c r="L97" s="532">
        <f>L96/L76</f>
        <v>0.74838399596823257</v>
      </c>
      <c r="M97" s="532">
        <f t="shared" ref="M97:N97" si="66">M96/M76</f>
        <v>0.75109375222280106</v>
      </c>
      <c r="N97" s="532">
        <f t="shared" si="66"/>
        <v>0.75226739044217417</v>
      </c>
      <c r="O97" s="154"/>
      <c r="P97" s="154"/>
      <c r="Q97" s="154"/>
      <c r="R97" s="154"/>
      <c r="S97" s="154"/>
      <c r="T97" s="154"/>
      <c r="U97" s="154"/>
      <c r="V97" s="154"/>
      <c r="W97" s="154"/>
      <c r="X97" s="154"/>
      <c r="Y97" s="154"/>
      <c r="Z97" s="154"/>
      <c r="AA97" s="154"/>
      <c r="AB97" s="154"/>
      <c r="AC97" s="154"/>
      <c r="AD97" s="154"/>
      <c r="AE97" s="154"/>
      <c r="AF97" s="154"/>
      <c r="AG97" s="154"/>
      <c r="AH97" s="154"/>
      <c r="AI97" s="154"/>
      <c r="AJ97" s="154"/>
      <c r="AK97" s="154"/>
      <c r="AL97" s="154"/>
      <c r="AM97" s="154"/>
      <c r="AN97" s="154"/>
      <c r="AO97" s="154"/>
      <c r="AP97" s="154"/>
      <c r="AQ97" s="154"/>
    </row>
    <row r="98" spans="1:43" ht="15.75">
      <c r="A98" s="154"/>
      <c r="B98" s="154"/>
      <c r="C98" s="529"/>
      <c r="D98" s="154"/>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row>
    <row r="99" spans="1:43" ht="15.75">
      <c r="A99" s="160" t="s">
        <v>316</v>
      </c>
      <c r="B99" s="160"/>
      <c r="C99" s="616"/>
      <c r="D99" s="160"/>
      <c r="E99" s="160"/>
      <c r="F99" s="160"/>
      <c r="G99" s="615">
        <v>14.022</v>
      </c>
      <c r="H99" s="615">
        <v>52.908000000000001</v>
      </c>
      <c r="I99" s="615">
        <v>121.158</v>
      </c>
      <c r="J99" s="615">
        <v>187.803</v>
      </c>
      <c r="K99" s="615">
        <v>123.145</v>
      </c>
      <c r="L99" s="581">
        <f t="shared" ref="L99:Q99" si="67">L100*L73</f>
        <v>0</v>
      </c>
      <c r="M99" s="581">
        <f t="shared" si="67"/>
        <v>0</v>
      </c>
      <c r="N99" s="581">
        <f t="shared" si="67"/>
        <v>0</v>
      </c>
      <c r="O99" s="581">
        <f t="shared" si="67"/>
        <v>0</v>
      </c>
      <c r="P99" s="581">
        <f t="shared" si="67"/>
        <v>0</v>
      </c>
      <c r="Q99" s="581">
        <f t="shared" si="67"/>
        <v>0</v>
      </c>
      <c r="R99" s="581">
        <f t="shared" ref="R99:V99" si="68">R100*R73</f>
        <v>0</v>
      </c>
      <c r="S99" s="581">
        <f t="shared" si="68"/>
        <v>0</v>
      </c>
      <c r="T99" s="581">
        <f t="shared" si="68"/>
        <v>0</v>
      </c>
      <c r="U99" s="581">
        <f t="shared" si="68"/>
        <v>0</v>
      </c>
      <c r="V99" s="581">
        <f t="shared" si="68"/>
        <v>0</v>
      </c>
      <c r="W99" s="154"/>
      <c r="X99" s="154"/>
      <c r="Y99" s="154"/>
      <c r="Z99" s="154"/>
      <c r="AA99" s="154"/>
      <c r="AB99" s="154"/>
      <c r="AC99" s="154"/>
      <c r="AD99" s="154"/>
      <c r="AE99" s="154"/>
      <c r="AF99" s="154"/>
      <c r="AG99" s="154"/>
      <c r="AH99" s="154"/>
      <c r="AI99" s="154"/>
      <c r="AJ99" s="154"/>
      <c r="AK99" s="154"/>
      <c r="AL99" s="154"/>
      <c r="AM99" s="154"/>
      <c r="AN99" s="154"/>
      <c r="AO99" s="154"/>
      <c r="AP99" s="154"/>
      <c r="AQ99" s="154"/>
    </row>
    <row r="100" spans="1:43" ht="15.75">
      <c r="A100" s="154" t="s">
        <v>664</v>
      </c>
      <c r="B100" s="154"/>
      <c r="C100" s="529"/>
      <c r="D100" s="154"/>
      <c r="E100" s="154"/>
      <c r="F100" s="154"/>
      <c r="G100" s="165">
        <f>G99/G73</f>
        <v>0.46453536524763961</v>
      </c>
      <c r="H100" s="165">
        <f>H99/H73</f>
        <v>0.88614209627173146</v>
      </c>
      <c r="I100" s="165">
        <f>I99/I73</f>
        <v>0.75719964001799911</v>
      </c>
      <c r="J100" s="165">
        <f>J99/J73</f>
        <v>0.93804412433131712</v>
      </c>
      <c r="K100" s="165">
        <f>K99/K73</f>
        <v>0.669157202630006</v>
      </c>
      <c r="L100" s="563"/>
      <c r="M100" s="563"/>
      <c r="N100" s="563"/>
      <c r="O100" s="563"/>
      <c r="P100" s="563"/>
      <c r="Q100" s="563"/>
      <c r="R100" s="563"/>
      <c r="S100" s="563"/>
      <c r="T100" s="563"/>
      <c r="U100" s="563"/>
      <c r="V100" s="563"/>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row>
    <row r="101" spans="1:43" ht="15.75">
      <c r="A101" s="530" t="s">
        <v>637</v>
      </c>
      <c r="B101" s="561"/>
      <c r="C101" s="561"/>
      <c r="D101" s="561"/>
      <c r="E101" s="561"/>
      <c r="F101" s="561"/>
      <c r="G101" s="561"/>
      <c r="H101" s="562"/>
      <c r="I101" s="562"/>
      <c r="J101" s="562"/>
      <c r="K101" s="562"/>
      <c r="L101" s="562">
        <v>110.3</v>
      </c>
      <c r="M101" s="562">
        <v>113.1</v>
      </c>
      <c r="N101" s="154"/>
      <c r="O101" s="154"/>
      <c r="P101" s="154"/>
      <c r="Q101" s="154"/>
      <c r="R101" s="154"/>
      <c r="S101" s="154"/>
      <c r="T101" s="154"/>
      <c r="U101" s="154"/>
      <c r="V101" s="154"/>
      <c r="W101" s="154"/>
      <c r="X101" s="154"/>
      <c r="Y101" s="154"/>
      <c r="Z101" s="154"/>
      <c r="AA101" s="154"/>
      <c r="AB101" s="154"/>
      <c r="AC101" s="154"/>
      <c r="AD101" s="154"/>
      <c r="AE101" s="154"/>
      <c r="AF101" s="154"/>
      <c r="AG101" s="154"/>
      <c r="AH101" s="154"/>
      <c r="AI101" s="154"/>
      <c r="AJ101" s="154"/>
      <c r="AK101" s="154"/>
      <c r="AL101" s="154"/>
      <c r="AM101" s="154"/>
      <c r="AN101" s="154"/>
      <c r="AO101" s="154"/>
      <c r="AP101" s="154"/>
      <c r="AQ101" s="154"/>
    </row>
    <row r="102" spans="1:43" ht="15.75">
      <c r="A102" s="154"/>
      <c r="B102" s="154"/>
      <c r="C102" s="529"/>
      <c r="D102" s="154"/>
      <c r="E102" s="154"/>
      <c r="F102" s="154"/>
      <c r="G102" s="154"/>
      <c r="H102" s="154"/>
      <c r="I102" s="253"/>
      <c r="J102" s="253"/>
      <c r="K102" s="253"/>
      <c r="L102" s="253"/>
      <c r="M102" s="154"/>
      <c r="N102" s="154"/>
      <c r="O102" s="154"/>
      <c r="P102" s="154"/>
      <c r="Q102" s="154"/>
      <c r="R102" s="154"/>
      <c r="S102" s="154"/>
      <c r="T102" s="154"/>
      <c r="U102" s="154"/>
      <c r="V102" s="154"/>
      <c r="W102" s="154"/>
      <c r="X102" s="154"/>
      <c r="Y102" s="154"/>
      <c r="Z102" s="154"/>
      <c r="AA102" s="154"/>
      <c r="AB102" s="154"/>
      <c r="AC102" s="154"/>
      <c r="AD102" s="154"/>
      <c r="AE102" s="154"/>
      <c r="AF102" s="154"/>
      <c r="AG102" s="154"/>
      <c r="AH102" s="154"/>
      <c r="AI102" s="154"/>
      <c r="AJ102" s="154"/>
      <c r="AK102" s="154"/>
      <c r="AL102" s="154"/>
      <c r="AM102" s="154"/>
      <c r="AN102" s="154"/>
      <c r="AO102" s="154"/>
      <c r="AP102" s="154"/>
      <c r="AQ102" s="154"/>
    </row>
    <row r="103" spans="1:43" ht="15.75">
      <c r="A103" s="154"/>
      <c r="B103" s="154"/>
      <c r="C103" s="529"/>
      <c r="D103" s="154"/>
      <c r="E103" s="154"/>
      <c r="F103" s="154"/>
      <c r="G103" s="154"/>
      <c r="H103" s="154"/>
      <c r="I103" s="253"/>
      <c r="J103" s="253"/>
      <c r="K103" s="253"/>
      <c r="L103" s="253"/>
      <c r="M103" s="154"/>
      <c r="N103" s="154"/>
      <c r="O103" s="154"/>
      <c r="P103" s="154"/>
      <c r="Q103" s="154"/>
      <c r="R103" s="154"/>
      <c r="S103" s="154"/>
      <c r="T103" s="154"/>
      <c r="U103" s="154"/>
      <c r="V103" s="154"/>
      <c r="W103" s="154"/>
      <c r="X103" s="154"/>
      <c r="Y103" s="154"/>
      <c r="Z103" s="154"/>
      <c r="AA103" s="154"/>
      <c r="AB103" s="154"/>
      <c r="AC103" s="154"/>
      <c r="AD103" s="154"/>
      <c r="AE103" s="154"/>
      <c r="AF103" s="154"/>
      <c r="AG103" s="154"/>
      <c r="AH103" s="154"/>
      <c r="AI103" s="154"/>
      <c r="AJ103" s="154"/>
      <c r="AK103" s="154"/>
      <c r="AL103" s="154"/>
      <c r="AM103" s="154"/>
      <c r="AN103" s="154"/>
      <c r="AO103" s="154"/>
      <c r="AP103" s="154"/>
      <c r="AQ103" s="154"/>
    </row>
    <row r="104" spans="1:43" ht="15.75">
      <c r="A104" s="154"/>
      <c r="B104" s="154"/>
      <c r="C104" s="529"/>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c r="AA104" s="154"/>
      <c r="AB104" s="154"/>
      <c r="AC104" s="154"/>
      <c r="AD104" s="154"/>
      <c r="AE104" s="154"/>
      <c r="AF104" s="154"/>
      <c r="AG104" s="154"/>
      <c r="AH104" s="154"/>
      <c r="AI104" s="154"/>
      <c r="AJ104" s="154"/>
      <c r="AK104" s="154"/>
      <c r="AL104" s="154"/>
      <c r="AM104" s="154"/>
      <c r="AN104" s="154"/>
      <c r="AO104" s="154"/>
      <c r="AP104" s="154"/>
      <c r="AQ104" s="154"/>
    </row>
    <row r="105" spans="1:43" ht="15.75">
      <c r="A105" s="154"/>
      <c r="B105" s="154"/>
      <c r="C105" s="529"/>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4"/>
      <c r="AA105" s="154"/>
      <c r="AB105" s="154"/>
      <c r="AC105" s="154"/>
      <c r="AD105" s="154"/>
      <c r="AE105" s="154"/>
      <c r="AF105" s="154"/>
      <c r="AG105" s="154"/>
      <c r="AH105" s="154"/>
      <c r="AI105" s="154"/>
      <c r="AJ105" s="154"/>
      <c r="AK105" s="154"/>
      <c r="AL105" s="154"/>
      <c r="AM105" s="154"/>
      <c r="AN105" s="154"/>
      <c r="AO105" s="154"/>
      <c r="AP105" s="154"/>
      <c r="AQ105" s="154"/>
    </row>
    <row r="106" spans="1:43" ht="15.75" hidden="1" outlineLevel="1">
      <c r="A106" s="163"/>
      <c r="B106" s="164"/>
      <c r="C106" s="164"/>
      <c r="D106" s="164"/>
      <c r="E106" s="164"/>
      <c r="F106" s="164"/>
      <c r="G106" s="164"/>
      <c r="H106" s="164"/>
      <c r="I106" s="164"/>
      <c r="J106" s="164"/>
      <c r="K106" s="164"/>
      <c r="L106" s="164"/>
      <c r="M106" s="164"/>
      <c r="N106" s="164"/>
      <c r="O106" s="164"/>
      <c r="P106" s="164"/>
      <c r="Q106" s="164"/>
      <c r="R106" s="164"/>
      <c r="S106" s="164"/>
      <c r="T106" s="164"/>
      <c r="U106" s="164"/>
      <c r="V106" s="164"/>
      <c r="W106" s="154"/>
      <c r="X106" s="154"/>
      <c r="Y106" s="154"/>
      <c r="Z106" s="154"/>
      <c r="AA106" s="154"/>
      <c r="AB106" s="154"/>
      <c r="AC106" s="154"/>
      <c r="AD106" s="154"/>
      <c r="AE106" s="154"/>
      <c r="AF106" s="154"/>
      <c r="AG106" s="154"/>
      <c r="AH106" s="154"/>
      <c r="AI106" s="154"/>
      <c r="AJ106" s="154"/>
      <c r="AK106" s="154"/>
      <c r="AL106" s="154"/>
      <c r="AM106" s="154"/>
      <c r="AN106" s="154"/>
      <c r="AO106" s="154"/>
      <c r="AP106" s="154"/>
      <c r="AQ106" s="154"/>
    </row>
    <row r="107" spans="1:43" ht="15.75" hidden="1" outlineLevel="1">
      <c r="A107" s="154"/>
      <c r="B107" s="154"/>
      <c r="C107" s="529"/>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c r="AA107" s="154"/>
      <c r="AB107" s="154"/>
      <c r="AC107" s="154"/>
      <c r="AD107" s="154"/>
      <c r="AE107" s="154"/>
      <c r="AF107" s="154"/>
      <c r="AG107" s="154"/>
      <c r="AH107" s="154"/>
      <c r="AI107" s="154"/>
      <c r="AJ107" s="154"/>
      <c r="AK107" s="154"/>
      <c r="AL107" s="154"/>
      <c r="AM107" s="154"/>
      <c r="AN107" s="154"/>
      <c r="AO107" s="154"/>
      <c r="AP107" s="154"/>
      <c r="AQ107" s="154"/>
    </row>
    <row r="108" spans="1:43" ht="15.75" hidden="1" outlineLevel="1">
      <c r="A108" s="618" t="s">
        <v>650</v>
      </c>
      <c r="B108" s="154"/>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c r="AA108" s="154"/>
      <c r="AB108" s="154"/>
      <c r="AC108" s="154"/>
      <c r="AD108" s="154"/>
      <c r="AE108" s="154"/>
      <c r="AF108" s="154"/>
      <c r="AG108" s="154"/>
      <c r="AH108" s="154"/>
      <c r="AI108" s="154"/>
      <c r="AJ108" s="154"/>
      <c r="AK108" s="154"/>
      <c r="AL108" s="154"/>
      <c r="AM108" s="154"/>
      <c r="AN108" s="154"/>
      <c r="AO108" s="154"/>
      <c r="AP108" s="154"/>
      <c r="AQ108" s="154"/>
    </row>
    <row r="109" spans="1:43" ht="15.75" hidden="1" outlineLevel="1">
      <c r="A109" s="619">
        <v>44585</v>
      </c>
      <c r="B109" s="154"/>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154"/>
      <c r="Z109" s="154"/>
      <c r="AA109" s="154"/>
      <c r="AB109" s="154"/>
      <c r="AC109" s="154"/>
      <c r="AD109" s="154"/>
      <c r="AE109" s="154"/>
      <c r="AF109" s="154"/>
      <c r="AG109" s="154"/>
      <c r="AH109" s="154"/>
      <c r="AI109" s="154"/>
      <c r="AJ109" s="154"/>
      <c r="AK109" s="154"/>
      <c r="AL109" s="154"/>
      <c r="AM109" s="154"/>
      <c r="AN109" s="154"/>
      <c r="AO109" s="154"/>
      <c r="AP109" s="154"/>
      <c r="AQ109" s="154"/>
    </row>
    <row r="110" spans="1:43" ht="15.75" hidden="1" outlineLevel="1">
      <c r="A110" s="620"/>
      <c r="B110" s="160">
        <v>2021</v>
      </c>
      <c r="C110" s="154"/>
      <c r="D110" s="154"/>
      <c r="E110" s="154"/>
      <c r="F110" s="154"/>
      <c r="G110" s="154"/>
      <c r="H110" s="154"/>
      <c r="I110" s="154"/>
      <c r="J110" s="154"/>
      <c r="K110" s="154"/>
      <c r="L110" s="154"/>
      <c r="M110" s="154"/>
      <c r="N110" s="154"/>
      <c r="O110" s="154"/>
      <c r="P110" s="154"/>
      <c r="Q110" s="154"/>
      <c r="R110" s="154"/>
      <c r="S110" s="154"/>
      <c r="T110" s="154"/>
      <c r="U110" s="154"/>
      <c r="V110" s="154"/>
      <c r="W110" s="154"/>
      <c r="X110" s="154"/>
      <c r="Y110" s="154"/>
      <c r="Z110" s="154"/>
      <c r="AA110" s="154"/>
      <c r="AB110" s="154"/>
      <c r="AC110" s="154"/>
      <c r="AD110" s="154"/>
      <c r="AE110" s="154"/>
      <c r="AF110" s="154"/>
      <c r="AG110" s="154"/>
      <c r="AH110" s="154"/>
      <c r="AI110" s="154"/>
      <c r="AJ110" s="154"/>
      <c r="AK110" s="154"/>
      <c r="AL110" s="154"/>
      <c r="AM110" s="154"/>
      <c r="AN110" s="154"/>
      <c r="AO110" s="154"/>
      <c r="AP110" s="154"/>
      <c r="AQ110" s="154"/>
    </row>
    <row r="111" spans="1:43" ht="15.75" hidden="1" outlineLevel="1">
      <c r="A111" s="154" t="s">
        <v>162</v>
      </c>
      <c r="B111" s="621">
        <v>2115</v>
      </c>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c r="AA111" s="154"/>
      <c r="AB111" s="154"/>
      <c r="AC111" s="154"/>
      <c r="AD111" s="154"/>
      <c r="AE111" s="154"/>
      <c r="AF111" s="154"/>
      <c r="AG111" s="154"/>
      <c r="AH111" s="154"/>
      <c r="AI111" s="154"/>
      <c r="AJ111" s="154"/>
      <c r="AK111" s="154"/>
      <c r="AL111" s="154"/>
      <c r="AM111" s="154"/>
      <c r="AN111" s="154"/>
      <c r="AO111" s="154"/>
      <c r="AP111" s="154"/>
      <c r="AQ111" s="154"/>
    </row>
    <row r="112" spans="1:43" ht="15.75" hidden="1" outlineLevel="1">
      <c r="A112" s="154" t="s">
        <v>1</v>
      </c>
      <c r="B112" s="622">
        <v>1.4</v>
      </c>
      <c r="C112" s="154"/>
      <c r="D112" s="154"/>
      <c r="E112" s="154"/>
      <c r="F112" s="154"/>
      <c r="G112" s="154"/>
      <c r="H112" s="154"/>
      <c r="I112" s="154"/>
      <c r="J112" s="154"/>
      <c r="K112" s="154"/>
      <c r="L112" s="154"/>
      <c r="M112" s="154"/>
      <c r="N112" s="154"/>
      <c r="O112" s="154"/>
      <c r="P112" s="154"/>
      <c r="Q112" s="154"/>
      <c r="R112" s="154"/>
      <c r="S112" s="154"/>
      <c r="T112" s="154"/>
      <c r="U112" s="154"/>
      <c r="V112" s="154"/>
      <c r="W112" s="154"/>
      <c r="X112" s="154"/>
      <c r="Y112" s="154"/>
      <c r="Z112" s="154"/>
      <c r="AA112" s="154"/>
      <c r="AB112" s="154"/>
      <c r="AC112" s="154"/>
      <c r="AD112" s="154"/>
      <c r="AE112" s="154"/>
      <c r="AF112" s="154"/>
      <c r="AG112" s="154"/>
      <c r="AH112" s="154"/>
      <c r="AI112" s="154"/>
      <c r="AJ112" s="154"/>
      <c r="AK112" s="154"/>
      <c r="AL112" s="154"/>
      <c r="AM112" s="154"/>
      <c r="AN112" s="154"/>
      <c r="AO112" s="154"/>
      <c r="AP112" s="154"/>
      <c r="AQ112" s="154"/>
    </row>
    <row r="113" spans="1:43" ht="15.75" hidden="1" outlineLevel="1">
      <c r="A113" s="154" t="s">
        <v>632</v>
      </c>
      <c r="B113" s="623">
        <f>B111*B112</f>
        <v>2961</v>
      </c>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row>
    <row r="114" spans="1:43" ht="15.75" hidden="1" outlineLevel="1">
      <c r="A114" s="154" t="s">
        <v>7</v>
      </c>
      <c r="B114" s="623">
        <f>B118*1000000/B111/12</f>
        <v>1497.2419227738376</v>
      </c>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c r="AA114" s="154"/>
      <c r="AB114" s="154"/>
      <c r="AC114" s="154"/>
      <c r="AD114" s="154"/>
      <c r="AE114" s="154"/>
      <c r="AF114" s="154"/>
      <c r="AG114" s="154"/>
      <c r="AH114" s="154"/>
      <c r="AI114" s="154"/>
      <c r="AJ114" s="154"/>
      <c r="AK114" s="154"/>
      <c r="AL114" s="154"/>
      <c r="AM114" s="154"/>
      <c r="AN114" s="154"/>
      <c r="AO114" s="154"/>
      <c r="AP114" s="154"/>
      <c r="AQ114" s="154"/>
    </row>
    <row r="115" spans="1:43" ht="15.75" hidden="1" outlineLevel="1">
      <c r="A115" s="154" t="s">
        <v>656</v>
      </c>
      <c r="B115" s="623">
        <f>B118*1000000/B113/12</f>
        <v>1069.4585162670269</v>
      </c>
      <c r="C115" s="154"/>
      <c r="D115" s="154"/>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row>
    <row r="116" spans="1:43" ht="15.75" hidden="1" outlineLevel="1">
      <c r="A116" s="154"/>
      <c r="B116" s="623"/>
      <c r="C116" s="154"/>
      <c r="D116" s="154"/>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c r="AA116" s="154"/>
      <c r="AB116" s="154"/>
      <c r="AC116" s="154"/>
      <c r="AD116" s="154"/>
      <c r="AE116" s="154"/>
      <c r="AF116" s="154"/>
      <c r="AG116" s="154"/>
      <c r="AH116" s="154"/>
      <c r="AI116" s="154"/>
      <c r="AJ116" s="154"/>
      <c r="AK116" s="154"/>
      <c r="AL116" s="154"/>
      <c r="AM116" s="154"/>
      <c r="AN116" s="154"/>
      <c r="AO116" s="154"/>
      <c r="AP116" s="154"/>
      <c r="AQ116" s="154"/>
    </row>
    <row r="117" spans="1:43" ht="15.75" hidden="1" outlineLevel="1">
      <c r="A117" s="154"/>
      <c r="B117" s="154"/>
      <c r="C117" s="154"/>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c r="AA117" s="154"/>
      <c r="AB117" s="154"/>
      <c r="AC117" s="154"/>
      <c r="AD117" s="154"/>
      <c r="AE117" s="154"/>
      <c r="AF117" s="154"/>
      <c r="AG117" s="154"/>
      <c r="AH117" s="154"/>
      <c r="AI117" s="154"/>
      <c r="AJ117" s="154"/>
      <c r="AK117" s="154"/>
      <c r="AL117" s="154"/>
      <c r="AM117" s="154"/>
      <c r="AN117" s="154"/>
      <c r="AO117" s="154"/>
      <c r="AP117" s="154"/>
      <c r="AQ117" s="154"/>
    </row>
    <row r="118" spans="1:43" ht="15.75" hidden="1" outlineLevel="1">
      <c r="A118" s="154" t="s">
        <v>651</v>
      </c>
      <c r="B118" s="621">
        <v>38</v>
      </c>
      <c r="C118" s="154"/>
      <c r="D118" s="154"/>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c r="AA118" s="154"/>
      <c r="AB118" s="154"/>
      <c r="AC118" s="154"/>
      <c r="AD118" s="154"/>
      <c r="AE118" s="154"/>
      <c r="AF118" s="154"/>
      <c r="AG118" s="154"/>
      <c r="AH118" s="154"/>
      <c r="AI118" s="154"/>
      <c r="AJ118" s="154"/>
      <c r="AK118" s="154"/>
      <c r="AL118" s="154"/>
      <c r="AM118" s="154"/>
      <c r="AN118" s="154"/>
      <c r="AO118" s="154"/>
      <c r="AP118" s="154"/>
      <c r="AQ118" s="154"/>
    </row>
    <row r="119" spans="1:43" ht="15.75" hidden="1" outlineLevel="1">
      <c r="A119" s="154" t="s">
        <v>652</v>
      </c>
      <c r="B119" s="621">
        <v>36</v>
      </c>
      <c r="C119" s="154"/>
      <c r="D119" s="154"/>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row>
    <row r="120" spans="1:43" ht="15.75" hidden="1" outlineLevel="1">
      <c r="A120" s="154" t="s">
        <v>11</v>
      </c>
      <c r="B120" s="165">
        <f>B119/B118</f>
        <v>0.94736842105263153</v>
      </c>
      <c r="C120" s="154"/>
      <c r="D120" s="154"/>
      <c r="E120" s="154"/>
      <c r="F120" s="154"/>
      <c r="G120" s="154"/>
      <c r="H120" s="154"/>
      <c r="I120" s="154"/>
      <c r="J120" s="154"/>
      <c r="K120" s="154"/>
      <c r="L120" s="154"/>
      <c r="M120" s="154"/>
      <c r="N120" s="154"/>
      <c r="O120" s="154"/>
      <c r="P120" s="154"/>
      <c r="Q120" s="154"/>
      <c r="R120" s="154"/>
      <c r="S120" s="154"/>
      <c r="T120" s="154"/>
      <c r="U120" s="154"/>
      <c r="V120" s="154"/>
      <c r="W120" s="154"/>
      <c r="X120" s="154"/>
      <c r="Y120" s="154"/>
      <c r="Z120" s="154"/>
      <c r="AA120" s="154"/>
      <c r="AB120" s="154"/>
      <c r="AC120" s="154"/>
      <c r="AD120" s="154"/>
      <c r="AE120" s="154"/>
      <c r="AF120" s="154"/>
      <c r="AG120" s="154"/>
      <c r="AH120" s="154"/>
      <c r="AI120" s="154"/>
      <c r="AJ120" s="154"/>
      <c r="AK120" s="154"/>
      <c r="AL120" s="154"/>
      <c r="AM120" s="154"/>
      <c r="AN120" s="154"/>
      <c r="AO120" s="154"/>
      <c r="AP120" s="154"/>
      <c r="AQ120" s="154"/>
    </row>
    <row r="121" spans="1:43" ht="15.75" hidden="1" outlineLevel="1">
      <c r="A121" s="154"/>
      <c r="B121" s="154"/>
      <c r="C121" s="154"/>
      <c r="D121" s="154"/>
      <c r="E121" s="154"/>
      <c r="F121" s="154"/>
      <c r="G121" s="154"/>
      <c r="H121" s="154"/>
      <c r="I121" s="154"/>
      <c r="J121" s="154"/>
      <c r="K121" s="154"/>
      <c r="L121" s="154"/>
      <c r="M121" s="154"/>
      <c r="N121" s="154"/>
      <c r="O121" s="154"/>
      <c r="P121" s="154"/>
      <c r="Q121" s="154"/>
      <c r="R121" s="154"/>
      <c r="S121" s="154"/>
      <c r="T121" s="154"/>
      <c r="U121" s="154"/>
      <c r="V121" s="154"/>
      <c r="W121" s="154"/>
      <c r="X121" s="154"/>
      <c r="Y121" s="154"/>
      <c r="Z121" s="154"/>
      <c r="AA121" s="154"/>
      <c r="AB121" s="154"/>
      <c r="AC121" s="154"/>
      <c r="AD121" s="154"/>
      <c r="AE121" s="154"/>
      <c r="AF121" s="154"/>
      <c r="AG121" s="154"/>
      <c r="AH121" s="154"/>
      <c r="AI121" s="154"/>
      <c r="AJ121" s="154"/>
      <c r="AK121" s="154"/>
      <c r="AL121" s="154"/>
      <c r="AM121" s="154"/>
      <c r="AN121" s="154"/>
      <c r="AO121" s="154"/>
      <c r="AP121" s="154"/>
      <c r="AQ121" s="154"/>
    </row>
    <row r="122" spans="1:43" ht="15.75" hidden="1" outlineLevel="1">
      <c r="A122" s="154"/>
      <c r="B122" s="154"/>
      <c r="C122" s="154"/>
      <c r="D122" s="154"/>
      <c r="E122" s="154"/>
      <c r="F122" s="154"/>
      <c r="G122" s="154"/>
      <c r="H122" s="154"/>
      <c r="I122" s="154"/>
      <c r="J122" s="154"/>
      <c r="K122" s="154"/>
      <c r="L122" s="154"/>
      <c r="M122" s="154"/>
      <c r="N122" s="154"/>
      <c r="O122" s="154"/>
      <c r="P122" s="154"/>
      <c r="Q122" s="154"/>
      <c r="R122" s="154"/>
      <c r="S122" s="154"/>
      <c r="T122" s="154"/>
      <c r="U122" s="154"/>
      <c r="V122" s="154"/>
      <c r="W122" s="154"/>
      <c r="X122" s="154"/>
      <c r="Y122" s="154"/>
      <c r="Z122" s="154"/>
      <c r="AA122" s="154"/>
      <c r="AB122" s="154"/>
      <c r="AC122" s="154"/>
      <c r="AD122" s="154"/>
      <c r="AE122" s="154"/>
      <c r="AF122" s="154"/>
      <c r="AG122" s="154"/>
      <c r="AH122" s="154"/>
      <c r="AI122" s="154"/>
      <c r="AJ122" s="154"/>
      <c r="AK122" s="154"/>
      <c r="AL122" s="154"/>
      <c r="AM122" s="154"/>
      <c r="AN122" s="154"/>
      <c r="AO122" s="154"/>
      <c r="AP122" s="154"/>
      <c r="AQ122" s="154"/>
    </row>
    <row r="123" spans="1:43" ht="15.75" hidden="1" outlineLevel="1">
      <c r="A123" s="154" t="s">
        <v>653</v>
      </c>
      <c r="B123" s="167">
        <f>H42</f>
        <v>4909</v>
      </c>
      <c r="C123" s="154"/>
      <c r="D123" s="154"/>
      <c r="E123" s="154"/>
      <c r="F123" s="154"/>
      <c r="G123" s="154"/>
      <c r="H123" s="154"/>
      <c r="I123" s="154"/>
      <c r="J123" s="154"/>
      <c r="K123" s="154"/>
      <c r="L123" s="154"/>
      <c r="M123" s="154"/>
      <c r="N123" s="154"/>
      <c r="O123" s="154"/>
      <c r="P123" s="154"/>
      <c r="Q123" s="154"/>
      <c r="R123" s="154"/>
      <c r="S123" s="154"/>
      <c r="T123" s="154"/>
      <c r="U123" s="154"/>
      <c r="V123" s="154"/>
      <c r="W123" s="154"/>
      <c r="X123" s="154"/>
      <c r="Y123" s="154"/>
      <c r="Z123" s="154"/>
      <c r="AA123" s="154"/>
      <c r="AB123" s="154"/>
      <c r="AC123" s="154"/>
      <c r="AD123" s="154"/>
      <c r="AE123" s="154"/>
      <c r="AF123" s="154"/>
      <c r="AG123" s="154"/>
      <c r="AH123" s="154"/>
      <c r="AI123" s="154"/>
      <c r="AJ123" s="154"/>
      <c r="AK123" s="154"/>
      <c r="AL123" s="154"/>
      <c r="AM123" s="154"/>
      <c r="AN123" s="154"/>
      <c r="AO123" s="154"/>
      <c r="AP123" s="154"/>
      <c r="AQ123" s="154"/>
    </row>
    <row r="124" spans="1:43" ht="15.75" hidden="1" outlineLevel="1">
      <c r="A124" s="154" t="s">
        <v>654</v>
      </c>
      <c r="B124" s="167">
        <f>H53</f>
        <v>5961</v>
      </c>
      <c r="C124" s="154"/>
      <c r="D124" s="154"/>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row>
    <row r="125" spans="1:43" ht="15.75" hidden="1" outlineLevel="1">
      <c r="A125" s="154" t="s">
        <v>649</v>
      </c>
      <c r="B125" s="167">
        <f>B111</f>
        <v>2115</v>
      </c>
      <c r="C125" s="154"/>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c r="AA125" s="154"/>
      <c r="AB125" s="154"/>
      <c r="AC125" s="154"/>
      <c r="AD125" s="154"/>
      <c r="AE125" s="154"/>
      <c r="AF125" s="154"/>
      <c r="AG125" s="154"/>
      <c r="AH125" s="154"/>
      <c r="AI125" s="154"/>
      <c r="AJ125" s="154"/>
      <c r="AK125" s="154"/>
      <c r="AL125" s="154"/>
      <c r="AM125" s="154"/>
      <c r="AN125" s="154"/>
      <c r="AO125" s="154"/>
      <c r="AP125" s="154"/>
      <c r="AQ125" s="154"/>
    </row>
    <row r="126" spans="1:43" ht="15.75" hidden="1" outlineLevel="1">
      <c r="A126" s="154" t="s">
        <v>655</v>
      </c>
      <c r="B126" s="167">
        <f>B113</f>
        <v>2961</v>
      </c>
      <c r="C126" s="154"/>
      <c r="D126" s="154"/>
      <c r="E126" s="154"/>
      <c r="F126" s="154"/>
      <c r="G126" s="154"/>
      <c r="H126" s="154"/>
      <c r="I126" s="154"/>
      <c r="J126" s="154"/>
      <c r="K126" s="154"/>
      <c r="L126" s="154"/>
      <c r="M126" s="154"/>
      <c r="N126" s="154"/>
      <c r="O126" s="154"/>
      <c r="P126" s="154"/>
      <c r="Q126" s="154"/>
      <c r="R126" s="154"/>
      <c r="S126" s="154"/>
      <c r="T126" s="154"/>
      <c r="U126" s="154"/>
      <c r="V126" s="154"/>
      <c r="W126" s="154"/>
      <c r="X126" s="154"/>
      <c r="Y126" s="154"/>
      <c r="Z126" s="154"/>
      <c r="AA126" s="154"/>
      <c r="AB126" s="154"/>
      <c r="AC126" s="154"/>
      <c r="AD126" s="154"/>
      <c r="AE126" s="154"/>
      <c r="AF126" s="154"/>
      <c r="AG126" s="154"/>
      <c r="AH126" s="154"/>
      <c r="AI126" s="154"/>
      <c r="AJ126" s="154"/>
      <c r="AK126" s="154"/>
      <c r="AL126" s="154"/>
      <c r="AM126" s="154"/>
      <c r="AN126" s="154"/>
      <c r="AO126" s="154"/>
      <c r="AP126" s="154"/>
      <c r="AQ126" s="154"/>
    </row>
    <row r="127" spans="1:43" ht="15.75" hidden="1" outlineLevel="1">
      <c r="A127" s="154"/>
      <c r="B127" s="627">
        <f>(B124+B126)/(B123+B125)</f>
        <v>1.2702164009111618</v>
      </c>
      <c r="C127" s="537">
        <f>B127-H55</f>
        <v>5.5916136091442858E-2</v>
      </c>
      <c r="D127" s="537">
        <f>C127*3/4</f>
        <v>4.1937102068582144E-2</v>
      </c>
      <c r="E127" s="154"/>
      <c r="F127" s="154"/>
      <c r="G127" s="154"/>
      <c r="H127" s="154"/>
      <c r="I127" s="154"/>
      <c r="J127" s="154"/>
      <c r="K127" s="154"/>
      <c r="L127" s="154"/>
      <c r="M127" s="154"/>
      <c r="N127" s="154"/>
      <c r="O127" s="154"/>
      <c r="P127" s="154"/>
      <c r="Q127" s="154"/>
      <c r="R127" s="154"/>
      <c r="S127" s="154"/>
      <c r="T127" s="154"/>
      <c r="U127" s="154"/>
      <c r="V127" s="154"/>
      <c r="W127" s="154"/>
      <c r="X127" s="154"/>
      <c r="Y127" s="154"/>
      <c r="Z127" s="154"/>
      <c r="AA127" s="154"/>
      <c r="AB127" s="154"/>
      <c r="AC127" s="154"/>
      <c r="AD127" s="154"/>
      <c r="AE127" s="154"/>
      <c r="AF127" s="154"/>
      <c r="AG127" s="154"/>
      <c r="AH127" s="154"/>
      <c r="AI127" s="154"/>
      <c r="AJ127" s="154"/>
      <c r="AK127" s="154"/>
      <c r="AL127" s="154"/>
      <c r="AM127" s="154"/>
      <c r="AN127" s="154"/>
      <c r="AO127" s="154"/>
      <c r="AP127" s="154"/>
      <c r="AQ127" s="154"/>
    </row>
    <row r="128" spans="1:43" ht="15.75" hidden="1" outlineLevel="1">
      <c r="A128" s="154"/>
      <c r="B128" s="154"/>
      <c r="C128" s="154"/>
      <c r="D128" s="154"/>
      <c r="E128" s="154"/>
      <c r="F128" s="154"/>
      <c r="G128" s="154"/>
      <c r="H128" s="154"/>
      <c r="I128" s="154"/>
      <c r="J128" s="154"/>
      <c r="K128" s="154"/>
      <c r="L128" s="154"/>
      <c r="M128" s="154"/>
      <c r="N128" s="154"/>
      <c r="O128" s="154"/>
      <c r="P128" s="154"/>
      <c r="Q128" s="154"/>
      <c r="R128" s="154"/>
      <c r="S128" s="154"/>
      <c r="T128" s="154"/>
      <c r="U128" s="154"/>
      <c r="V128" s="154"/>
      <c r="W128" s="154"/>
      <c r="X128" s="154"/>
      <c r="Y128" s="154"/>
      <c r="Z128" s="154"/>
      <c r="AA128" s="154"/>
      <c r="AB128" s="154"/>
      <c r="AC128" s="154"/>
      <c r="AD128" s="154"/>
      <c r="AE128" s="154"/>
      <c r="AF128" s="154"/>
      <c r="AG128" s="154"/>
      <c r="AH128" s="154"/>
      <c r="AI128" s="154"/>
      <c r="AJ128" s="154"/>
      <c r="AK128" s="154"/>
      <c r="AL128" s="154"/>
      <c r="AM128" s="154"/>
      <c r="AN128" s="154"/>
      <c r="AO128" s="154"/>
      <c r="AP128" s="154"/>
      <c r="AQ128" s="154"/>
    </row>
    <row r="129" spans="1:43" ht="15.75" hidden="1" outlineLevel="1">
      <c r="A129" s="154"/>
      <c r="B129" s="154"/>
      <c r="C129" s="154"/>
      <c r="D129" s="154"/>
      <c r="E129" s="154"/>
      <c r="F129" s="154"/>
      <c r="G129" s="154"/>
      <c r="H129" s="154"/>
      <c r="I129" s="154"/>
      <c r="J129" s="154"/>
      <c r="K129" s="154"/>
      <c r="L129" s="154"/>
      <c r="M129" s="154"/>
      <c r="N129" s="154"/>
      <c r="O129" s="154"/>
      <c r="P129" s="154"/>
      <c r="Q129" s="154"/>
      <c r="R129" s="154"/>
      <c r="S129" s="154"/>
      <c r="T129" s="154"/>
      <c r="U129" s="154"/>
      <c r="V129" s="154"/>
      <c r="W129" s="154"/>
      <c r="X129" s="154"/>
      <c r="Y129" s="154"/>
      <c r="Z129" s="154"/>
      <c r="AA129" s="154"/>
      <c r="AB129" s="154"/>
      <c r="AC129" s="154"/>
      <c r="AD129" s="154"/>
      <c r="AE129" s="154"/>
      <c r="AF129" s="154"/>
      <c r="AG129" s="154"/>
      <c r="AH129" s="154"/>
      <c r="AI129" s="154"/>
      <c r="AJ129" s="154"/>
      <c r="AK129" s="154"/>
      <c r="AL129" s="154"/>
      <c r="AM129" s="154"/>
      <c r="AN129" s="154"/>
      <c r="AO129" s="154"/>
      <c r="AP129" s="154"/>
      <c r="AQ129" s="154"/>
    </row>
    <row r="130" spans="1:43" ht="15.75" hidden="1" outlineLevel="1">
      <c r="A130" s="154" t="s">
        <v>659</v>
      </c>
      <c r="B130" s="167">
        <f>H73</f>
        <v>59.706000000000003</v>
      </c>
      <c r="C130" s="154"/>
      <c r="D130" s="154"/>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154"/>
      <c r="AA130" s="154"/>
      <c r="AB130" s="154"/>
      <c r="AC130" s="154"/>
      <c r="AD130" s="154"/>
      <c r="AE130" s="154"/>
      <c r="AF130" s="154"/>
      <c r="AG130" s="154"/>
      <c r="AH130" s="154"/>
      <c r="AI130" s="154"/>
      <c r="AJ130" s="154"/>
      <c r="AK130" s="154"/>
      <c r="AL130" s="154"/>
      <c r="AM130" s="154"/>
      <c r="AN130" s="154"/>
      <c r="AO130" s="154"/>
      <c r="AP130" s="154"/>
      <c r="AQ130" s="154"/>
    </row>
    <row r="131" spans="1:43" ht="15.75" hidden="1" outlineLevel="1">
      <c r="A131" s="154" t="s">
        <v>660</v>
      </c>
      <c r="B131" s="167">
        <f>B118</f>
        <v>38</v>
      </c>
      <c r="C131" s="154"/>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c r="AA131" s="154"/>
      <c r="AB131" s="154"/>
      <c r="AC131" s="154"/>
      <c r="AD131" s="154"/>
      <c r="AE131" s="154"/>
      <c r="AF131" s="154"/>
      <c r="AG131" s="154"/>
      <c r="AH131" s="154"/>
      <c r="AI131" s="154"/>
      <c r="AJ131" s="154"/>
      <c r="AK131" s="154"/>
      <c r="AL131" s="154"/>
      <c r="AM131" s="154"/>
      <c r="AN131" s="154"/>
      <c r="AO131" s="154"/>
      <c r="AP131" s="154"/>
      <c r="AQ131" s="154"/>
    </row>
    <row r="132" spans="1:43" ht="15.75" hidden="1" outlineLevel="1">
      <c r="A132" s="160" t="s">
        <v>661</v>
      </c>
      <c r="B132" s="168">
        <f>B130+B131</f>
        <v>97.706000000000003</v>
      </c>
      <c r="C132" s="154"/>
      <c r="D132" s="154"/>
      <c r="E132" s="154"/>
      <c r="F132" s="154"/>
      <c r="G132" s="154"/>
      <c r="H132" s="154"/>
      <c r="I132" s="154"/>
      <c r="J132" s="154"/>
      <c r="K132" s="154"/>
      <c r="L132" s="154"/>
      <c r="M132" s="154"/>
      <c r="N132" s="154"/>
      <c r="O132" s="154"/>
      <c r="P132" s="154"/>
      <c r="Q132" s="154"/>
      <c r="R132" s="154"/>
      <c r="S132" s="154"/>
      <c r="T132" s="154"/>
      <c r="U132" s="154"/>
      <c r="V132" s="154"/>
      <c r="W132" s="154"/>
      <c r="X132" s="154"/>
      <c r="Y132" s="154"/>
      <c r="Z132" s="154"/>
      <c r="AA132" s="154"/>
      <c r="AB132" s="154"/>
      <c r="AC132" s="154"/>
      <c r="AD132" s="154"/>
      <c r="AE132" s="154"/>
      <c r="AF132" s="154"/>
      <c r="AG132" s="154"/>
      <c r="AH132" s="154"/>
      <c r="AI132" s="154"/>
      <c r="AJ132" s="154"/>
      <c r="AK132" s="154"/>
      <c r="AL132" s="154"/>
      <c r="AM132" s="154"/>
      <c r="AN132" s="154"/>
      <c r="AO132" s="154"/>
      <c r="AP132" s="154"/>
      <c r="AQ132" s="154"/>
    </row>
    <row r="133" spans="1:43" ht="15.75" hidden="1" outlineLevel="1">
      <c r="A133" s="154"/>
      <c r="B133" s="167"/>
      <c r="C133" s="154"/>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c r="AA133" s="154"/>
      <c r="AB133" s="154"/>
      <c r="AC133" s="154"/>
      <c r="AD133" s="154"/>
      <c r="AE133" s="154"/>
      <c r="AF133" s="154"/>
      <c r="AG133" s="154"/>
      <c r="AH133" s="154"/>
      <c r="AI133" s="154"/>
      <c r="AJ133" s="154"/>
      <c r="AK133" s="154"/>
      <c r="AL133" s="154"/>
      <c r="AM133" s="154"/>
      <c r="AN133" s="154"/>
      <c r="AO133" s="154"/>
      <c r="AP133" s="154"/>
      <c r="AQ133" s="154"/>
    </row>
    <row r="134" spans="1:43" ht="15.75" hidden="1" outlineLevel="1">
      <c r="A134" s="154" t="s">
        <v>658</v>
      </c>
      <c r="B134" s="167">
        <f>H92</f>
        <v>42.688000000000002</v>
      </c>
      <c r="C134" s="154"/>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c r="AA134" s="154"/>
      <c r="AB134" s="154"/>
      <c r="AC134" s="154"/>
      <c r="AD134" s="154"/>
      <c r="AE134" s="154"/>
      <c r="AF134" s="154"/>
      <c r="AG134" s="154"/>
      <c r="AH134" s="154"/>
      <c r="AI134" s="154"/>
      <c r="AJ134" s="154"/>
      <c r="AK134" s="154"/>
      <c r="AL134" s="154"/>
      <c r="AM134" s="154"/>
      <c r="AN134" s="154"/>
      <c r="AO134" s="154"/>
      <c r="AP134" s="154"/>
      <c r="AQ134" s="154"/>
    </row>
    <row r="135" spans="1:43" ht="15.75" hidden="1" outlineLevel="1">
      <c r="A135" s="154" t="s">
        <v>662</v>
      </c>
      <c r="B135" s="167">
        <f>B119</f>
        <v>36</v>
      </c>
      <c r="C135" s="154"/>
      <c r="D135" s="154"/>
      <c r="E135" s="154"/>
      <c r="F135" s="154"/>
      <c r="G135" s="154"/>
      <c r="H135" s="154"/>
      <c r="I135" s="154"/>
      <c r="J135" s="154"/>
      <c r="K135" s="154"/>
      <c r="L135" s="154"/>
      <c r="M135" s="154"/>
      <c r="N135" s="154"/>
      <c r="O135" s="154"/>
      <c r="P135" s="154"/>
      <c r="Q135" s="154"/>
      <c r="R135" s="154"/>
      <c r="S135" s="154"/>
      <c r="T135" s="154"/>
      <c r="U135" s="154"/>
      <c r="V135" s="154"/>
      <c r="W135" s="154"/>
      <c r="X135" s="154"/>
      <c r="Y135" s="154"/>
      <c r="Z135" s="154"/>
      <c r="AA135" s="154"/>
      <c r="AB135" s="154"/>
      <c r="AC135" s="154"/>
      <c r="AD135" s="154"/>
      <c r="AE135" s="154"/>
      <c r="AF135" s="154"/>
      <c r="AG135" s="154"/>
      <c r="AH135" s="154"/>
      <c r="AI135" s="154"/>
      <c r="AJ135" s="154"/>
      <c r="AK135" s="154"/>
      <c r="AL135" s="154"/>
      <c r="AM135" s="154"/>
      <c r="AN135" s="154"/>
      <c r="AO135" s="154"/>
      <c r="AP135" s="154"/>
      <c r="AQ135" s="154"/>
    </row>
    <row r="136" spans="1:43" ht="15.75" hidden="1" outlineLevel="1">
      <c r="A136" s="160" t="s">
        <v>661</v>
      </c>
      <c r="B136" s="168">
        <f>B134+B135</f>
        <v>78.688000000000002</v>
      </c>
      <c r="C136" s="154"/>
      <c r="D136" s="154"/>
      <c r="E136" s="154"/>
      <c r="F136" s="154"/>
      <c r="G136" s="154"/>
      <c r="H136" s="154"/>
      <c r="I136" s="154"/>
      <c r="J136" s="154"/>
      <c r="K136" s="154"/>
      <c r="L136" s="154"/>
      <c r="M136" s="154"/>
      <c r="N136" s="154"/>
      <c r="O136" s="154"/>
      <c r="P136" s="154"/>
      <c r="Q136" s="154"/>
      <c r="R136" s="154"/>
      <c r="S136" s="154"/>
      <c r="T136" s="154"/>
      <c r="U136" s="154"/>
      <c r="V136" s="154"/>
      <c r="W136" s="154"/>
      <c r="X136" s="154"/>
      <c r="Y136" s="154"/>
      <c r="Z136" s="154"/>
      <c r="AA136" s="154"/>
      <c r="AB136" s="154"/>
      <c r="AC136" s="154"/>
      <c r="AD136" s="154"/>
      <c r="AE136" s="154"/>
      <c r="AF136" s="154"/>
      <c r="AG136" s="154"/>
      <c r="AH136" s="154"/>
      <c r="AI136" s="154"/>
      <c r="AJ136" s="154"/>
      <c r="AK136" s="154"/>
      <c r="AL136" s="154"/>
      <c r="AM136" s="154"/>
      <c r="AN136" s="154"/>
      <c r="AO136" s="154"/>
      <c r="AP136" s="154"/>
      <c r="AQ136" s="154"/>
    </row>
    <row r="137" spans="1:43" ht="15.75" hidden="1" outlineLevel="1">
      <c r="A137" s="160" t="s">
        <v>663</v>
      </c>
      <c r="B137" s="539">
        <f>B136/B132</f>
        <v>0.805354840030295</v>
      </c>
      <c r="C137" s="154"/>
      <c r="D137" s="154"/>
      <c r="E137" s="154"/>
      <c r="F137" s="154"/>
      <c r="G137" s="154"/>
      <c r="H137" s="154"/>
      <c r="I137" s="154"/>
      <c r="J137" s="154"/>
      <c r="K137" s="154"/>
      <c r="L137" s="154"/>
      <c r="M137" s="154"/>
      <c r="N137" s="154"/>
      <c r="O137" s="154"/>
      <c r="P137" s="154"/>
      <c r="Q137" s="154"/>
      <c r="R137" s="154"/>
      <c r="S137" s="154"/>
      <c r="T137" s="154"/>
      <c r="U137" s="154"/>
      <c r="V137" s="154"/>
      <c r="W137" s="154"/>
      <c r="X137" s="154"/>
      <c r="Y137" s="154"/>
      <c r="Z137" s="154"/>
      <c r="AA137" s="154"/>
      <c r="AB137" s="154"/>
      <c r="AC137" s="154"/>
      <c r="AD137" s="154"/>
      <c r="AE137" s="154"/>
      <c r="AF137" s="154"/>
      <c r="AG137" s="154"/>
      <c r="AH137" s="154"/>
      <c r="AI137" s="154"/>
      <c r="AJ137" s="154"/>
      <c r="AK137" s="154"/>
      <c r="AL137" s="154"/>
      <c r="AM137" s="154"/>
      <c r="AN137" s="154"/>
      <c r="AO137" s="154"/>
      <c r="AP137" s="154"/>
      <c r="AQ137" s="154"/>
    </row>
    <row r="138" spans="1:43" ht="15.75" hidden="1" outlineLevel="1">
      <c r="A138" s="154"/>
      <c r="B138" s="154"/>
      <c r="C138" s="154"/>
      <c r="D138" s="154"/>
      <c r="E138" s="154"/>
      <c r="F138" s="154"/>
      <c r="G138" s="154"/>
      <c r="H138" s="154"/>
      <c r="I138" s="154"/>
      <c r="J138" s="154"/>
      <c r="K138" s="154"/>
      <c r="L138" s="154"/>
      <c r="M138" s="154"/>
      <c r="N138" s="154"/>
      <c r="O138" s="154"/>
      <c r="P138" s="154"/>
      <c r="Q138" s="154"/>
      <c r="R138" s="154"/>
      <c r="S138" s="154"/>
      <c r="T138" s="154"/>
      <c r="U138" s="154"/>
      <c r="V138" s="154"/>
      <c r="W138" s="154"/>
      <c r="X138" s="154"/>
      <c r="Y138" s="154"/>
      <c r="Z138" s="154"/>
      <c r="AA138" s="154"/>
      <c r="AB138" s="154"/>
      <c r="AC138" s="154"/>
      <c r="AD138" s="154"/>
      <c r="AE138" s="154"/>
      <c r="AF138" s="154"/>
      <c r="AG138" s="154"/>
      <c r="AH138" s="154"/>
      <c r="AI138" s="154"/>
      <c r="AJ138" s="154"/>
      <c r="AK138" s="154"/>
      <c r="AL138" s="154"/>
      <c r="AM138" s="154"/>
      <c r="AN138" s="154"/>
      <c r="AO138" s="154"/>
      <c r="AP138" s="154"/>
      <c r="AQ138" s="154"/>
    </row>
    <row r="139" spans="1:43" ht="15.75" collapsed="1">
      <c r="A139" s="154"/>
      <c r="B139" s="154"/>
      <c r="C139" s="154"/>
      <c r="D139" s="154"/>
      <c r="E139" s="154"/>
      <c r="F139" s="154"/>
      <c r="G139" s="154"/>
      <c r="H139" s="154"/>
      <c r="I139" s="154"/>
      <c r="J139" s="154"/>
      <c r="K139" s="154"/>
      <c r="L139" s="154"/>
      <c r="M139" s="154"/>
      <c r="N139" s="154"/>
      <c r="O139" s="154"/>
      <c r="P139" s="154"/>
      <c r="Q139" s="154"/>
      <c r="R139" s="154"/>
      <c r="S139" s="154"/>
      <c r="T139" s="154"/>
      <c r="U139" s="154"/>
      <c r="V139" s="154"/>
      <c r="W139" s="154"/>
      <c r="X139" s="154"/>
      <c r="Y139" s="154"/>
      <c r="Z139" s="154"/>
      <c r="AA139" s="154"/>
      <c r="AB139" s="154"/>
      <c r="AC139" s="154"/>
      <c r="AD139" s="154"/>
      <c r="AE139" s="154"/>
      <c r="AF139" s="154"/>
      <c r="AG139" s="154"/>
      <c r="AH139" s="154"/>
      <c r="AI139" s="154"/>
      <c r="AJ139" s="154"/>
      <c r="AK139" s="154"/>
      <c r="AL139" s="154"/>
      <c r="AM139" s="154"/>
      <c r="AN139" s="154"/>
      <c r="AO139" s="154"/>
      <c r="AP139" s="154"/>
      <c r="AQ139" s="154"/>
    </row>
    <row r="140" spans="1:43" ht="15.75">
      <c r="A140" s="154"/>
      <c r="B140" s="154"/>
      <c r="C140" s="154"/>
      <c r="D140" s="154"/>
      <c r="E140" s="154"/>
      <c r="F140" s="154"/>
      <c r="G140" s="154"/>
      <c r="H140" s="154"/>
      <c r="I140" s="154"/>
      <c r="J140" s="154"/>
      <c r="K140" s="154"/>
      <c r="L140" s="154"/>
      <c r="M140" s="154"/>
      <c r="N140" s="154"/>
      <c r="O140" s="154"/>
      <c r="P140" s="154"/>
      <c r="Q140" s="154"/>
      <c r="R140" s="154"/>
      <c r="S140" s="154"/>
      <c r="T140" s="154"/>
      <c r="U140" s="154"/>
      <c r="V140" s="154"/>
      <c r="W140" s="154"/>
      <c r="X140" s="154"/>
      <c r="Y140" s="154"/>
      <c r="Z140" s="154"/>
      <c r="AA140" s="154"/>
      <c r="AB140" s="154"/>
      <c r="AC140" s="154"/>
      <c r="AD140" s="154"/>
      <c r="AE140" s="154"/>
      <c r="AF140" s="154"/>
      <c r="AG140" s="154"/>
      <c r="AH140" s="154"/>
      <c r="AI140" s="154"/>
      <c r="AJ140" s="154"/>
      <c r="AK140" s="154"/>
      <c r="AL140" s="154"/>
      <c r="AM140" s="154"/>
      <c r="AN140" s="154"/>
      <c r="AO140" s="154"/>
      <c r="AP140" s="154"/>
      <c r="AQ140" s="154"/>
    </row>
    <row r="141" spans="1:43" ht="15.75">
      <c r="A141" s="154"/>
      <c r="B141" s="154"/>
      <c r="C141" s="154"/>
      <c r="D141" s="154"/>
      <c r="E141" s="154"/>
      <c r="F141" s="154"/>
      <c r="G141" s="154"/>
      <c r="H141" s="154"/>
      <c r="I141" s="154"/>
      <c r="J141" s="154"/>
      <c r="K141" s="154"/>
      <c r="L141" s="154"/>
      <c r="M141" s="154"/>
      <c r="N141" s="154"/>
      <c r="O141" s="154"/>
      <c r="P141" s="154"/>
      <c r="Q141" s="154"/>
      <c r="R141" s="154"/>
      <c r="S141" s="154"/>
      <c r="T141" s="154"/>
      <c r="U141" s="154"/>
      <c r="V141" s="154"/>
      <c r="W141" s="154"/>
      <c r="X141" s="154"/>
      <c r="Y141" s="154"/>
      <c r="Z141" s="154"/>
      <c r="AA141" s="154"/>
      <c r="AB141" s="154"/>
      <c r="AC141" s="154"/>
      <c r="AD141" s="154"/>
      <c r="AE141" s="154"/>
      <c r="AF141" s="154"/>
      <c r="AG141" s="154"/>
      <c r="AH141" s="154"/>
      <c r="AI141" s="154"/>
      <c r="AJ141" s="154"/>
      <c r="AK141" s="154"/>
      <c r="AL141" s="154"/>
      <c r="AM141" s="154"/>
      <c r="AN141" s="154"/>
      <c r="AO141" s="154"/>
      <c r="AP141" s="154"/>
      <c r="AQ141" s="154"/>
    </row>
    <row r="142" spans="1:43" ht="15.75">
      <c r="A142" s="154"/>
      <c r="B142" s="154"/>
      <c r="C142" s="154"/>
      <c r="D142" s="154"/>
      <c r="E142" s="154"/>
      <c r="F142" s="154"/>
      <c r="G142" s="154"/>
      <c r="H142" s="154"/>
      <c r="I142" s="154"/>
      <c r="J142" s="154"/>
      <c r="K142" s="154"/>
      <c r="L142" s="154"/>
      <c r="M142" s="154"/>
      <c r="N142" s="154"/>
      <c r="O142" s="154"/>
      <c r="P142" s="154"/>
      <c r="Q142" s="154"/>
      <c r="R142" s="154"/>
      <c r="S142" s="154"/>
      <c r="T142" s="154"/>
      <c r="U142" s="154"/>
      <c r="V142" s="154"/>
      <c r="W142" s="154"/>
      <c r="X142" s="154"/>
      <c r="Y142" s="154"/>
      <c r="Z142" s="154"/>
      <c r="AA142" s="154"/>
      <c r="AB142" s="154"/>
      <c r="AC142" s="154"/>
      <c r="AD142" s="154"/>
      <c r="AE142" s="154"/>
      <c r="AF142" s="154"/>
      <c r="AG142" s="154"/>
      <c r="AH142" s="154"/>
      <c r="AI142" s="154"/>
      <c r="AJ142" s="154"/>
      <c r="AK142" s="154"/>
      <c r="AL142" s="154"/>
      <c r="AM142" s="154"/>
      <c r="AN142" s="154"/>
      <c r="AO142" s="154"/>
      <c r="AP142" s="154"/>
      <c r="AQ142" s="154"/>
    </row>
    <row r="143" spans="1:43" ht="15.75">
      <c r="A143" s="154"/>
      <c r="B143" s="154"/>
      <c r="C143" s="154"/>
      <c r="D143" s="154"/>
      <c r="E143" s="154"/>
      <c r="F143" s="154"/>
      <c r="G143" s="154"/>
      <c r="H143" s="154"/>
      <c r="I143" s="154"/>
      <c r="J143" s="154"/>
      <c r="K143" s="154"/>
      <c r="L143" s="154"/>
      <c r="M143" s="154"/>
      <c r="N143" s="154"/>
      <c r="O143" s="154"/>
      <c r="P143" s="154"/>
      <c r="Q143" s="154"/>
      <c r="R143" s="154"/>
      <c r="S143" s="154"/>
      <c r="T143" s="154"/>
      <c r="U143" s="154"/>
      <c r="V143" s="154"/>
      <c r="W143" s="154"/>
      <c r="X143" s="154"/>
      <c r="Y143" s="154"/>
      <c r="Z143" s="154"/>
      <c r="AA143" s="154"/>
      <c r="AB143" s="154"/>
      <c r="AC143" s="154"/>
      <c r="AD143" s="154"/>
      <c r="AE143" s="154"/>
      <c r="AF143" s="154"/>
      <c r="AG143" s="154"/>
      <c r="AH143" s="154"/>
      <c r="AI143" s="154"/>
      <c r="AJ143" s="154"/>
      <c r="AK143" s="154"/>
      <c r="AL143" s="154"/>
      <c r="AM143" s="154"/>
      <c r="AN143" s="154"/>
      <c r="AO143" s="154"/>
      <c r="AP143" s="154"/>
      <c r="AQ143" s="154"/>
    </row>
    <row r="144" spans="1:43" ht="15.75">
      <c r="A144" s="154"/>
      <c r="B144" s="154"/>
      <c r="C144" s="154"/>
      <c r="D144" s="154"/>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4"/>
      <c r="AA144" s="154"/>
      <c r="AB144" s="154"/>
      <c r="AC144" s="154"/>
      <c r="AD144" s="154"/>
      <c r="AE144" s="154"/>
      <c r="AF144" s="154"/>
      <c r="AG144" s="154"/>
      <c r="AH144" s="154"/>
      <c r="AI144" s="154"/>
      <c r="AJ144" s="154"/>
      <c r="AK144" s="154"/>
      <c r="AL144" s="154"/>
      <c r="AM144" s="154"/>
      <c r="AN144" s="154"/>
      <c r="AO144" s="154"/>
      <c r="AP144" s="154"/>
      <c r="AQ144" s="154"/>
    </row>
    <row r="145" spans="1:43" ht="15.75">
      <c r="A145" s="154"/>
      <c r="B145" s="154"/>
      <c r="C145" s="154"/>
      <c r="D145" s="154"/>
      <c r="E145" s="154"/>
      <c r="F145" s="154"/>
      <c r="G145" s="154"/>
      <c r="H145" s="154"/>
      <c r="I145" s="154"/>
      <c r="J145" s="154"/>
      <c r="K145" s="154"/>
      <c r="L145" s="154"/>
      <c r="M145" s="154"/>
      <c r="N145" s="154"/>
      <c r="O145" s="154"/>
      <c r="P145" s="154"/>
      <c r="Q145" s="154"/>
      <c r="R145" s="154"/>
      <c r="S145" s="154"/>
      <c r="T145" s="154"/>
      <c r="U145" s="154"/>
      <c r="V145" s="154"/>
      <c r="W145" s="154"/>
      <c r="X145" s="154"/>
      <c r="Y145" s="154"/>
      <c r="Z145" s="154"/>
      <c r="AA145" s="154"/>
      <c r="AB145" s="154"/>
      <c r="AC145" s="154"/>
      <c r="AD145" s="154"/>
      <c r="AE145" s="154"/>
      <c r="AF145" s="154"/>
      <c r="AG145" s="154"/>
      <c r="AH145" s="154"/>
      <c r="AI145" s="154"/>
      <c r="AJ145" s="154"/>
      <c r="AK145" s="154"/>
      <c r="AL145" s="154"/>
      <c r="AM145" s="154"/>
      <c r="AN145" s="154"/>
      <c r="AO145" s="154"/>
      <c r="AP145" s="154"/>
      <c r="AQ145" s="154"/>
    </row>
    <row r="146" spans="1:43" ht="15.75">
      <c r="A146" s="154"/>
      <c r="B146" s="154"/>
      <c r="C146" s="154"/>
      <c r="D146" s="154"/>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154"/>
      <c r="AA146" s="154"/>
      <c r="AB146" s="154"/>
      <c r="AC146" s="154"/>
      <c r="AD146" s="154"/>
      <c r="AE146" s="154"/>
      <c r="AF146" s="154"/>
      <c r="AG146" s="154"/>
      <c r="AH146" s="154"/>
      <c r="AI146" s="154"/>
      <c r="AJ146" s="154"/>
      <c r="AK146" s="154"/>
      <c r="AL146" s="154"/>
      <c r="AM146" s="154"/>
      <c r="AN146" s="154"/>
      <c r="AO146" s="154"/>
      <c r="AP146" s="154"/>
      <c r="AQ146" s="154"/>
    </row>
    <row r="147" spans="1:43" ht="15.75">
      <c r="A147" s="154"/>
      <c r="B147" s="154"/>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c r="AA147" s="154"/>
      <c r="AB147" s="154"/>
      <c r="AC147" s="154"/>
      <c r="AD147" s="154"/>
      <c r="AE147" s="154"/>
      <c r="AF147" s="154"/>
      <c r="AG147" s="154"/>
      <c r="AH147" s="154"/>
      <c r="AI147" s="154"/>
      <c r="AJ147" s="154"/>
      <c r="AK147" s="154"/>
      <c r="AL147" s="154"/>
      <c r="AM147" s="154"/>
      <c r="AN147" s="154"/>
      <c r="AO147" s="154"/>
      <c r="AP147" s="154"/>
      <c r="AQ147" s="154"/>
    </row>
    <row r="148" spans="1:43" ht="15.75">
      <c r="A148" s="154"/>
      <c r="B148" s="154"/>
      <c r="C148" s="154"/>
      <c r="D148" s="154"/>
      <c r="E148" s="154"/>
      <c r="F148" s="154"/>
      <c r="G148" s="154"/>
      <c r="H148" s="154"/>
      <c r="I148" s="154"/>
      <c r="J148" s="154"/>
      <c r="K148" s="154"/>
      <c r="L148" s="154"/>
      <c r="M148" s="154"/>
      <c r="N148" s="154"/>
      <c r="O148" s="154"/>
      <c r="P148" s="154"/>
      <c r="Q148" s="154"/>
      <c r="R148" s="154"/>
      <c r="S148" s="154"/>
      <c r="T148" s="154"/>
      <c r="U148" s="154"/>
      <c r="V148" s="154"/>
      <c r="W148" s="154"/>
      <c r="X148" s="154"/>
      <c r="Y148" s="154"/>
      <c r="Z148" s="154"/>
      <c r="AA148" s="154"/>
      <c r="AB148" s="154"/>
      <c r="AC148" s="154"/>
      <c r="AD148" s="154"/>
      <c r="AE148" s="154"/>
      <c r="AF148" s="154"/>
      <c r="AG148" s="154"/>
      <c r="AH148" s="154"/>
      <c r="AI148" s="154"/>
      <c r="AJ148" s="154"/>
      <c r="AK148" s="154"/>
      <c r="AL148" s="154"/>
      <c r="AM148" s="154"/>
      <c r="AN148" s="154"/>
      <c r="AO148" s="154"/>
      <c r="AP148" s="154"/>
      <c r="AQ148" s="154"/>
    </row>
    <row r="149" spans="1:43" ht="15.75">
      <c r="A149" s="154"/>
      <c r="B149" s="154"/>
      <c r="C149" s="154"/>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c r="AA149" s="154"/>
      <c r="AB149" s="154"/>
      <c r="AC149" s="154"/>
      <c r="AD149" s="154"/>
      <c r="AE149" s="154"/>
      <c r="AF149" s="154"/>
      <c r="AG149" s="154"/>
      <c r="AH149" s="154"/>
      <c r="AI149" s="154"/>
      <c r="AJ149" s="154"/>
      <c r="AK149" s="154"/>
      <c r="AL149" s="154"/>
      <c r="AM149" s="154"/>
      <c r="AN149" s="154"/>
      <c r="AO149" s="154"/>
      <c r="AP149" s="154"/>
      <c r="AQ149" s="154"/>
    </row>
    <row r="150" spans="1:43" ht="15.75">
      <c r="A150" s="154"/>
      <c r="B150" s="154"/>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c r="AA150" s="154"/>
      <c r="AB150" s="154"/>
      <c r="AC150" s="154"/>
      <c r="AD150" s="154"/>
      <c r="AE150" s="154"/>
      <c r="AF150" s="154"/>
      <c r="AG150" s="154"/>
      <c r="AH150" s="154"/>
      <c r="AI150" s="154"/>
      <c r="AJ150" s="154"/>
      <c r="AK150" s="154"/>
      <c r="AL150" s="154"/>
      <c r="AM150" s="154"/>
      <c r="AN150" s="154"/>
      <c r="AO150" s="154"/>
      <c r="AP150" s="154"/>
      <c r="AQ150" s="154"/>
    </row>
    <row r="151" spans="1:43" ht="15.75">
      <c r="A151" s="154"/>
      <c r="B151" s="154"/>
      <c r="C151" s="154"/>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c r="AA151" s="154"/>
      <c r="AB151" s="154"/>
      <c r="AC151" s="154"/>
      <c r="AD151" s="154"/>
      <c r="AE151" s="154"/>
      <c r="AF151" s="154"/>
      <c r="AG151" s="154"/>
      <c r="AH151" s="154"/>
      <c r="AI151" s="154"/>
      <c r="AJ151" s="154"/>
      <c r="AK151" s="154"/>
      <c r="AL151" s="154"/>
      <c r="AM151" s="154"/>
      <c r="AN151" s="154"/>
      <c r="AO151" s="154"/>
      <c r="AP151" s="154"/>
      <c r="AQ151" s="154"/>
    </row>
    <row r="152" spans="1:43" ht="15.75">
      <c r="A152" s="154"/>
      <c r="B152" s="154"/>
      <c r="C152" s="154"/>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c r="AA152" s="154"/>
      <c r="AB152" s="154"/>
      <c r="AC152" s="154"/>
      <c r="AD152" s="154"/>
      <c r="AE152" s="154"/>
      <c r="AF152" s="154"/>
      <c r="AG152" s="154"/>
      <c r="AH152" s="154"/>
      <c r="AI152" s="154"/>
      <c r="AJ152" s="154"/>
      <c r="AK152" s="154"/>
      <c r="AL152" s="154"/>
      <c r="AM152" s="154"/>
      <c r="AN152" s="154"/>
      <c r="AO152" s="154"/>
      <c r="AP152" s="154"/>
      <c r="AQ152" s="154"/>
    </row>
    <row r="153" spans="1:43" ht="15.75">
      <c r="A153" s="154"/>
      <c r="B153" s="154"/>
      <c r="C153" s="154"/>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c r="AA153" s="154"/>
      <c r="AB153" s="154"/>
      <c r="AC153" s="154"/>
      <c r="AD153" s="154"/>
      <c r="AE153" s="154"/>
      <c r="AF153" s="154"/>
      <c r="AG153" s="154"/>
      <c r="AH153" s="154"/>
      <c r="AI153" s="154"/>
      <c r="AJ153" s="154"/>
      <c r="AK153" s="154"/>
      <c r="AL153" s="154"/>
      <c r="AM153" s="154"/>
      <c r="AN153" s="154"/>
      <c r="AO153" s="154"/>
      <c r="AP153" s="154"/>
      <c r="AQ153" s="154"/>
    </row>
    <row r="154" spans="1:43" ht="15.75">
      <c r="A154" s="154"/>
      <c r="B154" s="154"/>
      <c r="C154" s="154"/>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c r="AA154" s="154"/>
      <c r="AB154" s="154"/>
      <c r="AC154" s="154"/>
      <c r="AD154" s="154"/>
      <c r="AE154" s="154"/>
      <c r="AF154" s="154"/>
      <c r="AG154" s="154"/>
      <c r="AH154" s="154"/>
      <c r="AI154" s="154"/>
      <c r="AJ154" s="154"/>
      <c r="AK154" s="154"/>
      <c r="AL154" s="154"/>
      <c r="AM154" s="154"/>
      <c r="AN154" s="154"/>
      <c r="AO154" s="154"/>
      <c r="AP154" s="154"/>
      <c r="AQ154" s="154"/>
    </row>
    <row r="155" spans="1:43" ht="15.75">
      <c r="A155" s="154"/>
      <c r="B155" s="154"/>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c r="AA155" s="154"/>
      <c r="AB155" s="154"/>
      <c r="AC155" s="154"/>
      <c r="AD155" s="154"/>
      <c r="AE155" s="154"/>
      <c r="AF155" s="154"/>
      <c r="AG155" s="154"/>
      <c r="AH155" s="154"/>
      <c r="AI155" s="154"/>
      <c r="AJ155" s="154"/>
      <c r="AK155" s="154"/>
      <c r="AL155" s="154"/>
      <c r="AM155" s="154"/>
      <c r="AN155" s="154"/>
      <c r="AO155" s="154"/>
      <c r="AP155" s="154"/>
      <c r="AQ155" s="154"/>
    </row>
    <row r="156" spans="1:43" ht="15.75">
      <c r="A156" s="154"/>
      <c r="B156" s="154"/>
      <c r="C156" s="154"/>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154"/>
      <c r="Z156" s="154"/>
      <c r="AA156" s="154"/>
      <c r="AB156" s="154"/>
      <c r="AC156" s="154"/>
      <c r="AD156" s="154"/>
      <c r="AE156" s="154"/>
      <c r="AF156" s="154"/>
      <c r="AG156" s="154"/>
      <c r="AH156" s="154"/>
      <c r="AI156" s="154"/>
      <c r="AJ156" s="154"/>
      <c r="AK156" s="154"/>
      <c r="AL156" s="154"/>
      <c r="AM156" s="154"/>
      <c r="AN156" s="154"/>
      <c r="AO156" s="154"/>
      <c r="AP156" s="154"/>
      <c r="AQ156" s="154"/>
    </row>
    <row r="157" spans="1:43" ht="15.75">
      <c r="A157" s="154"/>
      <c r="B157" s="154"/>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c r="AA157" s="154"/>
      <c r="AB157" s="154"/>
      <c r="AC157" s="154"/>
      <c r="AD157" s="154"/>
      <c r="AE157" s="154"/>
      <c r="AF157" s="154"/>
      <c r="AG157" s="154"/>
      <c r="AH157" s="154"/>
      <c r="AI157" s="154"/>
      <c r="AJ157" s="154"/>
      <c r="AK157" s="154"/>
      <c r="AL157" s="154"/>
      <c r="AM157" s="154"/>
      <c r="AN157" s="154"/>
      <c r="AO157" s="154"/>
      <c r="AP157" s="154"/>
      <c r="AQ157" s="154"/>
    </row>
    <row r="158" spans="1:43" ht="15.75">
      <c r="A158" s="15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c r="AA158" s="154"/>
      <c r="AB158" s="154"/>
      <c r="AC158" s="154"/>
      <c r="AD158" s="154"/>
      <c r="AE158" s="154"/>
      <c r="AF158" s="154"/>
      <c r="AG158" s="154"/>
      <c r="AH158" s="154"/>
      <c r="AI158" s="154"/>
      <c r="AJ158" s="154"/>
      <c r="AK158" s="154"/>
      <c r="AL158" s="154"/>
      <c r="AM158" s="154"/>
      <c r="AN158" s="154"/>
      <c r="AO158" s="154"/>
      <c r="AP158" s="154"/>
      <c r="AQ158" s="154"/>
    </row>
    <row r="159" spans="1:43" ht="15.75">
      <c r="A159" s="154"/>
      <c r="B159" s="154"/>
      <c r="C159" s="154"/>
      <c r="D159" s="154"/>
      <c r="E159" s="154"/>
      <c r="F159" s="154"/>
      <c r="G159" s="154"/>
      <c r="H159" s="154"/>
      <c r="I159" s="154"/>
      <c r="J159" s="154"/>
      <c r="K159" s="154"/>
      <c r="L159" s="154"/>
      <c r="M159" s="154"/>
      <c r="N159" s="154"/>
      <c r="O159" s="154"/>
      <c r="P159" s="154"/>
      <c r="Q159" s="154"/>
      <c r="R159" s="154"/>
      <c r="S159" s="154"/>
      <c r="T159" s="154"/>
      <c r="U159" s="154"/>
      <c r="V159" s="154"/>
      <c r="W159" s="154"/>
      <c r="X159" s="154"/>
      <c r="Y159" s="154"/>
      <c r="Z159" s="154"/>
      <c r="AA159" s="154"/>
      <c r="AB159" s="154"/>
      <c r="AC159" s="154"/>
      <c r="AD159" s="154"/>
      <c r="AE159" s="154"/>
      <c r="AF159" s="154"/>
      <c r="AG159" s="154"/>
      <c r="AH159" s="154"/>
      <c r="AI159" s="154"/>
      <c r="AJ159" s="154"/>
      <c r="AK159" s="154"/>
      <c r="AL159" s="154"/>
      <c r="AM159" s="154"/>
      <c r="AN159" s="154"/>
      <c r="AO159" s="154"/>
      <c r="AP159" s="154"/>
      <c r="AQ159" s="154"/>
    </row>
    <row r="160" spans="1:43" ht="15.75">
      <c r="A160" s="154"/>
      <c r="B160" s="154"/>
      <c r="C160" s="154"/>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154"/>
      <c r="Z160" s="154"/>
      <c r="AA160" s="154"/>
      <c r="AB160" s="154"/>
      <c r="AC160" s="154"/>
      <c r="AD160" s="154"/>
      <c r="AE160" s="154"/>
      <c r="AF160" s="154"/>
      <c r="AG160" s="154"/>
      <c r="AH160" s="154"/>
      <c r="AI160" s="154"/>
      <c r="AJ160" s="154"/>
      <c r="AK160" s="154"/>
      <c r="AL160" s="154"/>
      <c r="AM160" s="154"/>
      <c r="AN160" s="154"/>
      <c r="AO160" s="154"/>
      <c r="AP160" s="154"/>
      <c r="AQ160" s="154"/>
    </row>
    <row r="161" spans="1:43" ht="15.75">
      <c r="A161" s="154"/>
      <c r="B161" s="154"/>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c r="AA161" s="154"/>
      <c r="AB161" s="154"/>
      <c r="AC161" s="154"/>
      <c r="AD161" s="154"/>
      <c r="AE161" s="154"/>
      <c r="AF161" s="154"/>
      <c r="AG161" s="154"/>
      <c r="AH161" s="154"/>
      <c r="AI161" s="154"/>
      <c r="AJ161" s="154"/>
      <c r="AK161" s="154"/>
      <c r="AL161" s="154"/>
      <c r="AM161" s="154"/>
      <c r="AN161" s="154"/>
      <c r="AO161" s="154"/>
      <c r="AP161" s="154"/>
      <c r="AQ161" s="154"/>
    </row>
    <row r="162" spans="1:43" ht="15.75">
      <c r="A162" s="154"/>
      <c r="B162" s="154"/>
      <c r="C162" s="154"/>
      <c r="D162" s="154"/>
      <c r="E162" s="154"/>
      <c r="F162" s="154"/>
      <c r="G162" s="154"/>
      <c r="H162" s="154"/>
      <c r="I162" s="154"/>
      <c r="J162" s="154"/>
      <c r="K162" s="154"/>
      <c r="L162" s="154"/>
      <c r="M162" s="154"/>
      <c r="N162" s="154"/>
      <c r="O162" s="154"/>
      <c r="P162" s="154"/>
      <c r="Q162" s="154"/>
      <c r="R162" s="154"/>
      <c r="S162" s="154"/>
      <c r="T162" s="154"/>
      <c r="U162" s="154"/>
      <c r="V162" s="154"/>
      <c r="W162" s="154"/>
      <c r="X162" s="154"/>
      <c r="Y162" s="154"/>
      <c r="Z162" s="154"/>
      <c r="AA162" s="154"/>
      <c r="AB162" s="154"/>
      <c r="AC162" s="154"/>
      <c r="AD162" s="154"/>
      <c r="AE162" s="154"/>
      <c r="AF162" s="154"/>
      <c r="AG162" s="154"/>
      <c r="AH162" s="154"/>
      <c r="AI162" s="154"/>
      <c r="AJ162" s="154"/>
      <c r="AK162" s="154"/>
      <c r="AL162" s="154"/>
      <c r="AM162" s="154"/>
      <c r="AN162" s="154"/>
      <c r="AO162" s="154"/>
      <c r="AP162" s="154"/>
      <c r="AQ162" s="154"/>
    </row>
    <row r="163" spans="1:43" ht="15.75">
      <c r="A163" s="154"/>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4"/>
      <c r="X163" s="154"/>
      <c r="Y163" s="154"/>
      <c r="Z163" s="154"/>
      <c r="AA163" s="154"/>
      <c r="AB163" s="154"/>
      <c r="AC163" s="154"/>
      <c r="AD163" s="154"/>
      <c r="AE163" s="154"/>
      <c r="AF163" s="154"/>
      <c r="AG163" s="154"/>
      <c r="AH163" s="154"/>
      <c r="AI163" s="154"/>
      <c r="AJ163" s="154"/>
      <c r="AK163" s="154"/>
      <c r="AL163" s="154"/>
      <c r="AM163" s="154"/>
      <c r="AN163" s="154"/>
      <c r="AO163" s="154"/>
      <c r="AP163" s="154"/>
      <c r="AQ163" s="154"/>
    </row>
    <row r="164" spans="1:43" ht="15.75">
      <c r="A164" s="154"/>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4"/>
      <c r="X164" s="154"/>
      <c r="Y164" s="154"/>
      <c r="Z164" s="154"/>
      <c r="AA164" s="154"/>
      <c r="AB164" s="154"/>
      <c r="AC164" s="154"/>
      <c r="AD164" s="154"/>
      <c r="AE164" s="154"/>
      <c r="AF164" s="154"/>
      <c r="AG164" s="154"/>
      <c r="AH164" s="154"/>
      <c r="AI164" s="154"/>
      <c r="AJ164" s="154"/>
      <c r="AK164" s="154"/>
      <c r="AL164" s="154"/>
      <c r="AM164" s="154"/>
      <c r="AN164" s="154"/>
      <c r="AO164" s="154"/>
      <c r="AP164" s="154"/>
      <c r="AQ164" s="154"/>
    </row>
    <row r="165" spans="1:43" ht="15.75">
      <c r="A165" s="154"/>
      <c r="B165" s="154"/>
      <c r="C165" s="154"/>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c r="AA165" s="154"/>
      <c r="AB165" s="154"/>
      <c r="AC165" s="154"/>
      <c r="AD165" s="154"/>
      <c r="AE165" s="154"/>
      <c r="AF165" s="154"/>
      <c r="AG165" s="154"/>
      <c r="AH165" s="154"/>
      <c r="AI165" s="154"/>
      <c r="AJ165" s="154"/>
      <c r="AK165" s="154"/>
      <c r="AL165" s="154"/>
      <c r="AM165" s="154"/>
      <c r="AN165" s="154"/>
      <c r="AO165" s="154"/>
      <c r="AP165" s="154"/>
      <c r="AQ165" s="154"/>
    </row>
    <row r="166" spans="1:43" ht="15.75">
      <c r="A166" s="154"/>
      <c r="B166" s="154"/>
      <c r="C166" s="154"/>
      <c r="D166" s="154"/>
      <c r="E166" s="154"/>
      <c r="F166" s="154"/>
      <c r="G166" s="154"/>
      <c r="H166" s="154"/>
      <c r="I166" s="154"/>
      <c r="J166" s="154"/>
      <c r="K166" s="154"/>
      <c r="L166" s="154"/>
      <c r="M166" s="154"/>
      <c r="N166" s="154"/>
      <c r="O166" s="154"/>
      <c r="P166" s="154"/>
      <c r="Q166" s="154"/>
      <c r="R166" s="154"/>
      <c r="S166" s="154"/>
      <c r="T166" s="154"/>
      <c r="U166" s="154"/>
      <c r="V166" s="154"/>
      <c r="W166" s="154"/>
      <c r="X166" s="154"/>
      <c r="Y166" s="154"/>
      <c r="Z166" s="154"/>
      <c r="AA166" s="154"/>
      <c r="AB166" s="154"/>
      <c r="AC166" s="154"/>
      <c r="AD166" s="154"/>
      <c r="AE166" s="154"/>
      <c r="AF166" s="154"/>
      <c r="AG166" s="154"/>
      <c r="AH166" s="154"/>
      <c r="AI166" s="154"/>
      <c r="AJ166" s="154"/>
      <c r="AK166" s="154"/>
      <c r="AL166" s="154"/>
      <c r="AM166" s="154"/>
      <c r="AN166" s="154"/>
      <c r="AO166" s="154"/>
      <c r="AP166" s="154"/>
      <c r="AQ166" s="154"/>
    </row>
    <row r="167" spans="1:43" ht="15.75">
      <c r="A167" s="154"/>
      <c r="B167" s="154"/>
      <c r="C167" s="154"/>
      <c r="D167" s="154"/>
      <c r="E167" s="154"/>
      <c r="F167" s="154"/>
      <c r="G167" s="154"/>
      <c r="H167" s="154"/>
      <c r="I167" s="154"/>
      <c r="J167" s="154"/>
      <c r="K167" s="154"/>
      <c r="L167" s="154"/>
      <c r="M167" s="154"/>
      <c r="N167" s="154"/>
      <c r="O167" s="154"/>
      <c r="P167" s="154"/>
      <c r="Q167" s="154"/>
      <c r="R167" s="154"/>
      <c r="S167" s="154"/>
      <c r="T167" s="154"/>
      <c r="U167" s="154"/>
      <c r="V167" s="154"/>
      <c r="W167" s="154"/>
      <c r="X167" s="154"/>
      <c r="Y167" s="154"/>
      <c r="Z167" s="154"/>
      <c r="AA167" s="154"/>
      <c r="AB167" s="154"/>
      <c r="AC167" s="154"/>
      <c r="AD167" s="154"/>
      <c r="AE167" s="154"/>
      <c r="AF167" s="154"/>
      <c r="AG167" s="154"/>
      <c r="AH167" s="154"/>
      <c r="AI167" s="154"/>
      <c r="AJ167" s="154"/>
      <c r="AK167" s="154"/>
      <c r="AL167" s="154"/>
      <c r="AM167" s="154"/>
      <c r="AN167" s="154"/>
      <c r="AO167" s="154"/>
      <c r="AP167" s="154"/>
      <c r="AQ167" s="154"/>
    </row>
    <row r="168" spans="1:43" ht="15.75">
      <c r="A168" s="154"/>
      <c r="B168" s="154"/>
      <c r="C168" s="154"/>
      <c r="D168" s="154"/>
      <c r="E168" s="154"/>
      <c r="F168" s="154"/>
      <c r="G168" s="154"/>
      <c r="H168" s="154"/>
      <c r="I168" s="154"/>
      <c r="J168" s="154"/>
      <c r="K168" s="154"/>
      <c r="L168" s="154"/>
      <c r="M168" s="154"/>
      <c r="N168" s="154"/>
      <c r="O168" s="154"/>
      <c r="P168" s="154"/>
      <c r="Q168" s="154"/>
      <c r="R168" s="154"/>
      <c r="S168" s="154"/>
      <c r="T168" s="154"/>
      <c r="U168" s="154"/>
      <c r="V168" s="154"/>
      <c r="W168" s="154"/>
      <c r="X168" s="154"/>
      <c r="Y168" s="154"/>
      <c r="Z168" s="154"/>
      <c r="AA168" s="154"/>
      <c r="AB168" s="154"/>
      <c r="AC168" s="154"/>
      <c r="AD168" s="154"/>
      <c r="AE168" s="154"/>
      <c r="AF168" s="154"/>
      <c r="AG168" s="154"/>
      <c r="AH168" s="154"/>
      <c r="AI168" s="154"/>
      <c r="AJ168" s="154"/>
      <c r="AK168" s="154"/>
      <c r="AL168" s="154"/>
      <c r="AM168" s="154"/>
      <c r="AN168" s="154"/>
      <c r="AO168" s="154"/>
      <c r="AP168" s="154"/>
      <c r="AQ168" s="154"/>
    </row>
    <row r="169" spans="1:43" ht="15.75">
      <c r="A169" s="154"/>
      <c r="B169" s="154"/>
      <c r="C169" s="154"/>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c r="AA169" s="154"/>
      <c r="AB169" s="154"/>
      <c r="AC169" s="154"/>
      <c r="AD169" s="154"/>
      <c r="AE169" s="154"/>
      <c r="AF169" s="154"/>
      <c r="AG169" s="154"/>
      <c r="AH169" s="154"/>
      <c r="AI169" s="154"/>
      <c r="AJ169" s="154"/>
      <c r="AK169" s="154"/>
      <c r="AL169" s="154"/>
      <c r="AM169" s="154"/>
      <c r="AN169" s="154"/>
      <c r="AO169" s="154"/>
      <c r="AP169" s="154"/>
      <c r="AQ169" s="154"/>
    </row>
    <row r="170" spans="1:43" ht="15.75">
      <c r="A170" s="154"/>
      <c r="B170" s="154"/>
      <c r="C170" s="154"/>
      <c r="D170" s="154"/>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c r="AA170" s="154"/>
      <c r="AB170" s="154"/>
      <c r="AC170" s="154"/>
      <c r="AD170" s="154"/>
      <c r="AE170" s="154"/>
      <c r="AF170" s="154"/>
      <c r="AG170" s="154"/>
      <c r="AH170" s="154"/>
      <c r="AI170" s="154"/>
      <c r="AJ170" s="154"/>
      <c r="AK170" s="154"/>
      <c r="AL170" s="154"/>
      <c r="AM170" s="154"/>
      <c r="AN170" s="154"/>
      <c r="AO170" s="154"/>
      <c r="AP170" s="154"/>
      <c r="AQ170" s="154"/>
    </row>
    <row r="171" spans="1:43" ht="15.75">
      <c r="A171" s="154"/>
      <c r="B171" s="154"/>
      <c r="C171" s="154"/>
      <c r="D171" s="154"/>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c r="AA171" s="154"/>
      <c r="AB171" s="154"/>
      <c r="AC171" s="154"/>
      <c r="AD171" s="154"/>
      <c r="AE171" s="154"/>
      <c r="AF171" s="154"/>
      <c r="AG171" s="154"/>
      <c r="AH171" s="154"/>
      <c r="AI171" s="154"/>
      <c r="AJ171" s="154"/>
      <c r="AK171" s="154"/>
      <c r="AL171" s="154"/>
      <c r="AM171" s="154"/>
      <c r="AN171" s="154"/>
      <c r="AO171" s="154"/>
      <c r="AP171" s="154"/>
      <c r="AQ171" s="154"/>
    </row>
    <row r="172" spans="1:43" ht="15.75">
      <c r="A172" s="154"/>
      <c r="B172" s="154"/>
      <c r="C172" s="154"/>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c r="AA172" s="154"/>
      <c r="AB172" s="154"/>
      <c r="AC172" s="154"/>
      <c r="AD172" s="154"/>
      <c r="AE172" s="154"/>
      <c r="AF172" s="154"/>
      <c r="AG172" s="154"/>
      <c r="AH172" s="154"/>
      <c r="AI172" s="154"/>
      <c r="AJ172" s="154"/>
      <c r="AK172" s="154"/>
      <c r="AL172" s="154"/>
      <c r="AM172" s="154"/>
      <c r="AN172" s="154"/>
      <c r="AO172" s="154"/>
      <c r="AP172" s="154"/>
      <c r="AQ172" s="154"/>
    </row>
    <row r="173" spans="1:43" ht="15.75">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c r="AA173" s="154"/>
      <c r="AB173" s="154"/>
      <c r="AC173" s="154"/>
      <c r="AD173" s="154"/>
      <c r="AE173" s="154"/>
      <c r="AF173" s="154"/>
      <c r="AG173" s="154"/>
      <c r="AH173" s="154"/>
      <c r="AI173" s="154"/>
      <c r="AJ173" s="154"/>
      <c r="AK173" s="154"/>
      <c r="AL173" s="154"/>
      <c r="AM173" s="154"/>
      <c r="AN173" s="154"/>
      <c r="AO173" s="154"/>
      <c r="AP173" s="154"/>
      <c r="AQ173" s="154"/>
    </row>
    <row r="174" spans="1:43" ht="15.75">
      <c r="A174" s="154"/>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c r="AA174" s="154"/>
      <c r="AB174" s="154"/>
      <c r="AC174" s="154"/>
      <c r="AD174" s="154"/>
      <c r="AE174" s="154"/>
      <c r="AF174" s="154"/>
      <c r="AG174" s="154"/>
      <c r="AH174" s="154"/>
      <c r="AI174" s="154"/>
      <c r="AJ174" s="154"/>
      <c r="AK174" s="154"/>
      <c r="AL174" s="154"/>
      <c r="AM174" s="154"/>
      <c r="AN174" s="154"/>
      <c r="AO174" s="154"/>
      <c r="AP174" s="154"/>
      <c r="AQ174" s="154"/>
    </row>
    <row r="175" spans="1:43" ht="15.75">
      <c r="A175" s="154"/>
      <c r="B175" s="154"/>
      <c r="C175" s="154"/>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c r="AA175" s="154"/>
      <c r="AB175" s="154"/>
      <c r="AC175" s="154"/>
      <c r="AD175" s="154"/>
      <c r="AE175" s="154"/>
      <c r="AF175" s="154"/>
      <c r="AG175" s="154"/>
      <c r="AH175" s="154"/>
      <c r="AI175" s="154"/>
      <c r="AJ175" s="154"/>
      <c r="AK175" s="154"/>
      <c r="AL175" s="154"/>
      <c r="AM175" s="154"/>
      <c r="AN175" s="154"/>
      <c r="AO175" s="154"/>
      <c r="AP175" s="154"/>
      <c r="AQ175" s="154"/>
    </row>
    <row r="176" spans="1:43" ht="15.75">
      <c r="A176" s="154"/>
      <c r="B176" s="154"/>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c r="AA176" s="154"/>
      <c r="AB176" s="154"/>
      <c r="AC176" s="154"/>
      <c r="AD176" s="154"/>
      <c r="AE176" s="154"/>
      <c r="AF176" s="154"/>
      <c r="AG176" s="154"/>
      <c r="AH176" s="154"/>
      <c r="AI176" s="154"/>
      <c r="AJ176" s="154"/>
      <c r="AK176" s="154"/>
      <c r="AL176" s="154"/>
      <c r="AM176" s="154"/>
      <c r="AN176" s="154"/>
      <c r="AO176" s="154"/>
      <c r="AP176" s="154"/>
      <c r="AQ176" s="154"/>
    </row>
    <row r="177" spans="1:43" ht="15.75">
      <c r="A177" s="154"/>
      <c r="B177" s="154"/>
      <c r="C177" s="154"/>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c r="AA177" s="154"/>
      <c r="AB177" s="154"/>
      <c r="AC177" s="154"/>
      <c r="AD177" s="154"/>
      <c r="AE177" s="154"/>
      <c r="AF177" s="154"/>
      <c r="AG177" s="154"/>
      <c r="AH177" s="154"/>
      <c r="AI177" s="154"/>
      <c r="AJ177" s="154"/>
      <c r="AK177" s="154"/>
      <c r="AL177" s="154"/>
      <c r="AM177" s="154"/>
      <c r="AN177" s="154"/>
      <c r="AO177" s="154"/>
      <c r="AP177" s="154"/>
      <c r="AQ177" s="154"/>
    </row>
    <row r="178" spans="1:43" ht="15.75">
      <c r="A178" s="154"/>
      <c r="B178" s="154"/>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c r="AA178" s="154"/>
      <c r="AB178" s="154"/>
      <c r="AC178" s="154"/>
      <c r="AD178" s="154"/>
      <c r="AE178" s="154"/>
      <c r="AF178" s="154"/>
      <c r="AG178" s="154"/>
      <c r="AH178" s="154"/>
      <c r="AI178" s="154"/>
      <c r="AJ178" s="154"/>
      <c r="AK178" s="154"/>
      <c r="AL178" s="154"/>
      <c r="AM178" s="154"/>
      <c r="AN178" s="154"/>
      <c r="AO178" s="154"/>
      <c r="AP178" s="154"/>
      <c r="AQ178" s="154"/>
    </row>
    <row r="179" spans="1:43" ht="15.75">
      <c r="A179" s="154"/>
      <c r="B179" s="154"/>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c r="AA179" s="154"/>
      <c r="AB179" s="154"/>
      <c r="AC179" s="154"/>
      <c r="AD179" s="154"/>
      <c r="AE179" s="154"/>
      <c r="AF179" s="154"/>
      <c r="AG179" s="154"/>
      <c r="AH179" s="154"/>
      <c r="AI179" s="154"/>
      <c r="AJ179" s="154"/>
      <c r="AK179" s="154"/>
      <c r="AL179" s="154"/>
      <c r="AM179" s="154"/>
      <c r="AN179" s="154"/>
      <c r="AO179" s="154"/>
      <c r="AP179" s="154"/>
      <c r="AQ179" s="154"/>
    </row>
    <row r="180" spans="1:43" ht="15.75">
      <c r="A180" s="154"/>
      <c r="B180" s="154"/>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c r="AA180" s="154"/>
      <c r="AB180" s="154"/>
      <c r="AC180" s="154"/>
      <c r="AD180" s="154"/>
      <c r="AE180" s="154"/>
      <c r="AF180" s="154"/>
      <c r="AG180" s="154"/>
      <c r="AH180" s="154"/>
      <c r="AI180" s="154"/>
      <c r="AJ180" s="154"/>
      <c r="AK180" s="154"/>
      <c r="AL180" s="154"/>
      <c r="AM180" s="154"/>
      <c r="AN180" s="154"/>
      <c r="AO180" s="154"/>
      <c r="AP180" s="154"/>
      <c r="AQ180" s="154"/>
    </row>
    <row r="181" spans="1:43" ht="15.75">
      <c r="A181" s="154"/>
      <c r="B181" s="154"/>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c r="AA181" s="154"/>
      <c r="AB181" s="154"/>
      <c r="AC181" s="154"/>
      <c r="AD181" s="154"/>
      <c r="AE181" s="154"/>
      <c r="AF181" s="154"/>
      <c r="AG181" s="154"/>
      <c r="AH181" s="154"/>
      <c r="AI181" s="154"/>
      <c r="AJ181" s="154"/>
      <c r="AK181" s="154"/>
      <c r="AL181" s="154"/>
      <c r="AM181" s="154"/>
      <c r="AN181" s="154"/>
      <c r="AO181" s="154"/>
      <c r="AP181" s="154"/>
      <c r="AQ181" s="154"/>
    </row>
    <row r="182" spans="1:43" ht="15.75">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c r="AA182" s="154"/>
      <c r="AB182" s="154"/>
      <c r="AC182" s="154"/>
      <c r="AD182" s="154"/>
      <c r="AE182" s="154"/>
      <c r="AF182" s="154"/>
      <c r="AG182" s="154"/>
      <c r="AH182" s="154"/>
      <c r="AI182" s="154"/>
      <c r="AJ182" s="154"/>
      <c r="AK182" s="154"/>
      <c r="AL182" s="154"/>
      <c r="AM182" s="154"/>
      <c r="AN182" s="154"/>
      <c r="AO182" s="154"/>
      <c r="AP182" s="154"/>
      <c r="AQ182" s="154"/>
    </row>
    <row r="183" spans="1:43" ht="15.75">
      <c r="A183" s="154"/>
      <c r="B183" s="154"/>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c r="AA183" s="154"/>
      <c r="AB183" s="154"/>
      <c r="AC183" s="154"/>
      <c r="AD183" s="154"/>
      <c r="AE183" s="154"/>
      <c r="AF183" s="154"/>
      <c r="AG183" s="154"/>
      <c r="AH183" s="154"/>
      <c r="AI183" s="154"/>
      <c r="AJ183" s="154"/>
      <c r="AK183" s="154"/>
      <c r="AL183" s="154"/>
      <c r="AM183" s="154"/>
      <c r="AN183" s="154"/>
      <c r="AO183" s="154"/>
      <c r="AP183" s="154"/>
      <c r="AQ183" s="154"/>
    </row>
    <row r="184" spans="1:43" ht="15.75">
      <c r="A184" s="154"/>
      <c r="B184" s="154"/>
      <c r="C184" s="154"/>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c r="AA184" s="154"/>
      <c r="AB184" s="154"/>
      <c r="AC184" s="154"/>
      <c r="AD184" s="154"/>
      <c r="AE184" s="154"/>
      <c r="AF184" s="154"/>
      <c r="AG184" s="154"/>
      <c r="AH184" s="154"/>
      <c r="AI184" s="154"/>
      <c r="AJ184" s="154"/>
      <c r="AK184" s="154"/>
      <c r="AL184" s="154"/>
      <c r="AM184" s="154"/>
      <c r="AN184" s="154"/>
      <c r="AO184" s="154"/>
      <c r="AP184" s="154"/>
      <c r="AQ184" s="154"/>
    </row>
    <row r="185" spans="1:43" ht="15.75">
      <c r="A185" s="154"/>
      <c r="B185" s="154"/>
      <c r="C185" s="154"/>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c r="AA185" s="154"/>
      <c r="AB185" s="154"/>
      <c r="AC185" s="154"/>
      <c r="AD185" s="154"/>
      <c r="AE185" s="154"/>
      <c r="AF185" s="154"/>
      <c r="AG185" s="154"/>
      <c r="AH185" s="154"/>
      <c r="AI185" s="154"/>
      <c r="AJ185" s="154"/>
      <c r="AK185" s="154"/>
      <c r="AL185" s="154"/>
      <c r="AM185" s="154"/>
      <c r="AN185" s="154"/>
      <c r="AO185" s="154"/>
      <c r="AP185" s="154"/>
      <c r="AQ185" s="154"/>
    </row>
    <row r="186" spans="1:43" ht="15.75">
      <c r="A186" s="154"/>
      <c r="B186" s="154"/>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c r="AA186" s="154"/>
      <c r="AB186" s="154"/>
      <c r="AC186" s="154"/>
      <c r="AD186" s="154"/>
      <c r="AE186" s="154"/>
      <c r="AF186" s="154"/>
      <c r="AG186" s="154"/>
      <c r="AH186" s="154"/>
      <c r="AI186" s="154"/>
      <c r="AJ186" s="154"/>
      <c r="AK186" s="154"/>
      <c r="AL186" s="154"/>
      <c r="AM186" s="154"/>
      <c r="AN186" s="154"/>
      <c r="AO186" s="154"/>
      <c r="AP186" s="154"/>
      <c r="AQ186" s="154"/>
    </row>
    <row r="187" spans="1:43" ht="15.75">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c r="AA187" s="154"/>
      <c r="AB187" s="154"/>
      <c r="AC187" s="154"/>
      <c r="AD187" s="154"/>
      <c r="AE187" s="154"/>
      <c r="AF187" s="154"/>
      <c r="AG187" s="154"/>
      <c r="AH187" s="154"/>
      <c r="AI187" s="154"/>
      <c r="AJ187" s="154"/>
      <c r="AK187" s="154"/>
      <c r="AL187" s="154"/>
      <c r="AM187" s="154"/>
      <c r="AN187" s="154"/>
      <c r="AO187" s="154"/>
      <c r="AP187" s="154"/>
      <c r="AQ187" s="154"/>
    </row>
    <row r="188" spans="1:43" ht="15.75">
      <c r="A188" s="154"/>
      <c r="B188" s="154"/>
      <c r="C188" s="154"/>
      <c r="D188" s="154"/>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c r="AA188" s="154"/>
      <c r="AB188" s="154"/>
      <c r="AC188" s="154"/>
      <c r="AD188" s="154"/>
      <c r="AE188" s="154"/>
      <c r="AF188" s="154"/>
      <c r="AG188" s="154"/>
      <c r="AH188" s="154"/>
      <c r="AI188" s="154"/>
      <c r="AJ188" s="154"/>
      <c r="AK188" s="154"/>
      <c r="AL188" s="154"/>
      <c r="AM188" s="154"/>
      <c r="AN188" s="154"/>
      <c r="AO188" s="154"/>
      <c r="AP188" s="154"/>
      <c r="AQ188" s="154"/>
    </row>
    <row r="189" spans="1:43" ht="15.75">
      <c r="A189" s="154"/>
      <c r="B189" s="154"/>
      <c r="C189" s="154"/>
      <c r="D189" s="154"/>
      <c r="E189" s="154"/>
      <c r="F189" s="154"/>
      <c r="G189" s="154"/>
      <c r="H189" s="154"/>
      <c r="I189" s="154"/>
      <c r="J189" s="154"/>
      <c r="K189" s="154"/>
      <c r="L189" s="154"/>
      <c r="M189" s="154"/>
      <c r="N189" s="154"/>
      <c r="O189" s="154"/>
      <c r="P189" s="154"/>
      <c r="Q189" s="154"/>
      <c r="R189" s="154"/>
      <c r="S189" s="154"/>
      <c r="T189" s="154"/>
      <c r="U189" s="154"/>
      <c r="V189" s="154"/>
      <c r="W189" s="154"/>
      <c r="X189" s="154"/>
      <c r="Y189" s="154"/>
      <c r="Z189" s="154"/>
      <c r="AA189" s="154"/>
      <c r="AB189" s="154"/>
      <c r="AC189" s="154"/>
      <c r="AD189" s="154"/>
      <c r="AE189" s="154"/>
      <c r="AF189" s="154"/>
      <c r="AG189" s="154"/>
      <c r="AH189" s="154"/>
      <c r="AI189" s="154"/>
      <c r="AJ189" s="154"/>
      <c r="AK189" s="154"/>
      <c r="AL189" s="154"/>
      <c r="AM189" s="154"/>
      <c r="AN189" s="154"/>
      <c r="AO189" s="154"/>
      <c r="AP189" s="154"/>
      <c r="AQ189" s="154"/>
    </row>
    <row r="190" spans="1:43" ht="15.75">
      <c r="A190" s="154"/>
      <c r="B190" s="154"/>
      <c r="C190" s="154"/>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c r="AA190" s="154"/>
      <c r="AB190" s="154"/>
      <c r="AC190" s="154"/>
      <c r="AD190" s="154"/>
      <c r="AE190" s="154"/>
      <c r="AF190" s="154"/>
      <c r="AG190" s="154"/>
      <c r="AH190" s="154"/>
      <c r="AI190" s="154"/>
      <c r="AJ190" s="154"/>
      <c r="AK190" s="154"/>
      <c r="AL190" s="154"/>
      <c r="AM190" s="154"/>
      <c r="AN190" s="154"/>
      <c r="AO190" s="154"/>
      <c r="AP190" s="154"/>
      <c r="AQ190" s="154"/>
    </row>
    <row r="191" spans="1:43" ht="15.75">
      <c r="A191" s="154"/>
      <c r="B191" s="154"/>
      <c r="C191" s="154"/>
      <c r="D191" s="154"/>
      <c r="E191" s="154"/>
      <c r="F191" s="154"/>
      <c r="G191" s="154"/>
      <c r="H191" s="154"/>
      <c r="I191" s="154"/>
      <c r="J191" s="154"/>
      <c r="K191" s="154"/>
      <c r="L191" s="154"/>
      <c r="M191" s="154"/>
      <c r="N191" s="154"/>
      <c r="O191" s="154"/>
      <c r="P191" s="154"/>
      <c r="Q191" s="154"/>
      <c r="R191" s="154"/>
      <c r="S191" s="154"/>
      <c r="T191" s="154"/>
      <c r="U191" s="154"/>
      <c r="V191" s="154"/>
      <c r="W191" s="154"/>
      <c r="X191" s="154"/>
      <c r="Y191" s="154"/>
      <c r="Z191" s="154"/>
      <c r="AA191" s="154"/>
      <c r="AB191" s="154"/>
      <c r="AC191" s="154"/>
      <c r="AD191" s="154"/>
      <c r="AE191" s="154"/>
      <c r="AF191" s="154"/>
      <c r="AG191" s="154"/>
      <c r="AH191" s="154"/>
      <c r="AI191" s="154"/>
      <c r="AJ191" s="154"/>
      <c r="AK191" s="154"/>
      <c r="AL191" s="154"/>
      <c r="AM191" s="154"/>
      <c r="AN191" s="154"/>
      <c r="AO191" s="154"/>
      <c r="AP191" s="154"/>
      <c r="AQ191" s="154"/>
    </row>
    <row r="192" spans="1:43" ht="15.75">
      <c r="A192" s="154"/>
      <c r="B192" s="154"/>
      <c r="C192" s="154"/>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54"/>
      <c r="Z192" s="154"/>
      <c r="AA192" s="154"/>
      <c r="AB192" s="154"/>
      <c r="AC192" s="154"/>
      <c r="AD192" s="154"/>
      <c r="AE192" s="154"/>
      <c r="AF192" s="154"/>
      <c r="AG192" s="154"/>
      <c r="AH192" s="154"/>
      <c r="AI192" s="154"/>
      <c r="AJ192" s="154"/>
      <c r="AK192" s="154"/>
      <c r="AL192" s="154"/>
      <c r="AM192" s="154"/>
      <c r="AN192" s="154"/>
      <c r="AO192" s="154"/>
      <c r="AP192" s="154"/>
      <c r="AQ192" s="154"/>
    </row>
    <row r="193" spans="1:43" ht="15.75">
      <c r="A193" s="154"/>
      <c r="B193" s="154"/>
      <c r="C193" s="154"/>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c r="AA193" s="154"/>
      <c r="AB193" s="154"/>
      <c r="AC193" s="154"/>
      <c r="AD193" s="154"/>
      <c r="AE193" s="154"/>
      <c r="AF193" s="154"/>
      <c r="AG193" s="154"/>
      <c r="AH193" s="154"/>
      <c r="AI193" s="154"/>
      <c r="AJ193" s="154"/>
      <c r="AK193" s="154"/>
      <c r="AL193" s="154"/>
      <c r="AM193" s="154"/>
      <c r="AN193" s="154"/>
      <c r="AO193" s="154"/>
      <c r="AP193" s="154"/>
      <c r="AQ193" s="154"/>
    </row>
    <row r="194" spans="1:43" ht="15.75">
      <c r="A194" s="154"/>
      <c r="B194" s="154"/>
      <c r="C194" s="154"/>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c r="AA194" s="154"/>
      <c r="AB194" s="154"/>
      <c r="AC194" s="154"/>
      <c r="AD194" s="154"/>
      <c r="AE194" s="154"/>
      <c r="AF194" s="154"/>
      <c r="AG194" s="154"/>
      <c r="AH194" s="154"/>
      <c r="AI194" s="154"/>
      <c r="AJ194" s="154"/>
      <c r="AK194" s="154"/>
      <c r="AL194" s="154"/>
      <c r="AM194" s="154"/>
      <c r="AN194" s="154"/>
      <c r="AO194" s="154"/>
      <c r="AP194" s="154"/>
      <c r="AQ194" s="154"/>
    </row>
    <row r="195" spans="1:43" ht="15.75">
      <c r="A195" s="154"/>
      <c r="B195" s="154"/>
      <c r="C195" s="154"/>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c r="AA195" s="154"/>
      <c r="AB195" s="154"/>
      <c r="AC195" s="154"/>
      <c r="AD195" s="154"/>
      <c r="AE195" s="154"/>
      <c r="AF195" s="154"/>
      <c r="AG195" s="154"/>
      <c r="AH195" s="154"/>
      <c r="AI195" s="154"/>
      <c r="AJ195" s="154"/>
      <c r="AK195" s="154"/>
      <c r="AL195" s="154"/>
      <c r="AM195" s="154"/>
      <c r="AN195" s="154"/>
      <c r="AO195" s="154"/>
      <c r="AP195" s="154"/>
      <c r="AQ195" s="154"/>
    </row>
    <row r="196" spans="1:43" ht="15.75">
      <c r="A196" s="154"/>
      <c r="B196" s="154"/>
      <c r="C196" s="154"/>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c r="AA196" s="154"/>
      <c r="AB196" s="154"/>
      <c r="AC196" s="154"/>
      <c r="AD196" s="154"/>
      <c r="AE196" s="154"/>
      <c r="AF196" s="154"/>
      <c r="AG196" s="154"/>
      <c r="AH196" s="154"/>
      <c r="AI196" s="154"/>
      <c r="AJ196" s="154"/>
      <c r="AK196" s="154"/>
      <c r="AL196" s="154"/>
      <c r="AM196" s="154"/>
      <c r="AN196" s="154"/>
      <c r="AO196" s="154"/>
      <c r="AP196" s="154"/>
      <c r="AQ196" s="154"/>
    </row>
    <row r="197" spans="1:43" ht="15.75">
      <c r="A197" s="154"/>
      <c r="B197" s="154"/>
      <c r="C197" s="154"/>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4"/>
      <c r="Z197" s="154"/>
      <c r="AA197" s="154"/>
      <c r="AB197" s="154"/>
      <c r="AC197" s="154"/>
      <c r="AD197" s="154"/>
      <c r="AE197" s="154"/>
      <c r="AF197" s="154"/>
      <c r="AG197" s="154"/>
      <c r="AH197" s="154"/>
      <c r="AI197" s="154"/>
      <c r="AJ197" s="154"/>
      <c r="AK197" s="154"/>
      <c r="AL197" s="154"/>
      <c r="AM197" s="154"/>
      <c r="AN197" s="154"/>
      <c r="AO197" s="154"/>
      <c r="AP197" s="154"/>
      <c r="AQ197" s="154"/>
    </row>
    <row r="198" spans="1:43" ht="15.75">
      <c r="A198" s="154"/>
      <c r="B198" s="154"/>
      <c r="C198" s="154"/>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c r="AA198" s="154"/>
      <c r="AB198" s="154"/>
      <c r="AC198" s="154"/>
      <c r="AD198" s="154"/>
      <c r="AE198" s="154"/>
      <c r="AF198" s="154"/>
      <c r="AG198" s="154"/>
      <c r="AH198" s="154"/>
      <c r="AI198" s="154"/>
      <c r="AJ198" s="154"/>
      <c r="AK198" s="154"/>
      <c r="AL198" s="154"/>
      <c r="AM198" s="154"/>
      <c r="AN198" s="154"/>
      <c r="AO198" s="154"/>
      <c r="AP198" s="154"/>
      <c r="AQ198" s="154"/>
    </row>
    <row r="199" spans="1:43" ht="15.75">
      <c r="A199" s="154"/>
      <c r="B199" s="154"/>
      <c r="C199" s="154"/>
      <c r="D199" s="154"/>
      <c r="E199" s="154"/>
      <c r="F199" s="154"/>
      <c r="G199" s="154"/>
      <c r="H199" s="154"/>
      <c r="I199" s="154"/>
      <c r="J199" s="154"/>
      <c r="K199" s="154"/>
      <c r="L199" s="154"/>
      <c r="M199" s="154"/>
      <c r="N199" s="154"/>
      <c r="O199" s="154"/>
      <c r="P199" s="154"/>
      <c r="Q199" s="154"/>
      <c r="R199" s="154"/>
      <c r="S199" s="154"/>
      <c r="T199" s="154"/>
      <c r="U199" s="154"/>
      <c r="V199" s="154"/>
      <c r="W199" s="154"/>
      <c r="X199" s="154"/>
      <c r="Y199" s="154"/>
      <c r="Z199" s="154"/>
      <c r="AA199" s="154"/>
      <c r="AB199" s="154"/>
      <c r="AC199" s="154"/>
      <c r="AD199" s="154"/>
      <c r="AE199" s="154"/>
      <c r="AF199" s="154"/>
      <c r="AG199" s="154"/>
      <c r="AH199" s="154"/>
      <c r="AI199" s="154"/>
      <c r="AJ199" s="154"/>
      <c r="AK199" s="154"/>
      <c r="AL199" s="154"/>
      <c r="AM199" s="154"/>
      <c r="AN199" s="154"/>
      <c r="AO199" s="154"/>
      <c r="AP199" s="154"/>
      <c r="AQ199" s="154"/>
    </row>
    <row r="200" spans="1:43" ht="15.75">
      <c r="A200" s="154"/>
      <c r="B200" s="154"/>
      <c r="C200" s="154"/>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4"/>
      <c r="Z200" s="154"/>
      <c r="AA200" s="154"/>
      <c r="AB200" s="154"/>
      <c r="AC200" s="154"/>
      <c r="AD200" s="154"/>
      <c r="AE200" s="154"/>
      <c r="AF200" s="154"/>
      <c r="AG200" s="154"/>
      <c r="AH200" s="154"/>
      <c r="AI200" s="154"/>
      <c r="AJ200" s="154"/>
      <c r="AK200" s="154"/>
      <c r="AL200" s="154"/>
      <c r="AM200" s="154"/>
      <c r="AN200" s="154"/>
      <c r="AO200" s="154"/>
      <c r="AP200" s="154"/>
      <c r="AQ200" s="154"/>
    </row>
    <row r="201" spans="1:43" ht="15.75">
      <c r="A201" s="154"/>
      <c r="B201" s="154"/>
      <c r="C201" s="154"/>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4"/>
      <c r="Z201" s="154"/>
      <c r="AA201" s="154"/>
      <c r="AB201" s="154"/>
      <c r="AC201" s="154"/>
      <c r="AD201" s="154"/>
      <c r="AE201" s="154"/>
      <c r="AF201" s="154"/>
      <c r="AG201" s="154"/>
      <c r="AH201" s="154"/>
      <c r="AI201" s="154"/>
      <c r="AJ201" s="154"/>
      <c r="AK201" s="154"/>
      <c r="AL201" s="154"/>
      <c r="AM201" s="154"/>
      <c r="AN201" s="154"/>
      <c r="AO201" s="154"/>
      <c r="AP201" s="154"/>
      <c r="AQ201" s="154"/>
    </row>
    <row r="202" spans="1:43" ht="15.75">
      <c r="A202" s="154"/>
      <c r="B202" s="154"/>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c r="AA202" s="154"/>
      <c r="AB202" s="154"/>
      <c r="AC202" s="154"/>
      <c r="AD202" s="154"/>
      <c r="AE202" s="154"/>
      <c r="AF202" s="154"/>
      <c r="AG202" s="154"/>
      <c r="AH202" s="154"/>
      <c r="AI202" s="154"/>
      <c r="AJ202" s="154"/>
      <c r="AK202" s="154"/>
      <c r="AL202" s="154"/>
      <c r="AM202" s="154"/>
      <c r="AN202" s="154"/>
      <c r="AO202" s="154"/>
      <c r="AP202" s="154"/>
      <c r="AQ202" s="154"/>
    </row>
    <row r="203" spans="1:43" ht="15.75">
      <c r="A203" s="154"/>
      <c r="B203" s="154"/>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c r="AA203" s="154"/>
      <c r="AB203" s="154"/>
      <c r="AC203" s="154"/>
      <c r="AD203" s="154"/>
      <c r="AE203" s="154"/>
      <c r="AF203" s="154"/>
      <c r="AG203" s="154"/>
      <c r="AH203" s="154"/>
      <c r="AI203" s="154"/>
      <c r="AJ203" s="154"/>
      <c r="AK203" s="154"/>
      <c r="AL203" s="154"/>
      <c r="AM203" s="154"/>
      <c r="AN203" s="154"/>
      <c r="AO203" s="154"/>
      <c r="AP203" s="154"/>
      <c r="AQ203" s="154"/>
    </row>
    <row r="204" spans="1:43" ht="15.75">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c r="AA204" s="154"/>
      <c r="AB204" s="154"/>
      <c r="AC204" s="154"/>
      <c r="AD204" s="154"/>
      <c r="AE204" s="154"/>
      <c r="AF204" s="154"/>
      <c r="AG204" s="154"/>
      <c r="AH204" s="154"/>
      <c r="AI204" s="154"/>
      <c r="AJ204" s="154"/>
      <c r="AK204" s="154"/>
      <c r="AL204" s="154"/>
      <c r="AM204" s="154"/>
      <c r="AN204" s="154"/>
      <c r="AO204" s="154"/>
      <c r="AP204" s="154"/>
      <c r="AQ204" s="154"/>
    </row>
    <row r="205" spans="1:43" ht="15.75">
      <c r="A205" s="154"/>
      <c r="B205" s="154"/>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c r="AA205" s="154"/>
      <c r="AB205" s="154"/>
      <c r="AC205" s="154"/>
      <c r="AD205" s="154"/>
      <c r="AE205" s="154"/>
      <c r="AF205" s="154"/>
      <c r="AG205" s="154"/>
      <c r="AH205" s="154"/>
      <c r="AI205" s="154"/>
      <c r="AJ205" s="154"/>
      <c r="AK205" s="154"/>
      <c r="AL205" s="154"/>
      <c r="AM205" s="154"/>
      <c r="AN205" s="154"/>
      <c r="AO205" s="154"/>
      <c r="AP205" s="154"/>
      <c r="AQ205" s="154"/>
    </row>
    <row r="206" spans="1:43" ht="15.75">
      <c r="A206" s="154"/>
      <c r="B206" s="154"/>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c r="AA206" s="154"/>
      <c r="AB206" s="154"/>
      <c r="AC206" s="154"/>
      <c r="AD206" s="154"/>
      <c r="AE206" s="154"/>
      <c r="AF206" s="154"/>
      <c r="AG206" s="154"/>
      <c r="AH206" s="154"/>
      <c r="AI206" s="154"/>
      <c r="AJ206" s="154"/>
      <c r="AK206" s="154"/>
      <c r="AL206" s="154"/>
      <c r="AM206" s="154"/>
      <c r="AN206" s="154"/>
      <c r="AO206" s="154"/>
      <c r="AP206" s="154"/>
      <c r="AQ206" s="154"/>
    </row>
    <row r="207" spans="1:43" ht="15.75">
      <c r="A207" s="154"/>
      <c r="B207" s="154"/>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c r="AA207" s="154"/>
      <c r="AB207" s="154"/>
      <c r="AC207" s="154"/>
      <c r="AD207" s="154"/>
      <c r="AE207" s="154"/>
      <c r="AF207" s="154"/>
      <c r="AG207" s="154"/>
      <c r="AH207" s="154"/>
      <c r="AI207" s="154"/>
      <c r="AJ207" s="154"/>
      <c r="AK207" s="154"/>
      <c r="AL207" s="154"/>
      <c r="AM207" s="154"/>
      <c r="AN207" s="154"/>
      <c r="AO207" s="154"/>
      <c r="AP207" s="154"/>
      <c r="AQ207" s="154"/>
    </row>
    <row r="208" spans="1:43" ht="15.75">
      <c r="A208" s="154"/>
      <c r="B208" s="154"/>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154"/>
      <c r="AA208" s="154"/>
      <c r="AB208" s="154"/>
      <c r="AC208" s="154"/>
      <c r="AD208" s="154"/>
      <c r="AE208" s="154"/>
      <c r="AF208" s="154"/>
      <c r="AG208" s="154"/>
      <c r="AH208" s="154"/>
      <c r="AI208" s="154"/>
      <c r="AJ208" s="154"/>
      <c r="AK208" s="154"/>
      <c r="AL208" s="154"/>
      <c r="AM208" s="154"/>
      <c r="AN208" s="154"/>
      <c r="AO208" s="154"/>
      <c r="AP208" s="154"/>
      <c r="AQ208" s="154"/>
    </row>
    <row r="209" spans="1:43" ht="15.75">
      <c r="A209" s="154"/>
      <c r="B209" s="154"/>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c r="AA209" s="154"/>
      <c r="AB209" s="154"/>
      <c r="AC209" s="154"/>
      <c r="AD209" s="154"/>
      <c r="AE209" s="154"/>
      <c r="AF209" s="154"/>
      <c r="AG209" s="154"/>
      <c r="AH209" s="154"/>
      <c r="AI209" s="154"/>
      <c r="AJ209" s="154"/>
      <c r="AK209" s="154"/>
      <c r="AL209" s="154"/>
      <c r="AM209" s="154"/>
      <c r="AN209" s="154"/>
      <c r="AO209" s="154"/>
      <c r="AP209" s="154"/>
      <c r="AQ209" s="154"/>
    </row>
    <row r="210" spans="1:43" ht="15.75">
      <c r="A210" s="154"/>
      <c r="B210" s="154"/>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c r="AA210" s="154"/>
      <c r="AB210" s="154"/>
      <c r="AC210" s="154"/>
      <c r="AD210" s="154"/>
      <c r="AE210" s="154"/>
      <c r="AF210" s="154"/>
      <c r="AG210" s="154"/>
      <c r="AH210" s="154"/>
      <c r="AI210" s="154"/>
      <c r="AJ210" s="154"/>
      <c r="AK210" s="154"/>
      <c r="AL210" s="154"/>
      <c r="AM210" s="154"/>
      <c r="AN210" s="154"/>
      <c r="AO210" s="154"/>
      <c r="AP210" s="154"/>
      <c r="AQ210" s="154"/>
    </row>
    <row r="211" spans="1:43" ht="15.75">
      <c r="A211" s="154"/>
      <c r="B211" s="154"/>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c r="AA211" s="154"/>
      <c r="AB211" s="154"/>
      <c r="AC211" s="154"/>
      <c r="AD211" s="154"/>
      <c r="AE211" s="154"/>
      <c r="AF211" s="154"/>
      <c r="AG211" s="154"/>
      <c r="AH211" s="154"/>
      <c r="AI211" s="154"/>
      <c r="AJ211" s="154"/>
      <c r="AK211" s="154"/>
      <c r="AL211" s="154"/>
      <c r="AM211" s="154"/>
      <c r="AN211" s="154"/>
      <c r="AO211" s="154"/>
      <c r="AP211" s="154"/>
      <c r="AQ211" s="154"/>
    </row>
    <row r="212" spans="1:43" ht="15.75">
      <c r="A212" s="15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c r="AA212" s="154"/>
      <c r="AB212" s="154"/>
      <c r="AC212" s="154"/>
      <c r="AD212" s="154"/>
      <c r="AE212" s="154"/>
      <c r="AF212" s="154"/>
      <c r="AG212" s="154"/>
      <c r="AH212" s="154"/>
      <c r="AI212" s="154"/>
      <c r="AJ212" s="154"/>
      <c r="AK212" s="154"/>
      <c r="AL212" s="154"/>
      <c r="AM212" s="154"/>
      <c r="AN212" s="154"/>
      <c r="AO212" s="154"/>
      <c r="AP212" s="154"/>
      <c r="AQ212" s="154"/>
    </row>
    <row r="213" spans="1:43" ht="15.75">
      <c r="A213" s="154"/>
      <c r="B213" s="154"/>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154"/>
      <c r="AA213" s="154"/>
      <c r="AB213" s="154"/>
      <c r="AC213" s="154"/>
      <c r="AD213" s="154"/>
      <c r="AE213" s="154"/>
      <c r="AF213" s="154"/>
      <c r="AG213" s="154"/>
      <c r="AH213" s="154"/>
      <c r="AI213" s="154"/>
      <c r="AJ213" s="154"/>
      <c r="AK213" s="154"/>
      <c r="AL213" s="154"/>
      <c r="AM213" s="154"/>
      <c r="AN213" s="154"/>
      <c r="AO213" s="154"/>
      <c r="AP213" s="154"/>
      <c r="AQ213" s="154"/>
    </row>
    <row r="214" spans="1:43" ht="15.75">
      <c r="A214" s="154"/>
      <c r="B214" s="154"/>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154"/>
      <c r="AA214" s="154"/>
      <c r="AB214" s="154"/>
      <c r="AC214" s="154"/>
      <c r="AD214" s="154"/>
      <c r="AE214" s="154"/>
      <c r="AF214" s="154"/>
      <c r="AG214" s="154"/>
      <c r="AH214" s="154"/>
      <c r="AI214" s="154"/>
      <c r="AJ214" s="154"/>
      <c r="AK214" s="154"/>
      <c r="AL214" s="154"/>
      <c r="AM214" s="154"/>
      <c r="AN214" s="154"/>
      <c r="AO214" s="154"/>
      <c r="AP214" s="154"/>
      <c r="AQ214" s="154"/>
    </row>
    <row r="215" spans="1:43" ht="15.75">
      <c r="A215" s="154"/>
      <c r="B215" s="154"/>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c r="AA215" s="154"/>
      <c r="AB215" s="154"/>
      <c r="AC215" s="154"/>
      <c r="AD215" s="154"/>
      <c r="AE215" s="154"/>
      <c r="AF215" s="154"/>
      <c r="AG215" s="154"/>
      <c r="AH215" s="154"/>
      <c r="AI215" s="154"/>
      <c r="AJ215" s="154"/>
      <c r="AK215" s="154"/>
      <c r="AL215" s="154"/>
      <c r="AM215" s="154"/>
      <c r="AN215" s="154"/>
      <c r="AO215" s="154"/>
      <c r="AP215" s="154"/>
      <c r="AQ215" s="154"/>
    </row>
    <row r="216" spans="1:43" ht="15.75">
      <c r="A216" s="154"/>
      <c r="B216" s="154"/>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c r="AA216" s="154"/>
      <c r="AB216" s="154"/>
      <c r="AC216" s="154"/>
      <c r="AD216" s="154"/>
      <c r="AE216" s="154"/>
      <c r="AF216" s="154"/>
      <c r="AG216" s="154"/>
      <c r="AH216" s="154"/>
      <c r="AI216" s="154"/>
      <c r="AJ216" s="154"/>
      <c r="AK216" s="154"/>
      <c r="AL216" s="154"/>
      <c r="AM216" s="154"/>
      <c r="AN216" s="154"/>
      <c r="AO216" s="154"/>
      <c r="AP216" s="154"/>
      <c r="AQ216" s="154"/>
    </row>
    <row r="217" spans="1:43" ht="15.75">
      <c r="A217" s="154"/>
      <c r="B217" s="154"/>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c r="AA217" s="154"/>
      <c r="AB217" s="154"/>
      <c r="AC217" s="154"/>
      <c r="AD217" s="154"/>
      <c r="AE217" s="154"/>
      <c r="AF217" s="154"/>
      <c r="AG217" s="154"/>
      <c r="AH217" s="154"/>
      <c r="AI217" s="154"/>
      <c r="AJ217" s="154"/>
      <c r="AK217" s="154"/>
      <c r="AL217" s="154"/>
      <c r="AM217" s="154"/>
      <c r="AN217" s="154"/>
      <c r="AO217" s="154"/>
      <c r="AP217" s="154"/>
      <c r="AQ217" s="154"/>
    </row>
    <row r="218" spans="1:43" ht="15.75">
      <c r="A218" s="154"/>
      <c r="B218" s="154"/>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54"/>
      <c r="AA218" s="154"/>
      <c r="AB218" s="154"/>
      <c r="AC218" s="154"/>
      <c r="AD218" s="154"/>
      <c r="AE218" s="154"/>
      <c r="AF218" s="154"/>
      <c r="AG218" s="154"/>
      <c r="AH218" s="154"/>
      <c r="AI218" s="154"/>
      <c r="AJ218" s="154"/>
      <c r="AK218" s="154"/>
      <c r="AL218" s="154"/>
      <c r="AM218" s="154"/>
      <c r="AN218" s="154"/>
      <c r="AO218" s="154"/>
      <c r="AP218" s="154"/>
      <c r="AQ218" s="154"/>
    </row>
    <row r="219" spans="1:43" ht="15.75">
      <c r="A219" s="154"/>
      <c r="B219" s="154"/>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c r="AA219" s="154"/>
      <c r="AB219" s="154"/>
      <c r="AC219" s="154"/>
      <c r="AD219" s="154"/>
      <c r="AE219" s="154"/>
      <c r="AF219" s="154"/>
      <c r="AG219" s="154"/>
      <c r="AH219" s="154"/>
      <c r="AI219" s="154"/>
      <c r="AJ219" s="154"/>
      <c r="AK219" s="154"/>
      <c r="AL219" s="154"/>
      <c r="AM219" s="154"/>
      <c r="AN219" s="154"/>
      <c r="AO219" s="154"/>
      <c r="AP219" s="154"/>
      <c r="AQ219" s="154"/>
    </row>
    <row r="220" spans="1:43" ht="15.75">
      <c r="A220" s="154"/>
      <c r="B220" s="154"/>
      <c r="C220" s="154"/>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4"/>
      <c r="Z220" s="154"/>
      <c r="AA220" s="154"/>
      <c r="AB220" s="154"/>
      <c r="AC220" s="154"/>
      <c r="AD220" s="154"/>
      <c r="AE220" s="154"/>
      <c r="AF220" s="154"/>
      <c r="AG220" s="154"/>
      <c r="AH220" s="154"/>
      <c r="AI220" s="154"/>
      <c r="AJ220" s="154"/>
      <c r="AK220" s="154"/>
      <c r="AL220" s="154"/>
      <c r="AM220" s="154"/>
      <c r="AN220" s="154"/>
      <c r="AO220" s="154"/>
      <c r="AP220" s="154"/>
      <c r="AQ220" s="154"/>
    </row>
    <row r="221" spans="1:43" ht="15.75">
      <c r="A221" s="154"/>
      <c r="B221" s="154"/>
      <c r="C221" s="154"/>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4"/>
      <c r="Z221" s="154"/>
      <c r="AA221" s="154"/>
      <c r="AB221" s="154"/>
      <c r="AC221" s="154"/>
      <c r="AD221" s="154"/>
      <c r="AE221" s="154"/>
      <c r="AF221" s="154"/>
      <c r="AG221" s="154"/>
      <c r="AH221" s="154"/>
      <c r="AI221" s="154"/>
      <c r="AJ221" s="154"/>
      <c r="AK221" s="154"/>
      <c r="AL221" s="154"/>
      <c r="AM221" s="154"/>
      <c r="AN221" s="154"/>
      <c r="AO221" s="154"/>
      <c r="AP221" s="154"/>
      <c r="AQ221" s="154"/>
    </row>
    <row r="222" spans="1:43" ht="15.75">
      <c r="A222" s="154"/>
      <c r="B222" s="154"/>
      <c r="C222" s="154"/>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4"/>
      <c r="Z222" s="154"/>
      <c r="AA222" s="154"/>
      <c r="AB222" s="154"/>
      <c r="AC222" s="154"/>
      <c r="AD222" s="154"/>
      <c r="AE222" s="154"/>
      <c r="AF222" s="154"/>
      <c r="AG222" s="154"/>
      <c r="AH222" s="154"/>
      <c r="AI222" s="154"/>
      <c r="AJ222" s="154"/>
      <c r="AK222" s="154"/>
      <c r="AL222" s="154"/>
      <c r="AM222" s="154"/>
      <c r="AN222" s="154"/>
      <c r="AO222" s="154"/>
      <c r="AP222" s="154"/>
      <c r="AQ222" s="154"/>
    </row>
    <row r="223" spans="1:43" ht="15.75">
      <c r="A223" s="154"/>
      <c r="B223" s="154"/>
      <c r="C223" s="154"/>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4"/>
      <c r="Z223" s="154"/>
      <c r="AA223" s="154"/>
      <c r="AB223" s="154"/>
      <c r="AC223" s="154"/>
      <c r="AD223" s="154"/>
      <c r="AE223" s="154"/>
      <c r="AF223" s="154"/>
      <c r="AG223" s="154"/>
      <c r="AH223" s="154"/>
      <c r="AI223" s="154"/>
      <c r="AJ223" s="154"/>
      <c r="AK223" s="154"/>
      <c r="AL223" s="154"/>
      <c r="AM223" s="154"/>
      <c r="AN223" s="154"/>
      <c r="AO223" s="154"/>
      <c r="AP223" s="154"/>
      <c r="AQ223" s="154"/>
    </row>
    <row r="224" spans="1:43" ht="15.75">
      <c r="A224" s="154"/>
      <c r="B224" s="154"/>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c r="AA224" s="154"/>
      <c r="AB224" s="154"/>
      <c r="AC224" s="154"/>
      <c r="AD224" s="154"/>
      <c r="AE224" s="154"/>
      <c r="AF224" s="154"/>
      <c r="AG224" s="154"/>
      <c r="AH224" s="154"/>
      <c r="AI224" s="154"/>
      <c r="AJ224" s="154"/>
      <c r="AK224" s="154"/>
      <c r="AL224" s="154"/>
      <c r="AM224" s="154"/>
      <c r="AN224" s="154"/>
      <c r="AO224" s="154"/>
      <c r="AP224" s="154"/>
      <c r="AQ224" s="154"/>
    </row>
    <row r="225" spans="1:43" ht="15.75">
      <c r="A225" s="15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c r="AA225" s="154"/>
      <c r="AB225" s="154"/>
      <c r="AC225" s="154"/>
      <c r="AD225" s="154"/>
      <c r="AE225" s="154"/>
      <c r="AF225" s="154"/>
      <c r="AG225" s="154"/>
      <c r="AH225" s="154"/>
      <c r="AI225" s="154"/>
      <c r="AJ225" s="154"/>
      <c r="AK225" s="154"/>
      <c r="AL225" s="154"/>
      <c r="AM225" s="154"/>
      <c r="AN225" s="154"/>
      <c r="AO225" s="154"/>
      <c r="AP225" s="154"/>
      <c r="AQ225" s="154"/>
    </row>
    <row r="226" spans="1:43" ht="15.75">
      <c r="A226" s="154"/>
      <c r="B226" s="154"/>
      <c r="C226" s="154"/>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4"/>
      <c r="Z226" s="154"/>
      <c r="AA226" s="154"/>
      <c r="AB226" s="154"/>
      <c r="AC226" s="154"/>
      <c r="AD226" s="154"/>
      <c r="AE226" s="154"/>
      <c r="AF226" s="154"/>
      <c r="AG226" s="154"/>
      <c r="AH226" s="154"/>
      <c r="AI226" s="154"/>
      <c r="AJ226" s="154"/>
      <c r="AK226" s="154"/>
      <c r="AL226" s="154"/>
      <c r="AM226" s="154"/>
      <c r="AN226" s="154"/>
      <c r="AO226" s="154"/>
      <c r="AP226" s="154"/>
      <c r="AQ226" s="154"/>
    </row>
    <row r="227" spans="1:43" ht="15.75">
      <c r="A227" s="154"/>
      <c r="B227" s="154"/>
      <c r="C227" s="154"/>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4"/>
      <c r="Z227" s="154"/>
      <c r="AA227" s="154"/>
      <c r="AB227" s="154"/>
      <c r="AC227" s="154"/>
      <c r="AD227" s="154"/>
      <c r="AE227" s="154"/>
      <c r="AF227" s="154"/>
      <c r="AG227" s="154"/>
      <c r="AH227" s="154"/>
      <c r="AI227" s="154"/>
      <c r="AJ227" s="154"/>
      <c r="AK227" s="154"/>
      <c r="AL227" s="154"/>
      <c r="AM227" s="154"/>
      <c r="AN227" s="154"/>
      <c r="AO227" s="154"/>
      <c r="AP227" s="154"/>
      <c r="AQ227" s="154"/>
    </row>
    <row r="228" spans="1:43" ht="15.75">
      <c r="A228" s="154"/>
      <c r="B228" s="154"/>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c r="AA228" s="154"/>
      <c r="AB228" s="154"/>
      <c r="AC228" s="154"/>
      <c r="AD228" s="154"/>
      <c r="AE228" s="154"/>
      <c r="AF228" s="154"/>
      <c r="AG228" s="154"/>
      <c r="AH228" s="154"/>
      <c r="AI228" s="154"/>
      <c r="AJ228" s="154"/>
      <c r="AK228" s="154"/>
      <c r="AL228" s="154"/>
      <c r="AM228" s="154"/>
      <c r="AN228" s="154"/>
      <c r="AO228" s="154"/>
      <c r="AP228" s="154"/>
      <c r="AQ228" s="154"/>
    </row>
    <row r="229" spans="1:43" ht="15.75">
      <c r="A229" s="154"/>
      <c r="B229" s="154"/>
      <c r="C229" s="154"/>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4"/>
      <c r="Z229" s="154"/>
      <c r="AA229" s="154"/>
      <c r="AB229" s="154"/>
      <c r="AC229" s="154"/>
      <c r="AD229" s="154"/>
      <c r="AE229" s="154"/>
      <c r="AF229" s="154"/>
      <c r="AG229" s="154"/>
      <c r="AH229" s="154"/>
      <c r="AI229" s="154"/>
      <c r="AJ229" s="154"/>
      <c r="AK229" s="154"/>
      <c r="AL229" s="154"/>
      <c r="AM229" s="154"/>
      <c r="AN229" s="154"/>
      <c r="AO229" s="154"/>
      <c r="AP229" s="154"/>
      <c r="AQ229" s="154"/>
    </row>
    <row r="230" spans="1:43" ht="15.75">
      <c r="A230" s="154"/>
      <c r="B230" s="154"/>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c r="AA230" s="154"/>
      <c r="AB230" s="154"/>
      <c r="AC230" s="154"/>
      <c r="AD230" s="154"/>
      <c r="AE230" s="154"/>
      <c r="AF230" s="154"/>
      <c r="AG230" s="154"/>
      <c r="AH230" s="154"/>
      <c r="AI230" s="154"/>
      <c r="AJ230" s="154"/>
      <c r="AK230" s="154"/>
      <c r="AL230" s="154"/>
      <c r="AM230" s="154"/>
      <c r="AN230" s="154"/>
      <c r="AO230" s="154"/>
      <c r="AP230" s="154"/>
      <c r="AQ230" s="154"/>
    </row>
    <row r="231" spans="1:43" ht="15.75">
      <c r="A231" s="154"/>
      <c r="B231" s="154"/>
      <c r="C231" s="154"/>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4"/>
      <c r="Z231" s="154"/>
      <c r="AA231" s="154"/>
      <c r="AB231" s="154"/>
      <c r="AC231" s="154"/>
      <c r="AD231" s="154"/>
      <c r="AE231" s="154"/>
      <c r="AF231" s="154"/>
      <c r="AG231" s="154"/>
      <c r="AH231" s="154"/>
      <c r="AI231" s="154"/>
      <c r="AJ231" s="154"/>
      <c r="AK231" s="154"/>
      <c r="AL231" s="154"/>
      <c r="AM231" s="154"/>
      <c r="AN231" s="154"/>
      <c r="AO231" s="154"/>
      <c r="AP231" s="154"/>
      <c r="AQ231" s="154"/>
    </row>
    <row r="232" spans="1:43" ht="15.75">
      <c r="A232" s="154"/>
      <c r="B232" s="154"/>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c r="AA232" s="154"/>
      <c r="AB232" s="154"/>
      <c r="AC232" s="154"/>
      <c r="AD232" s="154"/>
      <c r="AE232" s="154"/>
      <c r="AF232" s="154"/>
      <c r="AG232" s="154"/>
      <c r="AH232" s="154"/>
      <c r="AI232" s="154"/>
      <c r="AJ232" s="154"/>
      <c r="AK232" s="154"/>
      <c r="AL232" s="154"/>
      <c r="AM232" s="154"/>
      <c r="AN232" s="154"/>
      <c r="AO232" s="154"/>
      <c r="AP232" s="154"/>
      <c r="AQ232" s="154"/>
    </row>
    <row r="233" spans="1:43" ht="15.75">
      <c r="A233" s="154"/>
      <c r="B233" s="154"/>
      <c r="C233" s="154"/>
      <c r="D233" s="154"/>
      <c r="E233" s="154"/>
      <c r="F233" s="154"/>
      <c r="G233" s="154"/>
      <c r="H233" s="154"/>
      <c r="I233" s="154"/>
      <c r="J233" s="154"/>
      <c r="K233" s="154"/>
      <c r="L233" s="154"/>
      <c r="M233" s="154"/>
      <c r="N233" s="154"/>
      <c r="O233" s="154"/>
      <c r="P233" s="154"/>
      <c r="Q233" s="154"/>
      <c r="R233" s="154"/>
      <c r="S233" s="154"/>
      <c r="T233" s="154"/>
      <c r="U233" s="154"/>
      <c r="V233" s="154"/>
      <c r="W233" s="154"/>
      <c r="X233" s="154"/>
      <c r="Y233" s="154"/>
      <c r="Z233" s="154"/>
      <c r="AA233" s="154"/>
      <c r="AB233" s="154"/>
      <c r="AC233" s="154"/>
      <c r="AD233" s="154"/>
      <c r="AE233" s="154"/>
      <c r="AF233" s="154"/>
      <c r="AG233" s="154"/>
      <c r="AH233" s="154"/>
      <c r="AI233" s="154"/>
      <c r="AJ233" s="154"/>
      <c r="AK233" s="154"/>
      <c r="AL233" s="154"/>
      <c r="AM233" s="154"/>
      <c r="AN233" s="154"/>
      <c r="AO233" s="154"/>
      <c r="AP233" s="154"/>
      <c r="AQ233" s="154"/>
    </row>
    <row r="234" spans="1:43" ht="15.75">
      <c r="A234" s="154"/>
      <c r="B234" s="154"/>
      <c r="C234" s="154"/>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4"/>
      <c r="Z234" s="154"/>
      <c r="AA234" s="154"/>
      <c r="AB234" s="154"/>
      <c r="AC234" s="154"/>
      <c r="AD234" s="154"/>
      <c r="AE234" s="154"/>
      <c r="AF234" s="154"/>
      <c r="AG234" s="154"/>
      <c r="AH234" s="154"/>
      <c r="AI234" s="154"/>
      <c r="AJ234" s="154"/>
      <c r="AK234" s="154"/>
      <c r="AL234" s="154"/>
      <c r="AM234" s="154"/>
      <c r="AN234" s="154"/>
      <c r="AO234" s="154"/>
      <c r="AP234" s="154"/>
      <c r="AQ234" s="154"/>
    </row>
    <row r="235" spans="1:43" ht="15.75">
      <c r="A235" s="154"/>
      <c r="B235" s="154"/>
      <c r="C235" s="154"/>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4"/>
      <c r="Z235" s="154"/>
      <c r="AA235" s="154"/>
      <c r="AB235" s="154"/>
      <c r="AC235" s="154"/>
      <c r="AD235" s="154"/>
      <c r="AE235" s="154"/>
      <c r="AF235" s="154"/>
      <c r="AG235" s="154"/>
      <c r="AH235" s="154"/>
      <c r="AI235" s="154"/>
      <c r="AJ235" s="154"/>
      <c r="AK235" s="154"/>
      <c r="AL235" s="154"/>
      <c r="AM235" s="154"/>
      <c r="AN235" s="154"/>
      <c r="AO235" s="154"/>
      <c r="AP235" s="154"/>
      <c r="AQ235" s="154"/>
    </row>
    <row r="236" spans="1:43" ht="15.75">
      <c r="A236" s="154"/>
      <c r="B236" s="154"/>
      <c r="C236" s="154"/>
      <c r="D236" s="154"/>
      <c r="E236" s="154"/>
      <c r="F236" s="154"/>
      <c r="G236" s="154"/>
      <c r="H236" s="154"/>
      <c r="I236" s="154"/>
      <c r="J236" s="154"/>
      <c r="K236" s="154"/>
      <c r="L236" s="154"/>
      <c r="M236" s="154"/>
      <c r="N236" s="154"/>
      <c r="O236" s="154"/>
      <c r="P236" s="154"/>
      <c r="Q236" s="154"/>
      <c r="R236" s="154"/>
      <c r="S236" s="154"/>
      <c r="T236" s="154"/>
      <c r="U236" s="154"/>
      <c r="V236" s="154"/>
      <c r="W236" s="154"/>
      <c r="X236" s="154"/>
      <c r="Y236" s="154"/>
      <c r="Z236" s="154"/>
      <c r="AA236" s="154"/>
      <c r="AB236" s="154"/>
      <c r="AC236" s="154"/>
      <c r="AD236" s="154"/>
      <c r="AE236" s="154"/>
      <c r="AF236" s="154"/>
      <c r="AG236" s="154"/>
      <c r="AH236" s="154"/>
      <c r="AI236" s="154"/>
      <c r="AJ236" s="154"/>
      <c r="AK236" s="154"/>
      <c r="AL236" s="154"/>
      <c r="AM236" s="154"/>
      <c r="AN236" s="154"/>
      <c r="AO236" s="154"/>
      <c r="AP236" s="154"/>
      <c r="AQ236" s="154"/>
    </row>
    <row r="237" spans="1:43" ht="15.75">
      <c r="A237" s="154"/>
      <c r="B237" s="154"/>
      <c r="C237" s="154"/>
      <c r="D237" s="154"/>
      <c r="E237" s="154"/>
      <c r="F237" s="154"/>
      <c r="G237" s="154"/>
      <c r="H237" s="154"/>
      <c r="I237" s="154"/>
      <c r="J237" s="154"/>
      <c r="K237" s="154"/>
      <c r="L237" s="154"/>
      <c r="M237" s="154"/>
      <c r="N237" s="154"/>
      <c r="O237" s="154"/>
      <c r="P237" s="154"/>
      <c r="Q237" s="154"/>
      <c r="R237" s="154"/>
      <c r="S237" s="154"/>
      <c r="T237" s="154"/>
      <c r="U237" s="154"/>
      <c r="V237" s="154"/>
      <c r="W237" s="154"/>
      <c r="X237" s="154"/>
      <c r="Y237" s="154"/>
      <c r="Z237" s="154"/>
      <c r="AA237" s="154"/>
      <c r="AB237" s="154"/>
      <c r="AC237" s="154"/>
      <c r="AD237" s="154"/>
      <c r="AE237" s="154"/>
      <c r="AF237" s="154"/>
      <c r="AG237" s="154"/>
      <c r="AH237" s="154"/>
      <c r="AI237" s="154"/>
      <c r="AJ237" s="154"/>
      <c r="AK237" s="154"/>
      <c r="AL237" s="154"/>
      <c r="AM237" s="154"/>
      <c r="AN237" s="154"/>
      <c r="AO237" s="154"/>
      <c r="AP237" s="154"/>
      <c r="AQ237" s="154"/>
    </row>
    <row r="238" spans="1:43" ht="15.75">
      <c r="A238" s="154"/>
      <c r="B238" s="154"/>
      <c r="C238" s="154"/>
      <c r="D238" s="154"/>
      <c r="E238" s="154"/>
      <c r="F238" s="154"/>
      <c r="G238" s="154"/>
      <c r="H238" s="154"/>
      <c r="I238" s="154"/>
      <c r="J238" s="154"/>
      <c r="K238" s="154"/>
      <c r="L238" s="154"/>
      <c r="M238" s="154"/>
      <c r="N238" s="154"/>
      <c r="O238" s="154"/>
      <c r="P238" s="154"/>
      <c r="Q238" s="154"/>
      <c r="R238" s="154"/>
      <c r="S238" s="154"/>
      <c r="T238" s="154"/>
      <c r="U238" s="154"/>
      <c r="V238" s="154"/>
      <c r="W238" s="154"/>
      <c r="X238" s="154"/>
      <c r="Y238" s="154"/>
      <c r="Z238" s="154"/>
      <c r="AA238" s="154"/>
      <c r="AB238" s="154"/>
      <c r="AC238" s="154"/>
      <c r="AD238" s="154"/>
      <c r="AE238" s="154"/>
      <c r="AF238" s="154"/>
      <c r="AG238" s="154"/>
      <c r="AH238" s="154"/>
      <c r="AI238" s="154"/>
      <c r="AJ238" s="154"/>
      <c r="AK238" s="154"/>
      <c r="AL238" s="154"/>
      <c r="AM238" s="154"/>
      <c r="AN238" s="154"/>
      <c r="AO238" s="154"/>
      <c r="AP238" s="154"/>
      <c r="AQ238" s="154"/>
    </row>
    <row r="239" spans="1:43" ht="15.75">
      <c r="A239" s="154"/>
      <c r="B239" s="154"/>
      <c r="C239" s="154"/>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c r="AA239" s="154"/>
      <c r="AB239" s="154"/>
      <c r="AC239" s="154"/>
      <c r="AD239" s="154"/>
      <c r="AE239" s="154"/>
      <c r="AF239" s="154"/>
      <c r="AG239" s="154"/>
      <c r="AH239" s="154"/>
      <c r="AI239" s="154"/>
      <c r="AJ239" s="154"/>
      <c r="AK239" s="154"/>
      <c r="AL239" s="154"/>
      <c r="AM239" s="154"/>
      <c r="AN239" s="154"/>
      <c r="AO239" s="154"/>
      <c r="AP239" s="154"/>
      <c r="AQ239" s="154"/>
    </row>
    <row r="240" spans="1:43" ht="15.75">
      <c r="A240" s="154"/>
      <c r="B240" s="154"/>
      <c r="C240" s="154"/>
      <c r="D240" s="154"/>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c r="AA240" s="154"/>
      <c r="AB240" s="154"/>
      <c r="AC240" s="154"/>
      <c r="AD240" s="154"/>
      <c r="AE240" s="154"/>
      <c r="AF240" s="154"/>
      <c r="AG240" s="154"/>
      <c r="AH240" s="154"/>
      <c r="AI240" s="154"/>
      <c r="AJ240" s="154"/>
      <c r="AK240" s="154"/>
      <c r="AL240" s="154"/>
      <c r="AM240" s="154"/>
      <c r="AN240" s="154"/>
      <c r="AO240" s="154"/>
      <c r="AP240" s="154"/>
      <c r="AQ240" s="154"/>
    </row>
    <row r="241" spans="1:43" ht="15.75">
      <c r="A241" s="154"/>
      <c r="B241" s="154"/>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c r="AA241" s="154"/>
      <c r="AB241" s="154"/>
      <c r="AC241" s="154"/>
      <c r="AD241" s="154"/>
      <c r="AE241" s="154"/>
      <c r="AF241" s="154"/>
      <c r="AG241" s="154"/>
      <c r="AH241" s="154"/>
      <c r="AI241" s="154"/>
      <c r="AJ241" s="154"/>
      <c r="AK241" s="154"/>
      <c r="AL241" s="154"/>
      <c r="AM241" s="154"/>
      <c r="AN241" s="154"/>
      <c r="AO241" s="154"/>
      <c r="AP241" s="154"/>
      <c r="AQ241" s="154"/>
    </row>
    <row r="242" spans="1:43" ht="15.75">
      <c r="A242" s="154"/>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c r="AA242" s="154"/>
      <c r="AB242" s="154"/>
      <c r="AC242" s="154"/>
      <c r="AD242" s="154"/>
      <c r="AE242" s="154"/>
      <c r="AF242" s="154"/>
      <c r="AG242" s="154"/>
      <c r="AH242" s="154"/>
      <c r="AI242" s="154"/>
      <c r="AJ242" s="154"/>
      <c r="AK242" s="154"/>
      <c r="AL242" s="154"/>
      <c r="AM242" s="154"/>
      <c r="AN242" s="154"/>
      <c r="AO242" s="154"/>
      <c r="AP242" s="154"/>
      <c r="AQ242" s="154"/>
    </row>
    <row r="243" spans="1:43" ht="15.75">
      <c r="A243" s="154"/>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c r="AA243" s="154"/>
      <c r="AB243" s="154"/>
      <c r="AC243" s="154"/>
      <c r="AD243" s="154"/>
      <c r="AE243" s="154"/>
      <c r="AF243" s="154"/>
      <c r="AG243" s="154"/>
      <c r="AH243" s="154"/>
      <c r="AI243" s="154"/>
      <c r="AJ243" s="154"/>
      <c r="AK243" s="154"/>
      <c r="AL243" s="154"/>
      <c r="AM243" s="154"/>
      <c r="AN243" s="154"/>
      <c r="AO243" s="154"/>
      <c r="AP243" s="154"/>
      <c r="AQ243" s="154"/>
    </row>
    <row r="244" spans="1:43" ht="15.75">
      <c r="A244" s="154"/>
      <c r="B244" s="154"/>
      <c r="C244" s="154"/>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c r="AA244" s="154"/>
      <c r="AB244" s="154"/>
      <c r="AC244" s="154"/>
      <c r="AD244" s="154"/>
      <c r="AE244" s="154"/>
      <c r="AF244" s="154"/>
      <c r="AG244" s="154"/>
      <c r="AH244" s="154"/>
      <c r="AI244" s="154"/>
      <c r="AJ244" s="154"/>
      <c r="AK244" s="154"/>
      <c r="AL244" s="154"/>
      <c r="AM244" s="154"/>
      <c r="AN244" s="154"/>
      <c r="AO244" s="154"/>
      <c r="AP244" s="154"/>
      <c r="AQ244" s="154"/>
    </row>
    <row r="245" spans="1:43" ht="15.75">
      <c r="A245" s="154"/>
      <c r="B245" s="154"/>
      <c r="C245" s="154"/>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c r="AA245" s="154"/>
      <c r="AB245" s="154"/>
      <c r="AC245" s="154"/>
      <c r="AD245" s="154"/>
      <c r="AE245" s="154"/>
      <c r="AF245" s="154"/>
      <c r="AG245" s="154"/>
      <c r="AH245" s="154"/>
      <c r="AI245" s="154"/>
      <c r="AJ245" s="154"/>
      <c r="AK245" s="154"/>
      <c r="AL245" s="154"/>
      <c r="AM245" s="154"/>
      <c r="AN245" s="154"/>
      <c r="AO245" s="154"/>
      <c r="AP245" s="154"/>
      <c r="AQ245" s="154"/>
    </row>
    <row r="246" spans="1:43" ht="15.75">
      <c r="A246" s="154"/>
      <c r="B246" s="154"/>
      <c r="C246" s="154"/>
      <c r="D246" s="154"/>
      <c r="E246" s="154"/>
      <c r="F246" s="154"/>
      <c r="G246" s="154"/>
      <c r="H246" s="154"/>
      <c r="I246" s="154"/>
      <c r="J246" s="154"/>
      <c r="K246" s="154"/>
      <c r="L246" s="154"/>
      <c r="M246" s="154"/>
      <c r="N246" s="154"/>
      <c r="O246" s="154"/>
      <c r="P246" s="154"/>
      <c r="Q246" s="154"/>
      <c r="R246" s="154"/>
      <c r="S246" s="154"/>
      <c r="T246" s="154"/>
      <c r="U246" s="154"/>
      <c r="V246" s="154"/>
      <c r="W246" s="154"/>
      <c r="X246" s="154"/>
      <c r="Y246" s="154"/>
      <c r="Z246" s="154"/>
      <c r="AA246" s="154"/>
      <c r="AB246" s="154"/>
      <c r="AC246" s="154"/>
      <c r="AD246" s="154"/>
      <c r="AE246" s="154"/>
      <c r="AF246" s="154"/>
      <c r="AG246" s="154"/>
      <c r="AH246" s="154"/>
      <c r="AI246" s="154"/>
      <c r="AJ246" s="154"/>
      <c r="AK246" s="154"/>
      <c r="AL246" s="154"/>
      <c r="AM246" s="154"/>
      <c r="AN246" s="154"/>
      <c r="AO246" s="154"/>
      <c r="AP246" s="154"/>
      <c r="AQ246" s="154"/>
    </row>
    <row r="247" spans="1:43" ht="15.75">
      <c r="A247" s="154"/>
      <c r="B247" s="154"/>
      <c r="C247" s="154"/>
      <c r="D247" s="154"/>
      <c r="E247" s="154"/>
      <c r="F247" s="154"/>
      <c r="G247" s="154"/>
      <c r="H247" s="154"/>
      <c r="I247" s="154"/>
      <c r="J247" s="154"/>
      <c r="K247" s="154"/>
      <c r="L247" s="154"/>
      <c r="M247" s="154"/>
      <c r="N247" s="154"/>
      <c r="O247" s="154"/>
      <c r="P247" s="154"/>
      <c r="Q247" s="154"/>
      <c r="R247" s="154"/>
      <c r="S247" s="154"/>
      <c r="T247" s="154"/>
      <c r="U247" s="154"/>
      <c r="V247" s="154"/>
      <c r="W247" s="154"/>
      <c r="X247" s="154"/>
      <c r="Y247" s="154"/>
      <c r="Z247" s="154"/>
      <c r="AA247" s="154"/>
      <c r="AB247" s="154"/>
      <c r="AC247" s="154"/>
      <c r="AD247" s="154"/>
      <c r="AE247" s="154"/>
      <c r="AF247" s="154"/>
      <c r="AG247" s="154"/>
      <c r="AH247" s="154"/>
      <c r="AI247" s="154"/>
      <c r="AJ247" s="154"/>
      <c r="AK247" s="154"/>
      <c r="AL247" s="154"/>
      <c r="AM247" s="154"/>
      <c r="AN247" s="154"/>
      <c r="AO247" s="154"/>
      <c r="AP247" s="154"/>
      <c r="AQ247" s="154"/>
    </row>
    <row r="248" spans="1:43" ht="15.75">
      <c r="A248" s="154"/>
      <c r="B248" s="154"/>
      <c r="C248" s="154"/>
      <c r="D248" s="154"/>
      <c r="E248" s="154"/>
      <c r="F248" s="154"/>
      <c r="G248" s="154"/>
      <c r="H248" s="154"/>
      <c r="I248" s="154"/>
      <c r="J248" s="154"/>
      <c r="K248" s="154"/>
      <c r="L248" s="154"/>
      <c r="M248" s="154"/>
      <c r="N248" s="154"/>
      <c r="O248" s="154"/>
      <c r="P248" s="154"/>
      <c r="Q248" s="154"/>
      <c r="R248" s="154"/>
      <c r="S248" s="154"/>
      <c r="T248" s="154"/>
      <c r="U248" s="154"/>
      <c r="V248" s="154"/>
      <c r="W248" s="154"/>
      <c r="X248" s="154"/>
      <c r="Y248" s="154"/>
      <c r="Z248" s="154"/>
      <c r="AA248" s="154"/>
      <c r="AB248" s="154"/>
      <c r="AC248" s="154"/>
      <c r="AD248" s="154"/>
      <c r="AE248" s="154"/>
      <c r="AF248" s="154"/>
      <c r="AG248" s="154"/>
      <c r="AH248" s="154"/>
      <c r="AI248" s="154"/>
      <c r="AJ248" s="154"/>
      <c r="AK248" s="154"/>
      <c r="AL248" s="154"/>
      <c r="AM248" s="154"/>
      <c r="AN248" s="154"/>
      <c r="AO248" s="154"/>
      <c r="AP248" s="154"/>
      <c r="AQ248" s="154"/>
    </row>
    <row r="249" spans="1:43" ht="15.75">
      <c r="A249" s="154"/>
      <c r="B249" s="154"/>
      <c r="C249" s="154"/>
      <c r="D249" s="154"/>
      <c r="E249" s="154"/>
      <c r="F249" s="154"/>
      <c r="G249" s="154"/>
      <c r="H249" s="154"/>
      <c r="I249" s="154"/>
      <c r="J249" s="154"/>
      <c r="K249" s="154"/>
      <c r="L249" s="154"/>
      <c r="M249" s="154"/>
      <c r="N249" s="154"/>
      <c r="O249" s="154"/>
      <c r="P249" s="154"/>
      <c r="Q249" s="154"/>
      <c r="R249" s="154"/>
      <c r="S249" s="154"/>
      <c r="T249" s="154"/>
      <c r="U249" s="154"/>
      <c r="V249" s="154"/>
      <c r="W249" s="154"/>
      <c r="X249" s="154"/>
      <c r="Y249" s="154"/>
      <c r="Z249" s="154"/>
      <c r="AA249" s="154"/>
      <c r="AB249" s="154"/>
      <c r="AC249" s="154"/>
      <c r="AD249" s="154"/>
      <c r="AE249" s="154"/>
      <c r="AF249" s="154"/>
      <c r="AG249" s="154"/>
      <c r="AH249" s="154"/>
      <c r="AI249" s="154"/>
      <c r="AJ249" s="154"/>
      <c r="AK249" s="154"/>
      <c r="AL249" s="154"/>
      <c r="AM249" s="154"/>
      <c r="AN249" s="154"/>
      <c r="AO249" s="154"/>
      <c r="AP249" s="154"/>
      <c r="AQ249" s="154"/>
    </row>
    <row r="250" spans="1:43" ht="15.75">
      <c r="A250" s="154"/>
      <c r="B250" s="154"/>
      <c r="C250" s="154"/>
      <c r="D250" s="154"/>
      <c r="E250" s="154"/>
      <c r="F250" s="154"/>
      <c r="G250" s="154"/>
      <c r="H250" s="154"/>
      <c r="I250" s="154"/>
      <c r="J250" s="154"/>
      <c r="K250" s="154"/>
      <c r="L250" s="154"/>
      <c r="M250" s="154"/>
      <c r="N250" s="154"/>
      <c r="O250" s="154"/>
      <c r="P250" s="154"/>
      <c r="Q250" s="154"/>
      <c r="R250" s="154"/>
      <c r="S250" s="154"/>
      <c r="T250" s="154"/>
      <c r="U250" s="154"/>
      <c r="V250" s="154"/>
      <c r="W250" s="154"/>
      <c r="X250" s="154"/>
      <c r="Y250" s="154"/>
      <c r="Z250" s="154"/>
      <c r="AA250" s="154"/>
      <c r="AB250" s="154"/>
      <c r="AC250" s="154"/>
      <c r="AD250" s="154"/>
      <c r="AE250" s="154"/>
      <c r="AF250" s="154"/>
      <c r="AG250" s="154"/>
      <c r="AH250" s="154"/>
      <c r="AI250" s="154"/>
      <c r="AJ250" s="154"/>
      <c r="AK250" s="154"/>
      <c r="AL250" s="154"/>
      <c r="AM250" s="154"/>
      <c r="AN250" s="154"/>
      <c r="AO250" s="154"/>
      <c r="AP250" s="154"/>
      <c r="AQ250" s="154"/>
    </row>
    <row r="251" spans="1:43" ht="15.75">
      <c r="A251" s="154"/>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c r="AA251" s="154"/>
      <c r="AB251" s="154"/>
      <c r="AC251" s="154"/>
      <c r="AD251" s="154"/>
      <c r="AE251" s="154"/>
      <c r="AF251" s="154"/>
      <c r="AG251" s="154"/>
      <c r="AH251" s="154"/>
      <c r="AI251" s="154"/>
      <c r="AJ251" s="154"/>
      <c r="AK251" s="154"/>
      <c r="AL251" s="154"/>
      <c r="AM251" s="154"/>
      <c r="AN251" s="154"/>
      <c r="AO251" s="154"/>
      <c r="AP251" s="154"/>
      <c r="AQ251" s="154"/>
    </row>
    <row r="252" spans="1:43" ht="15.75">
      <c r="A252" s="154"/>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c r="AA252" s="154"/>
      <c r="AB252" s="154"/>
      <c r="AC252" s="154"/>
      <c r="AD252" s="154"/>
      <c r="AE252" s="154"/>
      <c r="AF252" s="154"/>
      <c r="AG252" s="154"/>
      <c r="AH252" s="154"/>
      <c r="AI252" s="154"/>
      <c r="AJ252" s="154"/>
      <c r="AK252" s="154"/>
      <c r="AL252" s="154"/>
      <c r="AM252" s="154"/>
      <c r="AN252" s="154"/>
      <c r="AO252" s="154"/>
      <c r="AP252" s="154"/>
      <c r="AQ252" s="154"/>
    </row>
    <row r="253" spans="1:43" ht="15.75">
      <c r="A253" s="154"/>
      <c r="B253" s="154"/>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c r="AA253" s="154"/>
      <c r="AB253" s="154"/>
      <c r="AC253" s="154"/>
      <c r="AD253" s="154"/>
      <c r="AE253" s="154"/>
      <c r="AF253" s="154"/>
      <c r="AG253" s="154"/>
      <c r="AH253" s="154"/>
      <c r="AI253" s="154"/>
      <c r="AJ253" s="154"/>
      <c r="AK253" s="154"/>
      <c r="AL253" s="154"/>
      <c r="AM253" s="154"/>
      <c r="AN253" s="154"/>
      <c r="AO253" s="154"/>
      <c r="AP253" s="154"/>
      <c r="AQ253" s="154"/>
    </row>
    <row r="254" spans="1:43" ht="15.75">
      <c r="A254" s="154"/>
      <c r="B254" s="154"/>
      <c r="C254" s="154"/>
      <c r="D254" s="154"/>
      <c r="E254" s="154"/>
      <c r="F254" s="154"/>
      <c r="G254" s="154"/>
      <c r="H254" s="154"/>
      <c r="I254" s="154"/>
      <c r="J254" s="154"/>
      <c r="K254" s="154"/>
      <c r="L254" s="154"/>
      <c r="M254" s="154"/>
      <c r="N254" s="154"/>
      <c r="O254" s="154"/>
      <c r="P254" s="154"/>
      <c r="Q254" s="154"/>
      <c r="R254" s="154"/>
      <c r="S254" s="154"/>
      <c r="T254" s="154"/>
      <c r="U254" s="154"/>
      <c r="V254" s="154"/>
      <c r="W254" s="154"/>
      <c r="X254" s="154"/>
      <c r="Y254" s="154"/>
      <c r="Z254" s="154"/>
      <c r="AA254" s="154"/>
      <c r="AB254" s="154"/>
      <c r="AC254" s="154"/>
      <c r="AD254" s="154"/>
      <c r="AE254" s="154"/>
      <c r="AF254" s="154"/>
      <c r="AG254" s="154"/>
      <c r="AH254" s="154"/>
      <c r="AI254" s="154"/>
      <c r="AJ254" s="154"/>
      <c r="AK254" s="154"/>
      <c r="AL254" s="154"/>
      <c r="AM254" s="154"/>
      <c r="AN254" s="154"/>
      <c r="AO254" s="154"/>
      <c r="AP254" s="154"/>
      <c r="AQ254" s="154"/>
    </row>
    <row r="255" spans="1:43" ht="15.75">
      <c r="A255" s="154"/>
      <c r="B255" s="154"/>
      <c r="C255" s="154"/>
      <c r="D255" s="154"/>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c r="AA255" s="154"/>
      <c r="AB255" s="154"/>
      <c r="AC255" s="154"/>
      <c r="AD255" s="154"/>
      <c r="AE255" s="154"/>
      <c r="AF255" s="154"/>
      <c r="AG255" s="154"/>
      <c r="AH255" s="154"/>
      <c r="AI255" s="154"/>
      <c r="AJ255" s="154"/>
      <c r="AK255" s="154"/>
      <c r="AL255" s="154"/>
      <c r="AM255" s="154"/>
      <c r="AN255" s="154"/>
      <c r="AO255" s="154"/>
      <c r="AP255" s="154"/>
      <c r="AQ255" s="154"/>
    </row>
  </sheetData>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EAE0-5606-4E2A-A240-AC3F04FE7C52}">
  <sheetPr codeName="Sheet9">
    <tabColor rgb="FF00EAE4"/>
  </sheetPr>
  <dimension ref="A1:AJ127"/>
  <sheetViews>
    <sheetView showGridLines="0" zoomScale="72" zoomScaleNormal="72" workbookViewId="0">
      <pane ySplit="2" topLeftCell="A3" activePane="bottomLeft" state="frozen"/>
      <selection pane="bottomLeft" activeCell="W2" sqref="W2"/>
    </sheetView>
  </sheetViews>
  <sheetFormatPr defaultColWidth="9.140625" defaultRowHeight="15"/>
  <cols>
    <col min="1" max="1" width="26.5703125" style="1" bestFit="1" customWidth="1"/>
    <col min="2" max="22" width="11.85546875" style="1" customWidth="1"/>
    <col min="23" max="23" width="7.5703125" style="1" customWidth="1"/>
    <col min="24" max="24" width="15.5703125" style="1" bestFit="1" customWidth="1"/>
    <col min="25" max="16384" width="9.140625" style="1"/>
  </cols>
  <sheetData>
    <row r="1" spans="1:36" ht="15.75">
      <c r="A1" s="164"/>
      <c r="B1" s="164"/>
      <c r="C1" s="164"/>
      <c r="D1" s="164"/>
      <c r="E1" s="164"/>
      <c r="F1" s="164"/>
      <c r="G1" s="164"/>
      <c r="H1" s="1098"/>
      <c r="I1" s="1098"/>
      <c r="J1" s="1098"/>
      <c r="K1" s="1097" t="s">
        <v>1171</v>
      </c>
      <c r="L1" s="1099"/>
      <c r="M1" s="1099"/>
      <c r="N1" s="1099"/>
      <c r="O1" s="433"/>
      <c r="P1" s="433"/>
      <c r="Q1" s="433"/>
      <c r="R1" s="433"/>
      <c r="S1" s="433"/>
      <c r="T1" s="433"/>
      <c r="U1" s="433"/>
      <c r="V1" s="433"/>
      <c r="W1" s="347">
        <f>Valuation!C51</f>
        <v>10.055391618999746</v>
      </c>
      <c r="X1" s="154"/>
      <c r="Y1" s="154"/>
      <c r="Z1" s="154"/>
      <c r="AA1" s="154"/>
      <c r="AB1" s="154"/>
      <c r="AC1" s="154"/>
      <c r="AD1" s="154"/>
      <c r="AE1" s="154"/>
      <c r="AF1" s="154"/>
      <c r="AG1" s="154"/>
      <c r="AH1" s="154"/>
      <c r="AI1" s="154"/>
      <c r="AJ1" s="154"/>
    </row>
    <row r="2" spans="1:36" ht="15.75">
      <c r="A2" s="972" t="s">
        <v>284</v>
      </c>
      <c r="B2" s="973">
        <v>2015</v>
      </c>
      <c r="C2" s="973">
        <v>2016</v>
      </c>
      <c r="D2" s="973">
        <v>2017</v>
      </c>
      <c r="E2" s="973">
        <v>2018</v>
      </c>
      <c r="F2" s="973">
        <v>2019</v>
      </c>
      <c r="G2" s="973">
        <v>2020</v>
      </c>
      <c r="H2" s="973">
        <v>2021</v>
      </c>
      <c r="I2" s="973">
        <v>2022</v>
      </c>
      <c r="J2" s="973">
        <v>2023</v>
      </c>
      <c r="K2" s="973">
        <v>2024</v>
      </c>
      <c r="L2" s="552" t="s">
        <v>266</v>
      </c>
      <c r="M2" s="552" t="s">
        <v>267</v>
      </c>
      <c r="N2" s="552" t="s">
        <v>268</v>
      </c>
      <c r="O2" s="552" t="s">
        <v>269</v>
      </c>
      <c r="P2" s="552" t="s">
        <v>270</v>
      </c>
      <c r="Q2" s="552" t="s">
        <v>271</v>
      </c>
      <c r="R2" s="552" t="s">
        <v>1159</v>
      </c>
      <c r="S2" s="552" t="s">
        <v>1160</v>
      </c>
      <c r="T2" s="552" t="s">
        <v>1161</v>
      </c>
      <c r="U2" s="552" t="s">
        <v>1162</v>
      </c>
      <c r="V2" s="552" t="s">
        <v>1163</v>
      </c>
      <c r="W2" s="154"/>
      <c r="X2" s="154"/>
      <c r="Y2" s="154"/>
      <c r="Z2" s="154"/>
      <c r="AA2" s="154"/>
      <c r="AB2" s="154"/>
      <c r="AC2" s="154"/>
      <c r="AD2" s="154"/>
      <c r="AE2" s="154"/>
      <c r="AF2" s="154"/>
      <c r="AG2" s="154"/>
      <c r="AH2" s="154"/>
      <c r="AI2" s="154"/>
      <c r="AJ2" s="154"/>
    </row>
    <row r="3" spans="1:36" ht="15.75">
      <c r="A3" s="154"/>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row>
    <row r="4" spans="1:36" ht="15.75">
      <c r="A4" s="163" t="s">
        <v>623</v>
      </c>
      <c r="B4" s="164"/>
      <c r="C4" s="164"/>
      <c r="D4" s="164"/>
      <c r="E4" s="164"/>
      <c r="F4" s="164"/>
      <c r="G4" s="164"/>
      <c r="H4" s="164"/>
      <c r="I4" s="164"/>
      <c r="J4" s="164"/>
      <c r="K4" s="164"/>
      <c r="L4" s="164"/>
      <c r="M4" s="164"/>
      <c r="N4" s="164"/>
      <c r="O4" s="164"/>
      <c r="P4" s="164"/>
      <c r="Q4" s="164"/>
      <c r="R4" s="164"/>
      <c r="S4" s="164"/>
      <c r="T4" s="164"/>
      <c r="U4" s="164"/>
      <c r="V4" s="164"/>
      <c r="W4" s="154"/>
      <c r="X4" s="154"/>
      <c r="Y4" s="154"/>
      <c r="Z4" s="154"/>
      <c r="AA4" s="154"/>
      <c r="AB4" s="154"/>
      <c r="AC4" s="154"/>
      <c r="AD4" s="154"/>
      <c r="AE4" s="154"/>
      <c r="AF4" s="154"/>
      <c r="AG4" s="154"/>
      <c r="AH4" s="154"/>
      <c r="AI4" s="154"/>
      <c r="AJ4" s="154"/>
    </row>
    <row r="5" spans="1:36" ht="15.75">
      <c r="A5" s="154"/>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row>
    <row r="6" spans="1:36" ht="15.75">
      <c r="A6" s="154" t="s">
        <v>773</v>
      </c>
      <c r="B6" s="648">
        <v>3.8345739999999999</v>
      </c>
      <c r="C6" s="648">
        <v>4.0040959999999997</v>
      </c>
      <c r="D6" s="648">
        <v>4.1548119999999997</v>
      </c>
      <c r="E6" s="648">
        <v>4.3235150000000004</v>
      </c>
      <c r="F6" s="648">
        <v>4.4423159999999999</v>
      </c>
      <c r="G6" s="648">
        <v>4.4002670000000004</v>
      </c>
      <c r="H6" s="648">
        <v>4.3608650000000004</v>
      </c>
      <c r="I6" s="648">
        <v>4.5896429999999997</v>
      </c>
      <c r="J6" s="648">
        <v>4.8534199999999998</v>
      </c>
      <c r="K6" s="649">
        <f t="shared" ref="K6:V6" si="0">J6*(1+K7)</f>
        <v>4.8776870999999993</v>
      </c>
      <c r="L6" s="649">
        <f t="shared" si="0"/>
        <v>4.902075535499999</v>
      </c>
      <c r="M6" s="649">
        <f t="shared" si="0"/>
        <v>4.9265859131774983</v>
      </c>
      <c r="N6" s="649">
        <f t="shared" si="0"/>
        <v>4.9512188427433852</v>
      </c>
      <c r="O6" s="649">
        <f t="shared" si="0"/>
        <v>4.975974936957102</v>
      </c>
      <c r="P6" s="649">
        <f t="shared" si="0"/>
        <v>5.0008548116418874</v>
      </c>
      <c r="Q6" s="649">
        <f t="shared" si="0"/>
        <v>5.0258590857000964</v>
      </c>
      <c r="R6" s="649">
        <f t="shared" si="0"/>
        <v>5.0509883811285965</v>
      </c>
      <c r="S6" s="649">
        <f t="shared" si="0"/>
        <v>5.0762433230342392</v>
      </c>
      <c r="T6" s="649">
        <f t="shared" si="0"/>
        <v>5.1016245396494098</v>
      </c>
      <c r="U6" s="649">
        <f t="shared" si="0"/>
        <v>5.1271326623476563</v>
      </c>
      <c r="V6" s="649">
        <f t="shared" si="0"/>
        <v>5.1527683256593937</v>
      </c>
      <c r="W6" s="154"/>
      <c r="X6" s="154"/>
      <c r="Y6" s="154"/>
      <c r="Z6" s="154"/>
      <c r="AA6" s="154"/>
      <c r="AB6" s="154"/>
      <c r="AC6" s="154"/>
      <c r="AD6" s="154"/>
      <c r="AE6" s="154"/>
      <c r="AF6" s="154"/>
      <c r="AG6" s="154"/>
      <c r="AH6" s="154"/>
      <c r="AI6" s="154"/>
      <c r="AJ6" s="154"/>
    </row>
    <row r="7" spans="1:36" ht="15.75">
      <c r="A7" s="154" t="s">
        <v>633</v>
      </c>
      <c r="B7" s="154"/>
      <c r="C7" s="467">
        <f t="shared" ref="C7:J7" si="1">C6/B6-1</f>
        <v>4.4208822153386507E-2</v>
      </c>
      <c r="D7" s="467">
        <f t="shared" si="1"/>
        <v>3.7640456172878922E-2</v>
      </c>
      <c r="E7" s="467">
        <f t="shared" si="1"/>
        <v>4.0604243946537277E-2</v>
      </c>
      <c r="F7" s="467">
        <f t="shared" si="1"/>
        <v>2.7477873905838113E-2</v>
      </c>
      <c r="G7" s="467">
        <f t="shared" si="1"/>
        <v>-9.4655580557527763E-3</v>
      </c>
      <c r="H7" s="467">
        <f t="shared" si="1"/>
        <v>-8.9544566272909965E-3</v>
      </c>
      <c r="I7" s="467">
        <f t="shared" si="1"/>
        <v>5.2461610253928814E-2</v>
      </c>
      <c r="J7" s="467">
        <f t="shared" si="1"/>
        <v>5.7472226053311815E-2</v>
      </c>
      <c r="K7" s="547">
        <v>5.0000000000000001E-3</v>
      </c>
      <c r="L7" s="547">
        <v>5.0000000000000001E-3</v>
      </c>
      <c r="M7" s="547">
        <v>5.0000000000000001E-3</v>
      </c>
      <c r="N7" s="547">
        <v>5.0000000000000001E-3</v>
      </c>
      <c r="O7" s="547">
        <v>5.0000000000000001E-3</v>
      </c>
      <c r="P7" s="547">
        <v>5.0000000000000001E-3</v>
      </c>
      <c r="Q7" s="547">
        <v>5.0000000000000001E-3</v>
      </c>
      <c r="R7" s="547">
        <v>5.0000000000000001E-3</v>
      </c>
      <c r="S7" s="547">
        <v>5.0000000000000001E-3</v>
      </c>
      <c r="T7" s="547">
        <v>5.0000000000000001E-3</v>
      </c>
      <c r="U7" s="547">
        <v>5.0000000000000001E-3</v>
      </c>
      <c r="V7" s="547">
        <v>5.0000000000000001E-3</v>
      </c>
      <c r="W7" s="154"/>
      <c r="X7" s="154"/>
      <c r="Y7" s="154"/>
      <c r="Z7" s="154"/>
      <c r="AA7" s="154"/>
      <c r="AB7" s="154"/>
      <c r="AC7" s="154"/>
      <c r="AD7" s="154"/>
      <c r="AE7" s="154"/>
      <c r="AF7" s="154"/>
      <c r="AG7" s="154"/>
      <c r="AH7" s="154"/>
      <c r="AI7" s="154"/>
      <c r="AJ7" s="154"/>
    </row>
    <row r="8" spans="1:36" ht="15.75">
      <c r="A8" s="154"/>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row>
    <row r="9" spans="1:36" ht="15.75">
      <c r="A9" s="154" t="s">
        <v>952</v>
      </c>
      <c r="B9" s="154"/>
      <c r="C9" s="154"/>
      <c r="D9" s="154"/>
      <c r="E9" s="154"/>
      <c r="F9" s="154"/>
      <c r="G9" s="622">
        <v>0.30640000000000001</v>
      </c>
      <c r="H9" s="622">
        <v>0.3014</v>
      </c>
      <c r="I9" s="622">
        <v>0.30630000000000002</v>
      </c>
      <c r="J9" s="622">
        <v>0.30740000000000001</v>
      </c>
      <c r="K9" s="154">
        <f>J9/(1+K10)</f>
        <v>0.30740000000000001</v>
      </c>
      <c r="L9" s="154">
        <f t="shared" ref="L9:V9" si="2">K9/(1+L10)</f>
        <v>0.30740000000000001</v>
      </c>
      <c r="M9" s="154">
        <f t="shared" si="2"/>
        <v>0.30740000000000001</v>
      </c>
      <c r="N9" s="154">
        <f t="shared" si="2"/>
        <v>0.30740000000000001</v>
      </c>
      <c r="O9" s="154">
        <f t="shared" si="2"/>
        <v>0.30740000000000001</v>
      </c>
      <c r="P9" s="154">
        <f t="shared" si="2"/>
        <v>0.30740000000000001</v>
      </c>
      <c r="Q9" s="154">
        <f t="shared" si="2"/>
        <v>0.30740000000000001</v>
      </c>
      <c r="R9" s="154">
        <f t="shared" si="2"/>
        <v>0.30740000000000001</v>
      </c>
      <c r="S9" s="154">
        <f t="shared" si="2"/>
        <v>0.30740000000000001</v>
      </c>
      <c r="T9" s="154">
        <f t="shared" si="2"/>
        <v>0.30740000000000001</v>
      </c>
      <c r="U9" s="154">
        <f t="shared" si="2"/>
        <v>0.30740000000000001</v>
      </c>
      <c r="V9" s="154">
        <f t="shared" si="2"/>
        <v>0.30740000000000001</v>
      </c>
      <c r="W9" s="154"/>
      <c r="X9" s="154"/>
      <c r="Y9" s="154"/>
      <c r="Z9" s="154"/>
      <c r="AA9" s="154"/>
      <c r="AB9" s="154"/>
      <c r="AC9" s="154"/>
      <c r="AD9" s="154"/>
      <c r="AE9" s="154"/>
      <c r="AF9" s="154"/>
      <c r="AG9" s="154"/>
      <c r="AH9" s="154"/>
      <c r="AI9" s="154"/>
      <c r="AJ9" s="154"/>
    </row>
    <row r="10" spans="1:36" ht="15.75">
      <c r="A10" s="154" t="s">
        <v>87</v>
      </c>
      <c r="B10" s="154"/>
      <c r="C10" s="154"/>
      <c r="D10" s="154"/>
      <c r="E10" s="154"/>
      <c r="F10" s="154"/>
      <c r="G10" s="165"/>
      <c r="H10" s="165">
        <f>G9/H9-1</f>
        <v>1.6589250165892411E-2</v>
      </c>
      <c r="I10" s="165">
        <f>H9/I9-1</f>
        <v>-1.599738818152141E-2</v>
      </c>
      <c r="J10" s="165">
        <f>I9/J9-1</f>
        <v>-3.5783994795054452E-3</v>
      </c>
      <c r="K10" s="545">
        <v>0</v>
      </c>
      <c r="L10" s="545">
        <v>0</v>
      </c>
      <c r="M10" s="545">
        <v>0</v>
      </c>
      <c r="N10" s="545">
        <v>0</v>
      </c>
      <c r="O10" s="545">
        <v>0</v>
      </c>
      <c r="P10" s="545">
        <v>0</v>
      </c>
      <c r="Q10" s="545">
        <v>0</v>
      </c>
      <c r="R10" s="545">
        <v>0</v>
      </c>
      <c r="S10" s="545">
        <v>0</v>
      </c>
      <c r="T10" s="545">
        <v>0</v>
      </c>
      <c r="U10" s="545">
        <v>0</v>
      </c>
      <c r="V10" s="545">
        <v>0</v>
      </c>
      <c r="W10" s="154"/>
      <c r="X10" s="154"/>
      <c r="Y10" s="154"/>
      <c r="Z10" s="154"/>
      <c r="AA10" s="154"/>
      <c r="AB10" s="154"/>
      <c r="AC10" s="154"/>
      <c r="AD10" s="154"/>
      <c r="AE10" s="154"/>
      <c r="AF10" s="154"/>
      <c r="AG10" s="154"/>
      <c r="AH10" s="154"/>
      <c r="AI10" s="154"/>
      <c r="AJ10" s="154"/>
    </row>
    <row r="11" spans="1:36" ht="15.75">
      <c r="A11" s="154"/>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row>
    <row r="12" spans="1:36" ht="15.75">
      <c r="A12" s="154" t="s">
        <v>954</v>
      </c>
      <c r="B12" s="975">
        <v>3.3000000000000002E-2</v>
      </c>
      <c r="C12" s="975">
        <v>3.6999999999999998E-2</v>
      </c>
      <c r="D12" s="975">
        <v>0.02</v>
      </c>
      <c r="E12" s="975">
        <v>6.0000000000000001E-3</v>
      </c>
      <c r="F12" s="975">
        <v>1.0999999999999999E-2</v>
      </c>
      <c r="G12" s="975">
        <v>2.1000000000000001E-2</v>
      </c>
      <c r="H12" s="975">
        <v>3.4000000000000002E-2</v>
      </c>
      <c r="I12" s="975">
        <v>0.04</v>
      </c>
      <c r="J12" s="975">
        <v>3.5999999999999997E-2</v>
      </c>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row>
    <row r="13" spans="1:36" ht="15.75">
      <c r="A13" s="154"/>
      <c r="B13" s="154"/>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row>
    <row r="14" spans="1:36" ht="15.75">
      <c r="A14" s="154"/>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row>
    <row r="15" spans="1:36" ht="15.75">
      <c r="A15" s="160" t="s">
        <v>280</v>
      </c>
      <c r="B15" s="160"/>
      <c r="C15" s="160"/>
      <c r="D15" s="160"/>
      <c r="E15" s="160"/>
      <c r="F15" s="160"/>
      <c r="G15" s="586">
        <v>5900</v>
      </c>
      <c r="H15" s="586">
        <v>6154</v>
      </c>
      <c r="I15" s="586">
        <v>6354</v>
      </c>
      <c r="J15" s="540">
        <f t="shared" ref="J15:V15" si="3">I15*(1+J16)</f>
        <v>6481.08</v>
      </c>
      <c r="K15" s="540">
        <f t="shared" si="3"/>
        <v>6578.2961999999989</v>
      </c>
      <c r="L15" s="540">
        <f t="shared" si="3"/>
        <v>6644.0791619999991</v>
      </c>
      <c r="M15" s="540">
        <f t="shared" si="3"/>
        <v>6710.5199536199989</v>
      </c>
      <c r="N15" s="540">
        <f t="shared" si="3"/>
        <v>6777.6251531561993</v>
      </c>
      <c r="O15" s="540">
        <f t="shared" si="3"/>
        <v>6845.401404687761</v>
      </c>
      <c r="P15" s="540">
        <f t="shared" si="3"/>
        <v>6913.855418734639</v>
      </c>
      <c r="Q15" s="540">
        <f t="shared" si="3"/>
        <v>6982.993972921985</v>
      </c>
      <c r="R15" s="540">
        <f t="shared" si="3"/>
        <v>7052.8239126512053</v>
      </c>
      <c r="S15" s="540">
        <f t="shared" si="3"/>
        <v>7123.3521517777172</v>
      </c>
      <c r="T15" s="540">
        <f t="shared" si="3"/>
        <v>7194.5856732954944</v>
      </c>
      <c r="U15" s="540">
        <f t="shared" si="3"/>
        <v>7266.5315300284492</v>
      </c>
      <c r="V15" s="540">
        <f t="shared" si="3"/>
        <v>7339.1968453287336</v>
      </c>
      <c r="W15" s="154"/>
      <c r="X15" s="529"/>
      <c r="Y15" s="529"/>
      <c r="Z15" s="159"/>
      <c r="AA15" s="159"/>
      <c r="AB15" s="154"/>
      <c r="AC15" s="154"/>
      <c r="AD15" s="154"/>
      <c r="AE15" s="154"/>
      <c r="AF15" s="154"/>
      <c r="AG15" s="154"/>
      <c r="AH15" s="154"/>
      <c r="AI15" s="154"/>
      <c r="AJ15" s="154"/>
    </row>
    <row r="16" spans="1:36" ht="15.75">
      <c r="A16" s="154" t="s">
        <v>633</v>
      </c>
      <c r="B16" s="160"/>
      <c r="C16" s="160"/>
      <c r="D16" s="160"/>
      <c r="E16" s="160"/>
      <c r="F16" s="160"/>
      <c r="G16" s="591"/>
      <c r="H16" s="592">
        <f>H15/G15-1</f>
        <v>4.3050847457627217E-2</v>
      </c>
      <c r="I16" s="592">
        <f>I15/H15-1</f>
        <v>3.2499187520312001E-2</v>
      </c>
      <c r="J16" s="547">
        <v>0.02</v>
      </c>
      <c r="K16" s="547">
        <v>1.4999999999999999E-2</v>
      </c>
      <c r="L16" s="547">
        <v>0.01</v>
      </c>
      <c r="M16" s="547">
        <v>0.01</v>
      </c>
      <c r="N16" s="547">
        <v>0.01</v>
      </c>
      <c r="O16" s="547">
        <v>0.01</v>
      </c>
      <c r="P16" s="547">
        <v>0.01</v>
      </c>
      <c r="Q16" s="547">
        <v>0.01</v>
      </c>
      <c r="R16" s="547">
        <v>0.01</v>
      </c>
      <c r="S16" s="547">
        <v>0.01</v>
      </c>
      <c r="T16" s="547">
        <v>0.01</v>
      </c>
      <c r="U16" s="547">
        <v>0.01</v>
      </c>
      <c r="V16" s="547">
        <v>0.01</v>
      </c>
      <c r="W16" s="154"/>
      <c r="X16" s="154"/>
      <c r="Y16" s="154"/>
      <c r="Z16" s="154"/>
      <c r="AA16" s="154"/>
      <c r="AB16" s="154"/>
      <c r="AC16" s="154"/>
      <c r="AD16" s="154"/>
      <c r="AE16" s="154"/>
      <c r="AF16" s="154"/>
      <c r="AG16" s="154"/>
      <c r="AH16" s="154"/>
      <c r="AI16" s="154"/>
      <c r="AJ16" s="154"/>
    </row>
    <row r="17" spans="1:36" ht="15.75">
      <c r="A17" s="160"/>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row>
    <row r="18" spans="1:36" ht="15.75">
      <c r="A18" s="160" t="s">
        <v>286</v>
      </c>
      <c r="B18" s="154"/>
      <c r="C18" s="154"/>
      <c r="D18" s="154"/>
      <c r="E18" s="154"/>
      <c r="F18" s="628"/>
      <c r="G18" s="610">
        <v>1162</v>
      </c>
      <c r="H18" s="610">
        <v>1402</v>
      </c>
      <c r="I18" s="610">
        <v>1531</v>
      </c>
      <c r="J18" s="610">
        <v>1672</v>
      </c>
      <c r="K18" s="610">
        <v>1675</v>
      </c>
      <c r="L18" s="591">
        <f t="shared" ref="L18:Q18" si="4">L15*L20</f>
        <v>1813.7119874299997</v>
      </c>
      <c r="M18" s="591">
        <f t="shared" si="4"/>
        <v>1865.4017070723996</v>
      </c>
      <c r="N18" s="591">
        <f t="shared" si="4"/>
        <v>1917.9438499089049</v>
      </c>
      <c r="O18" s="591">
        <f t="shared" si="4"/>
        <v>1971.3502954314326</v>
      </c>
      <c r="P18" s="591">
        <f t="shared" si="4"/>
        <v>2025.6330754794203</v>
      </c>
      <c r="Q18" s="591">
        <f t="shared" si="4"/>
        <v>2080.8043760988244</v>
      </c>
      <c r="R18" s="591">
        <f t="shared" ref="R18:V18" si="5">R15*R20</f>
        <v>2136.8765394230686</v>
      </c>
      <c r="S18" s="591">
        <f t="shared" si="5"/>
        <v>2193.8620655761879</v>
      </c>
      <c r="T18" s="591">
        <f t="shared" si="5"/>
        <v>2251.7736145984277</v>
      </c>
      <c r="U18" s="591">
        <f t="shared" si="5"/>
        <v>2310.624008394554</v>
      </c>
      <c r="V18" s="591">
        <f t="shared" si="5"/>
        <v>2370.4262327051433</v>
      </c>
      <c r="W18" s="154"/>
      <c r="X18" s="154"/>
      <c r="Y18" s="154"/>
      <c r="Z18" s="154"/>
      <c r="AA18" s="154"/>
      <c r="AB18" s="154"/>
      <c r="AC18" s="154"/>
      <c r="AD18" s="154"/>
      <c r="AE18" s="154"/>
      <c r="AF18" s="154"/>
      <c r="AG18" s="154"/>
      <c r="AH18" s="154"/>
      <c r="AI18" s="154"/>
      <c r="AJ18" s="154"/>
    </row>
    <row r="19" spans="1:36" ht="15.75">
      <c r="A19" s="154" t="s">
        <v>145</v>
      </c>
      <c r="B19" s="154"/>
      <c r="C19" s="529"/>
      <c r="D19" s="529"/>
      <c r="E19" s="529"/>
      <c r="F19" s="529"/>
      <c r="G19" s="529"/>
      <c r="H19" s="529">
        <f t="shared" ref="H19:V19" si="6">H18-G18</f>
        <v>240</v>
      </c>
      <c r="I19" s="529">
        <f t="shared" si="6"/>
        <v>129</v>
      </c>
      <c r="J19" s="529">
        <f t="shared" si="6"/>
        <v>141</v>
      </c>
      <c r="K19" s="529">
        <f t="shared" si="6"/>
        <v>3</v>
      </c>
      <c r="L19" s="529">
        <f t="shared" si="6"/>
        <v>138.71198742999968</v>
      </c>
      <c r="M19" s="529">
        <f t="shared" si="6"/>
        <v>51.68971964239995</v>
      </c>
      <c r="N19" s="529">
        <f t="shared" si="6"/>
        <v>52.542142836505263</v>
      </c>
      <c r="O19" s="529">
        <f t="shared" si="6"/>
        <v>53.406445522527747</v>
      </c>
      <c r="P19" s="529">
        <f t="shared" si="6"/>
        <v>54.282780047987671</v>
      </c>
      <c r="Q19" s="529">
        <f t="shared" si="6"/>
        <v>55.171300619404064</v>
      </c>
      <c r="R19" s="529">
        <f t="shared" si="6"/>
        <v>56.072163324244229</v>
      </c>
      <c r="S19" s="529">
        <f t="shared" si="6"/>
        <v>56.985526153119281</v>
      </c>
      <c r="T19" s="529">
        <f t="shared" si="6"/>
        <v>57.911549022239797</v>
      </c>
      <c r="U19" s="529">
        <f t="shared" si="6"/>
        <v>58.850393796126355</v>
      </c>
      <c r="V19" s="529">
        <f t="shared" si="6"/>
        <v>59.802224310589281</v>
      </c>
      <c r="W19" s="154"/>
      <c r="X19" s="154"/>
      <c r="Y19" s="154"/>
      <c r="Z19" s="154"/>
      <c r="AA19" s="154"/>
      <c r="AB19" s="154"/>
      <c r="AC19" s="154"/>
      <c r="AD19" s="154"/>
      <c r="AE19" s="154"/>
      <c r="AF19" s="154"/>
      <c r="AG19" s="154"/>
      <c r="AH19" s="154"/>
      <c r="AI19" s="154"/>
      <c r="AJ19" s="154"/>
    </row>
    <row r="20" spans="1:36" ht="15.75">
      <c r="A20" s="154" t="s">
        <v>215</v>
      </c>
      <c r="B20" s="154"/>
      <c r="C20" s="154"/>
      <c r="D20" s="154"/>
      <c r="E20" s="154"/>
      <c r="F20" s="154"/>
      <c r="G20" s="467">
        <f>G18/G15</f>
        <v>0.19694915254237289</v>
      </c>
      <c r="H20" s="467">
        <f>H18/H15</f>
        <v>0.22781930451738708</v>
      </c>
      <c r="I20" s="467">
        <f>I18/I15</f>
        <v>0.24095058231035568</v>
      </c>
      <c r="J20" s="467">
        <f>J18/J15</f>
        <v>0.25798169440895652</v>
      </c>
      <c r="K20" s="592">
        <f>J20+K21</f>
        <v>0.26798169440895653</v>
      </c>
      <c r="L20" s="592">
        <f t="shared" ref="L20:V20" si="7">K20+L21</f>
        <v>0.27298169440895653</v>
      </c>
      <c r="M20" s="592">
        <f t="shared" si="7"/>
        <v>0.27798169440895654</v>
      </c>
      <c r="N20" s="592">
        <f t="shared" si="7"/>
        <v>0.28298169440895654</v>
      </c>
      <c r="O20" s="592">
        <f t="shared" si="7"/>
        <v>0.28798169440895655</v>
      </c>
      <c r="P20" s="592">
        <f t="shared" si="7"/>
        <v>0.29298169440895655</v>
      </c>
      <c r="Q20" s="592">
        <f t="shared" si="7"/>
        <v>0.29798169440895655</v>
      </c>
      <c r="R20" s="592">
        <f t="shared" si="7"/>
        <v>0.30298169440895656</v>
      </c>
      <c r="S20" s="592">
        <f t="shared" si="7"/>
        <v>0.30798169440895656</v>
      </c>
      <c r="T20" s="592">
        <f t="shared" si="7"/>
        <v>0.31298169440895657</v>
      </c>
      <c r="U20" s="592">
        <f t="shared" si="7"/>
        <v>0.31798169440895657</v>
      </c>
      <c r="V20" s="592">
        <f t="shared" si="7"/>
        <v>0.32298169440895658</v>
      </c>
      <c r="W20" s="154"/>
      <c r="X20" s="154"/>
      <c r="Y20" s="154"/>
      <c r="Z20" s="154"/>
      <c r="AA20" s="154"/>
      <c r="AB20" s="154"/>
      <c r="AC20" s="154"/>
      <c r="AD20" s="154"/>
      <c r="AE20" s="154"/>
      <c r="AF20" s="154"/>
      <c r="AG20" s="154"/>
      <c r="AH20" s="154"/>
      <c r="AI20" s="154"/>
      <c r="AJ20" s="154"/>
    </row>
    <row r="21" spans="1:36" ht="15.75">
      <c r="A21" s="154" t="s">
        <v>87</v>
      </c>
      <c r="B21" s="154"/>
      <c r="C21" s="154"/>
      <c r="D21" s="154"/>
      <c r="E21" s="154"/>
      <c r="F21" s="154"/>
      <c r="G21" s="154"/>
      <c r="H21" s="157">
        <f>H20-G20</f>
        <v>3.0870151975014193E-2</v>
      </c>
      <c r="I21" s="157">
        <f t="shared" ref="I21:J21" si="8">I20-H20</f>
        <v>1.3131277792968604E-2</v>
      </c>
      <c r="J21" s="157">
        <f t="shared" si="8"/>
        <v>1.7031112098600837E-2</v>
      </c>
      <c r="K21" s="721">
        <v>0.01</v>
      </c>
      <c r="L21" s="721">
        <v>5.0000000000000001E-3</v>
      </c>
      <c r="M21" s="721">
        <v>5.0000000000000001E-3</v>
      </c>
      <c r="N21" s="721">
        <v>5.0000000000000001E-3</v>
      </c>
      <c r="O21" s="721">
        <v>5.0000000000000001E-3</v>
      </c>
      <c r="P21" s="721">
        <v>5.0000000000000001E-3</v>
      </c>
      <c r="Q21" s="721">
        <v>5.0000000000000001E-3</v>
      </c>
      <c r="R21" s="721">
        <v>5.0000000000000001E-3</v>
      </c>
      <c r="S21" s="721">
        <v>5.0000000000000001E-3</v>
      </c>
      <c r="T21" s="721">
        <v>5.0000000000000001E-3</v>
      </c>
      <c r="U21" s="721">
        <v>5.0000000000000001E-3</v>
      </c>
      <c r="V21" s="721">
        <v>5.0000000000000001E-3</v>
      </c>
      <c r="W21" s="154"/>
      <c r="X21" s="154"/>
      <c r="Y21" s="154"/>
      <c r="Z21" s="154"/>
      <c r="AA21" s="154"/>
      <c r="AB21" s="154"/>
      <c r="AC21" s="154"/>
      <c r="AD21" s="154"/>
      <c r="AE21" s="154"/>
      <c r="AF21" s="154"/>
      <c r="AG21" s="154"/>
      <c r="AH21" s="154"/>
      <c r="AI21" s="154"/>
      <c r="AJ21" s="154"/>
    </row>
    <row r="22" spans="1:36" ht="15.75">
      <c r="A22" s="530" t="s">
        <v>637</v>
      </c>
      <c r="B22" s="561"/>
      <c r="C22" s="561"/>
      <c r="D22" s="561"/>
      <c r="E22" s="561"/>
      <c r="F22" s="561"/>
      <c r="G22" s="561"/>
      <c r="H22" s="562"/>
      <c r="I22" s="562"/>
      <c r="J22" s="562"/>
      <c r="K22" s="562"/>
      <c r="L22" s="562"/>
      <c r="M22" s="562"/>
      <c r="N22" s="529"/>
      <c r="O22" s="529"/>
      <c r="P22" s="529"/>
      <c r="Q22" s="529"/>
      <c r="R22" s="529"/>
      <c r="S22" s="529"/>
      <c r="T22" s="529"/>
      <c r="U22" s="529"/>
      <c r="V22" s="529"/>
      <c r="W22" s="154"/>
      <c r="X22" s="154"/>
      <c r="Y22" s="154"/>
      <c r="Z22" s="154"/>
      <c r="AA22" s="154"/>
      <c r="AB22" s="154"/>
      <c r="AC22" s="154"/>
      <c r="AD22" s="154"/>
      <c r="AE22" s="154"/>
      <c r="AF22" s="154"/>
      <c r="AG22" s="154"/>
      <c r="AH22" s="154"/>
      <c r="AI22" s="154"/>
      <c r="AJ22" s="154"/>
    </row>
    <row r="23" spans="1:36" ht="15.75">
      <c r="A23" s="154"/>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4"/>
    </row>
    <row r="25" spans="1:36" ht="15.75">
      <c r="A25" s="160" t="s">
        <v>2</v>
      </c>
      <c r="B25" s="154"/>
      <c r="C25" s="154"/>
      <c r="D25" s="154"/>
      <c r="E25" s="540"/>
      <c r="F25" s="154"/>
      <c r="G25" s="154"/>
      <c r="H25" s="529">
        <f>H26-G26</f>
        <v>254</v>
      </c>
      <c r="I25" s="529">
        <f t="shared" ref="I25:V25" si="9">I26-H26</f>
        <v>130</v>
      </c>
      <c r="J25" s="529">
        <f t="shared" si="9"/>
        <v>150</v>
      </c>
      <c r="K25" s="529">
        <f t="shared" si="9"/>
        <v>1</v>
      </c>
      <c r="L25" s="529">
        <f t="shared" si="9"/>
        <v>149.60243615727495</v>
      </c>
      <c r="M25" s="529">
        <f t="shared" si="9"/>
        <v>61.95408652650076</v>
      </c>
      <c r="N25" s="529">
        <f t="shared" si="9"/>
        <v>63.347389271073325</v>
      </c>
      <c r="O25" s="529">
        <f t="shared" si="9"/>
        <v>64.76575147446033</v>
      </c>
      <c r="P25" s="529">
        <f t="shared" si="9"/>
        <v>66.209568883690736</v>
      </c>
      <c r="Q25" s="529">
        <f t="shared" si="9"/>
        <v>67.67924299366814</v>
      </c>
      <c r="R25" s="529">
        <f t="shared" si="9"/>
        <v>69.175181125942345</v>
      </c>
      <c r="S25" s="529">
        <f t="shared" si="9"/>
        <v>70.697796508519332</v>
      </c>
      <c r="T25" s="529">
        <f t="shared" si="9"/>
        <v>72.247508356711933</v>
      </c>
      <c r="U25" s="529">
        <f t="shared" si="9"/>
        <v>73.824741955052559</v>
      </c>
      <c r="V25" s="529">
        <f t="shared" si="9"/>
        <v>75.429928740290961</v>
      </c>
      <c r="W25" s="154"/>
      <c r="X25" s="154"/>
      <c r="Y25" s="154"/>
      <c r="Z25" s="154"/>
      <c r="AA25" s="154"/>
      <c r="AB25" s="154"/>
      <c r="AC25" s="154"/>
      <c r="AD25" s="154"/>
      <c r="AE25" s="154"/>
      <c r="AF25" s="154"/>
      <c r="AG25" s="154"/>
      <c r="AH25" s="154"/>
      <c r="AI25" s="154"/>
      <c r="AJ25" s="154"/>
    </row>
    <row r="26" spans="1:36" ht="15.75">
      <c r="A26" s="160" t="s">
        <v>951</v>
      </c>
      <c r="B26" s="160"/>
      <c r="C26" s="160"/>
      <c r="D26" s="160"/>
      <c r="E26" s="591"/>
      <c r="F26" s="160"/>
      <c r="G26" s="615">
        <v>1162</v>
      </c>
      <c r="H26" s="615">
        <v>1416</v>
      </c>
      <c r="I26" s="615">
        <v>1546</v>
      </c>
      <c r="J26" s="615">
        <v>1696</v>
      </c>
      <c r="K26" s="615">
        <v>1697</v>
      </c>
      <c r="L26" s="616">
        <f t="shared" ref="L26:Q26" si="10">L18*L27</f>
        <v>1846.602436157275</v>
      </c>
      <c r="M26" s="616">
        <f t="shared" si="10"/>
        <v>1908.5565226837757</v>
      </c>
      <c r="N26" s="616">
        <f t="shared" si="10"/>
        <v>1971.903911954849</v>
      </c>
      <c r="O26" s="616">
        <f t="shared" si="10"/>
        <v>2036.6696634293094</v>
      </c>
      <c r="P26" s="616">
        <f t="shared" si="10"/>
        <v>2102.8792323130001</v>
      </c>
      <c r="Q26" s="616">
        <f t="shared" si="10"/>
        <v>2170.5584753066682</v>
      </c>
      <c r="R26" s="616">
        <f t="shared" ref="R26:V26" si="11">R18*R27</f>
        <v>2239.7336564326106</v>
      </c>
      <c r="S26" s="616">
        <f t="shared" si="11"/>
        <v>2310.4314529411299</v>
      </c>
      <c r="T26" s="616">
        <f t="shared" si="11"/>
        <v>2382.6789612978419</v>
      </c>
      <c r="U26" s="616">
        <f t="shared" si="11"/>
        <v>2456.5037032528944</v>
      </c>
      <c r="V26" s="616">
        <f t="shared" si="11"/>
        <v>2531.9336319931854</v>
      </c>
      <c r="W26" s="154"/>
      <c r="X26" s="154"/>
      <c r="Y26" s="154"/>
      <c r="Z26" s="154"/>
      <c r="AA26" s="154"/>
      <c r="AB26" s="154"/>
      <c r="AC26" s="154"/>
      <c r="AD26" s="154"/>
      <c r="AE26" s="154"/>
      <c r="AF26" s="154"/>
      <c r="AG26" s="154"/>
      <c r="AH26" s="154"/>
      <c r="AI26" s="154"/>
      <c r="AJ26" s="154"/>
    </row>
    <row r="27" spans="1:36" ht="15.75">
      <c r="A27" s="154" t="s">
        <v>1</v>
      </c>
      <c r="B27" s="154"/>
      <c r="C27" s="154"/>
      <c r="D27" s="154"/>
      <c r="E27" s="540"/>
      <c r="F27" s="154"/>
      <c r="G27" s="722">
        <f>G26/G18</f>
        <v>1</v>
      </c>
      <c r="H27" s="722">
        <f>H26/H18</f>
        <v>1.0099857346647647</v>
      </c>
      <c r="I27" s="722">
        <f>I26/I18</f>
        <v>1.0097975179621164</v>
      </c>
      <c r="J27" s="722">
        <f>J26/J18</f>
        <v>1.0143540669856459</v>
      </c>
      <c r="K27" s="722">
        <f>K26/K18</f>
        <v>1.013134328358209</v>
      </c>
      <c r="L27" s="650">
        <f t="shared" ref="L27:V27" si="12">K27+0.005</f>
        <v>1.0181343283582089</v>
      </c>
      <c r="M27" s="650">
        <f t="shared" si="12"/>
        <v>1.0231343283582088</v>
      </c>
      <c r="N27" s="650">
        <f t="shared" si="12"/>
        <v>1.0281343283582087</v>
      </c>
      <c r="O27" s="650">
        <f t="shared" si="12"/>
        <v>1.0331343283582086</v>
      </c>
      <c r="P27" s="650">
        <f t="shared" si="12"/>
        <v>1.0381343283582085</v>
      </c>
      <c r="Q27" s="650">
        <f t="shared" si="12"/>
        <v>1.0431343283582084</v>
      </c>
      <c r="R27" s="650">
        <f t="shared" si="12"/>
        <v>1.0481343283582083</v>
      </c>
      <c r="S27" s="650">
        <f t="shared" si="12"/>
        <v>1.0531343283582082</v>
      </c>
      <c r="T27" s="650">
        <f t="shared" si="12"/>
        <v>1.0581343283582081</v>
      </c>
      <c r="U27" s="650">
        <f t="shared" si="12"/>
        <v>1.063134328358208</v>
      </c>
      <c r="V27" s="650">
        <f t="shared" si="12"/>
        <v>1.0681343283582079</v>
      </c>
      <c r="W27" s="154"/>
      <c r="X27" s="154"/>
      <c r="Y27" s="154"/>
      <c r="Z27" s="154"/>
      <c r="AA27" s="154"/>
      <c r="AB27" s="154"/>
      <c r="AC27" s="154"/>
      <c r="AD27" s="154"/>
      <c r="AE27" s="154"/>
      <c r="AF27" s="154"/>
      <c r="AG27" s="154"/>
      <c r="AH27" s="154"/>
      <c r="AI27" s="154"/>
      <c r="AJ27" s="154"/>
    </row>
    <row r="28" spans="1:36" ht="15.75">
      <c r="A28" s="530" t="s">
        <v>637</v>
      </c>
      <c r="B28" s="561"/>
      <c r="C28" s="561"/>
      <c r="D28" s="561"/>
      <c r="E28" s="561"/>
      <c r="F28" s="561"/>
      <c r="G28" s="561"/>
      <c r="H28" s="562"/>
      <c r="I28" s="568"/>
      <c r="J28" s="568"/>
      <c r="K28" s="568"/>
      <c r="L28" s="568"/>
      <c r="M28" s="568"/>
      <c r="N28" s="154"/>
      <c r="O28" s="154"/>
      <c r="P28" s="154"/>
      <c r="Q28" s="154"/>
      <c r="R28" s="154"/>
      <c r="S28" s="154"/>
      <c r="T28" s="154"/>
      <c r="U28" s="154"/>
      <c r="V28" s="154"/>
      <c r="W28" s="154"/>
      <c r="X28" s="154"/>
      <c r="Y28" s="154"/>
      <c r="AA28" s="154"/>
      <c r="AB28" s="154"/>
      <c r="AC28" s="154"/>
      <c r="AD28" s="154"/>
      <c r="AE28" s="154"/>
      <c r="AF28" s="154"/>
      <c r="AG28" s="154"/>
      <c r="AH28" s="154"/>
      <c r="AI28" s="154"/>
      <c r="AJ28" s="154"/>
    </row>
    <row r="29" spans="1:36" ht="15.75">
      <c r="A29" s="154"/>
      <c r="B29" s="154"/>
      <c r="C29" s="154"/>
      <c r="D29" s="154"/>
      <c r="E29" s="540"/>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row>
    <row r="30" spans="1:36" ht="15.75">
      <c r="A30" s="154" t="s">
        <v>2</v>
      </c>
      <c r="B30" s="540"/>
      <c r="C30" s="540"/>
      <c r="D30" s="540"/>
      <c r="E30" s="540"/>
      <c r="F30" s="643"/>
      <c r="G30" s="540">
        <f t="shared" ref="G30:Q30" si="13">G26</f>
        <v>1162</v>
      </c>
      <c r="H30" s="540">
        <f t="shared" si="13"/>
        <v>1416</v>
      </c>
      <c r="I30" s="540">
        <f t="shared" si="13"/>
        <v>1546</v>
      </c>
      <c r="J30" s="540">
        <f t="shared" si="13"/>
        <v>1696</v>
      </c>
      <c r="K30" s="540">
        <f t="shared" si="13"/>
        <v>1697</v>
      </c>
      <c r="L30" s="540">
        <f t="shared" si="13"/>
        <v>1846.602436157275</v>
      </c>
      <c r="M30" s="540">
        <f t="shared" si="13"/>
        <v>1908.5565226837757</v>
      </c>
      <c r="N30" s="540">
        <f t="shared" si="13"/>
        <v>1971.903911954849</v>
      </c>
      <c r="O30" s="540">
        <f t="shared" si="13"/>
        <v>2036.6696634293094</v>
      </c>
      <c r="P30" s="540">
        <f t="shared" si="13"/>
        <v>2102.8792323130001</v>
      </c>
      <c r="Q30" s="540">
        <f t="shared" si="13"/>
        <v>2170.5584753066682</v>
      </c>
      <c r="R30" s="540">
        <f t="shared" ref="R30:V30" si="14">R26</f>
        <v>2239.7336564326106</v>
      </c>
      <c r="S30" s="540">
        <f t="shared" si="14"/>
        <v>2310.4314529411299</v>
      </c>
      <c r="T30" s="540">
        <f t="shared" si="14"/>
        <v>2382.6789612978419</v>
      </c>
      <c r="U30" s="540">
        <f t="shared" si="14"/>
        <v>2456.5037032528944</v>
      </c>
      <c r="V30" s="540">
        <f t="shared" si="14"/>
        <v>2531.9336319931854</v>
      </c>
      <c r="W30" s="154"/>
      <c r="X30" s="154"/>
      <c r="Y30" s="154"/>
      <c r="Z30" s="154"/>
      <c r="AA30" s="154"/>
      <c r="AB30" s="154"/>
      <c r="AC30" s="154"/>
      <c r="AD30" s="154"/>
      <c r="AE30" s="154"/>
      <c r="AF30" s="154"/>
      <c r="AG30" s="154"/>
      <c r="AH30" s="154"/>
      <c r="AI30" s="154"/>
      <c r="AJ30" s="154"/>
    </row>
    <row r="31" spans="1:36" ht="15.75">
      <c r="A31" s="154" t="s">
        <v>633</v>
      </c>
      <c r="B31" s="154"/>
      <c r="C31" s="159"/>
      <c r="D31" s="159"/>
      <c r="E31" s="159"/>
      <c r="F31" s="159"/>
      <c r="G31" s="159"/>
      <c r="H31" s="467">
        <f t="shared" ref="H31:V31" si="15">H30/G30-1</f>
        <v>0.21858864027538716</v>
      </c>
      <c r="I31" s="467">
        <f t="shared" si="15"/>
        <v>9.1807909604519677E-2</v>
      </c>
      <c r="J31" s="467">
        <f t="shared" si="15"/>
        <v>9.70245795601552E-2</v>
      </c>
      <c r="K31" s="467">
        <f t="shared" si="15"/>
        <v>5.8962264150941301E-4</v>
      </c>
      <c r="L31" s="467">
        <f t="shared" si="15"/>
        <v>8.8157004217604529E-2</v>
      </c>
      <c r="M31" s="467">
        <f t="shared" si="15"/>
        <v>3.3550311270803546E-2</v>
      </c>
      <c r="N31" s="467">
        <f t="shared" si="15"/>
        <v>3.3191256595322294E-2</v>
      </c>
      <c r="O31" s="467">
        <f t="shared" si="15"/>
        <v>3.2844273537778301E-2</v>
      </c>
      <c r="P31" s="467">
        <f t="shared" si="15"/>
        <v>3.2508742125715306E-2</v>
      </c>
      <c r="Q31" s="467">
        <f t="shared" si="15"/>
        <v>3.218408454166255E-2</v>
      </c>
      <c r="R31" s="467">
        <f t="shared" si="15"/>
        <v>3.1869761590352486E-2</v>
      </c>
      <c r="S31" s="467">
        <f t="shared" si="15"/>
        <v>3.1565269515628547E-2</v>
      </c>
      <c r="T31" s="467">
        <f t="shared" si="15"/>
        <v>3.1270137127306752E-2</v>
      </c>
      <c r="U31" s="467">
        <f t="shared" si="15"/>
        <v>3.0983923203334207E-2</v>
      </c>
      <c r="V31" s="467">
        <f t="shared" si="15"/>
        <v>3.070621413694874E-2</v>
      </c>
      <c r="W31" s="154"/>
      <c r="X31" s="154"/>
      <c r="Y31" s="154"/>
      <c r="Z31" s="154"/>
      <c r="AA31" s="154"/>
      <c r="AB31" s="154"/>
      <c r="AC31" s="154"/>
      <c r="AD31" s="154"/>
      <c r="AE31" s="154"/>
      <c r="AF31" s="154"/>
      <c r="AG31" s="154"/>
      <c r="AH31" s="154"/>
      <c r="AI31" s="154"/>
      <c r="AJ31" s="154"/>
    </row>
    <row r="32" spans="1:36" ht="15.75">
      <c r="A32" s="154" t="s">
        <v>4</v>
      </c>
      <c r="B32" s="540"/>
      <c r="C32" s="540"/>
      <c r="D32" s="540"/>
      <c r="E32" s="540"/>
      <c r="F32" s="540"/>
      <c r="G32" s="540"/>
      <c r="H32" s="540">
        <f t="shared" ref="H32:V32" si="16">H30-G30</f>
        <v>254</v>
      </c>
      <c r="I32" s="540">
        <f t="shared" si="16"/>
        <v>130</v>
      </c>
      <c r="J32" s="540">
        <f t="shared" si="16"/>
        <v>150</v>
      </c>
      <c r="K32" s="540">
        <f t="shared" si="16"/>
        <v>1</v>
      </c>
      <c r="L32" s="540">
        <f t="shared" si="16"/>
        <v>149.60243615727495</v>
      </c>
      <c r="M32" s="540">
        <f t="shared" si="16"/>
        <v>61.95408652650076</v>
      </c>
      <c r="N32" s="540">
        <f t="shared" si="16"/>
        <v>63.347389271073325</v>
      </c>
      <c r="O32" s="540">
        <f t="shared" si="16"/>
        <v>64.76575147446033</v>
      </c>
      <c r="P32" s="540">
        <f t="shared" si="16"/>
        <v>66.209568883690736</v>
      </c>
      <c r="Q32" s="540">
        <f t="shared" si="16"/>
        <v>67.67924299366814</v>
      </c>
      <c r="R32" s="540">
        <f t="shared" si="16"/>
        <v>69.175181125942345</v>
      </c>
      <c r="S32" s="540">
        <f t="shared" si="16"/>
        <v>70.697796508519332</v>
      </c>
      <c r="T32" s="540">
        <f t="shared" si="16"/>
        <v>72.247508356711933</v>
      </c>
      <c r="U32" s="540">
        <f t="shared" si="16"/>
        <v>73.824741955052559</v>
      </c>
      <c r="V32" s="540">
        <f t="shared" si="16"/>
        <v>75.429928740290961</v>
      </c>
      <c r="W32" s="154"/>
      <c r="X32" s="154"/>
      <c r="Y32" s="154"/>
      <c r="Z32" s="154"/>
      <c r="AA32" s="154"/>
      <c r="AB32" s="154"/>
      <c r="AC32" s="154"/>
      <c r="AD32" s="154"/>
      <c r="AE32" s="154"/>
      <c r="AF32" s="154"/>
      <c r="AG32" s="154"/>
      <c r="AH32" s="154"/>
      <c r="AI32" s="154"/>
      <c r="AJ32" s="154"/>
    </row>
    <row r="33" spans="1:36" ht="15.75">
      <c r="A33" s="154" t="s">
        <v>146</v>
      </c>
      <c r="B33" s="154"/>
      <c r="C33" s="529"/>
      <c r="D33" s="529"/>
      <c r="E33" s="529"/>
      <c r="F33" s="529"/>
      <c r="G33" s="529"/>
      <c r="H33" s="529">
        <f t="shared" ref="H33:Q33" si="17">H32-H19</f>
        <v>14</v>
      </c>
      <c r="I33" s="529">
        <f t="shared" si="17"/>
        <v>1</v>
      </c>
      <c r="J33" s="529">
        <f t="shared" si="17"/>
        <v>9</v>
      </c>
      <c r="K33" s="529">
        <f t="shared" si="17"/>
        <v>-2</v>
      </c>
      <c r="L33" s="529">
        <f t="shared" si="17"/>
        <v>10.89044872727527</v>
      </c>
      <c r="M33" s="529">
        <f t="shared" si="17"/>
        <v>10.264366884100809</v>
      </c>
      <c r="N33" s="529">
        <f t="shared" si="17"/>
        <v>10.805246434568062</v>
      </c>
      <c r="O33" s="529">
        <f t="shared" si="17"/>
        <v>11.359305951932583</v>
      </c>
      <c r="P33" s="529">
        <f t="shared" si="17"/>
        <v>11.926788835703064</v>
      </c>
      <c r="Q33" s="529">
        <f t="shared" si="17"/>
        <v>12.507942374264076</v>
      </c>
      <c r="R33" s="529">
        <f t="shared" ref="R33:V33" si="18">R32-R19</f>
        <v>13.103017801698115</v>
      </c>
      <c r="S33" s="529">
        <f t="shared" si="18"/>
        <v>13.712270355400051</v>
      </c>
      <c r="T33" s="529">
        <f t="shared" si="18"/>
        <v>14.335959334472136</v>
      </c>
      <c r="U33" s="529">
        <f t="shared" si="18"/>
        <v>14.974348158926205</v>
      </c>
      <c r="V33" s="529">
        <f t="shared" si="18"/>
        <v>15.62770442970168</v>
      </c>
      <c r="W33" s="154"/>
      <c r="X33" s="154"/>
      <c r="Y33" s="154"/>
      <c r="Z33" s="154"/>
      <c r="AA33" s="154"/>
      <c r="AB33" s="154"/>
      <c r="AC33" s="154"/>
      <c r="AD33" s="154"/>
      <c r="AE33" s="154"/>
      <c r="AF33" s="154"/>
      <c r="AG33" s="154"/>
      <c r="AH33" s="154"/>
      <c r="AI33" s="154"/>
      <c r="AJ33" s="154"/>
    </row>
    <row r="34" spans="1:36" ht="15.75">
      <c r="A34" s="154"/>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row>
    <row r="35" spans="1:36" ht="15.75">
      <c r="A35" s="154" t="s">
        <v>6</v>
      </c>
      <c r="B35" s="154"/>
      <c r="C35" s="540"/>
      <c r="D35" s="540"/>
      <c r="E35" s="540"/>
      <c r="F35" s="540"/>
      <c r="G35" s="540">
        <f>G45/AVERAGE(F30:G30)/12*1000000</f>
        <v>1557.730923694779</v>
      </c>
      <c r="H35" s="540">
        <f>H45/AVERAGE(G30:H30)/12*1000000</f>
        <v>1897.271786914921</v>
      </c>
      <c r="I35" s="540">
        <f>I45/AVERAGE(H30:I30)/12*1000000</f>
        <v>2029.3157776277289</v>
      </c>
      <c r="J35" s="540">
        <f>J45/AVERAGE(I30:J30)/12*1000000</f>
        <v>2090.0678593460825</v>
      </c>
      <c r="K35" s="540">
        <f>K45/AVERAGE(J30:K30)/12*1000000</f>
        <v>2204.8826014343254</v>
      </c>
      <c r="L35" s="540">
        <f t="shared" ref="L35:V35" si="19">K35*(1+L36)</f>
        <v>2315.1267315060418</v>
      </c>
      <c r="M35" s="540">
        <f t="shared" si="19"/>
        <v>2407.7318007662834</v>
      </c>
      <c r="N35" s="540">
        <f t="shared" si="19"/>
        <v>2492.0024137931032</v>
      </c>
      <c r="O35" s="540">
        <f t="shared" si="19"/>
        <v>2566.7624862068965</v>
      </c>
      <c r="P35" s="540">
        <f t="shared" si="19"/>
        <v>2643.7653607931034</v>
      </c>
      <c r="Q35" s="540">
        <f t="shared" si="19"/>
        <v>2723.0783216168966</v>
      </c>
      <c r="R35" s="540">
        <f t="shared" si="19"/>
        <v>2804.7706712654035</v>
      </c>
      <c r="S35" s="540">
        <f t="shared" si="19"/>
        <v>2888.9137914033658</v>
      </c>
      <c r="T35" s="540">
        <f t="shared" si="19"/>
        <v>2975.5812051454668</v>
      </c>
      <c r="U35" s="540">
        <f t="shared" si="19"/>
        <v>3064.8486412998309</v>
      </c>
      <c r="V35" s="540">
        <f t="shared" si="19"/>
        <v>3156.7941005388261</v>
      </c>
      <c r="W35" s="154"/>
      <c r="X35" s="154"/>
      <c r="Y35" s="154"/>
      <c r="Z35" s="154"/>
      <c r="AA35" s="154"/>
      <c r="AB35" s="154"/>
      <c r="AC35" s="154"/>
      <c r="AD35" s="154"/>
      <c r="AE35" s="154"/>
      <c r="AF35" s="154"/>
      <c r="AG35" s="154"/>
      <c r="AH35" s="154"/>
      <c r="AI35" s="154"/>
      <c r="AJ35" s="154"/>
    </row>
    <row r="36" spans="1:36" ht="15.75">
      <c r="A36" s="154" t="s">
        <v>3</v>
      </c>
      <c r="B36" s="154"/>
      <c r="C36" s="154"/>
      <c r="D36" s="467"/>
      <c r="E36" s="467"/>
      <c r="F36" s="467"/>
      <c r="G36" s="467"/>
      <c r="H36" s="467">
        <f>H35/G35-1</f>
        <v>0.21797144683677816</v>
      </c>
      <c r="I36" s="467">
        <f>I35/H35-1</f>
        <v>6.9596771334232255E-2</v>
      </c>
      <c r="J36" s="467">
        <f>J35/I35-1</f>
        <v>2.9937224353211667E-2</v>
      </c>
      <c r="K36" s="467">
        <f>K35/J35-1</f>
        <v>5.4933499682715992E-2</v>
      </c>
      <c r="L36" s="547">
        <v>0.05</v>
      </c>
      <c r="M36" s="547">
        <v>0.04</v>
      </c>
      <c r="N36" s="547">
        <v>3.5000000000000003E-2</v>
      </c>
      <c r="O36" s="547">
        <v>0.03</v>
      </c>
      <c r="P36" s="547">
        <v>0.03</v>
      </c>
      <c r="Q36" s="547">
        <v>0.03</v>
      </c>
      <c r="R36" s="547">
        <v>0.03</v>
      </c>
      <c r="S36" s="547">
        <v>0.03</v>
      </c>
      <c r="T36" s="547">
        <v>0.03</v>
      </c>
      <c r="U36" s="547">
        <v>0.03</v>
      </c>
      <c r="V36" s="547">
        <v>0.03</v>
      </c>
      <c r="W36" s="154"/>
      <c r="X36" s="154"/>
      <c r="Y36" s="154"/>
      <c r="Z36" s="154"/>
      <c r="AA36" s="154"/>
      <c r="AB36" s="154"/>
      <c r="AC36" s="154"/>
      <c r="AD36" s="154"/>
      <c r="AE36" s="154"/>
      <c r="AF36" s="154"/>
      <c r="AG36" s="154"/>
      <c r="AH36" s="154"/>
      <c r="AI36" s="154"/>
      <c r="AJ36" s="154"/>
    </row>
    <row r="37" spans="1:36" ht="15.75">
      <c r="A37" s="154"/>
      <c r="B37" s="154"/>
      <c r="C37" s="540"/>
      <c r="D37" s="540"/>
      <c r="E37" s="540"/>
      <c r="F37" s="540"/>
      <c r="G37" s="540"/>
      <c r="H37" s="540"/>
      <c r="I37" s="540"/>
      <c r="J37" s="540"/>
      <c r="K37" s="540"/>
      <c r="L37" s="540"/>
      <c r="M37" s="540"/>
      <c r="N37" s="540"/>
      <c r="O37" s="540"/>
      <c r="P37" s="540"/>
      <c r="Q37" s="540"/>
      <c r="R37" s="540"/>
      <c r="S37" s="540"/>
      <c r="T37" s="540"/>
      <c r="U37" s="540"/>
      <c r="V37" s="540"/>
      <c r="W37" s="154"/>
      <c r="X37" s="154"/>
      <c r="Y37" s="154"/>
      <c r="Z37" s="154"/>
      <c r="AA37" s="154"/>
      <c r="AB37" s="154"/>
      <c r="AC37" s="154"/>
      <c r="AD37" s="154"/>
      <c r="AE37" s="154"/>
      <c r="AF37" s="154"/>
      <c r="AG37" s="154"/>
      <c r="AH37" s="154"/>
      <c r="AI37" s="154"/>
      <c r="AJ37" s="154"/>
    </row>
    <row r="38" spans="1:36" ht="15.75">
      <c r="A38" s="154" t="s">
        <v>7</v>
      </c>
      <c r="B38" s="154"/>
      <c r="C38" s="540"/>
      <c r="D38" s="540"/>
      <c r="E38" s="540"/>
      <c r="F38" s="540"/>
      <c r="G38" s="540">
        <f t="shared" ref="G38:V38" si="20">G45/AVERAGE(F18:G18)/12*1000000</f>
        <v>1557.730923694779</v>
      </c>
      <c r="H38" s="540">
        <f t="shared" si="20"/>
        <v>1907.6313052522103</v>
      </c>
      <c r="I38" s="540">
        <f t="shared" si="20"/>
        <v>2049.3806114331173</v>
      </c>
      <c r="J38" s="540">
        <f t="shared" si="20"/>
        <v>2115.5167030908519</v>
      </c>
      <c r="K38" s="540">
        <f t="shared" si="20"/>
        <v>2235.1857384722634</v>
      </c>
      <c r="L38" s="540">
        <f t="shared" si="20"/>
        <v>2351.5523079396212</v>
      </c>
      <c r="M38" s="540">
        <f t="shared" si="20"/>
        <v>2457.4982979309257</v>
      </c>
      <c r="N38" s="540">
        <f t="shared" si="20"/>
        <v>2555.9697426802804</v>
      </c>
      <c r="O38" s="540">
        <f t="shared" si="20"/>
        <v>2645.4816457694155</v>
      </c>
      <c r="P38" s="540">
        <f t="shared" si="20"/>
        <v>2738.0639257898356</v>
      </c>
      <c r="Q38" s="540">
        <f t="shared" si="20"/>
        <v>2833.820243853188</v>
      </c>
      <c r="R38" s="540">
        <f t="shared" si="20"/>
        <v>2932.8577174464294</v>
      </c>
      <c r="S38" s="540">
        <f t="shared" si="20"/>
        <v>3035.2870345160113</v>
      </c>
      <c r="T38" s="540">
        <f t="shared" si="20"/>
        <v>3141.2225712866866</v>
      </c>
      <c r="U38" s="540">
        <f t="shared" si="20"/>
        <v>3250.7825139362776</v>
      </c>
      <c r="V38" s="540">
        <f t="shared" si="20"/>
        <v>3364.0889842517404</v>
      </c>
      <c r="W38" s="154"/>
      <c r="X38" s="154"/>
      <c r="Y38" s="154"/>
      <c r="Z38" s="154"/>
      <c r="AA38" s="154"/>
      <c r="AB38" s="154"/>
      <c r="AC38" s="154"/>
      <c r="AD38" s="154"/>
      <c r="AE38" s="154"/>
      <c r="AF38" s="154"/>
      <c r="AG38" s="154"/>
      <c r="AH38" s="154"/>
      <c r="AI38" s="154"/>
      <c r="AJ38" s="154"/>
    </row>
    <row r="39" spans="1:36" ht="15.75">
      <c r="A39" s="154" t="s">
        <v>3</v>
      </c>
      <c r="B39" s="154"/>
      <c r="C39" s="154"/>
      <c r="D39" s="467"/>
      <c r="E39" s="467"/>
      <c r="F39" s="467"/>
      <c r="G39" s="467"/>
      <c r="H39" s="467">
        <f t="shared" ref="H39:V39" si="21">H38/G38-1</f>
        <v>0.2246218369521118</v>
      </c>
      <c r="I39" s="467">
        <f t="shared" si="21"/>
        <v>7.430644789201879E-2</v>
      </c>
      <c r="J39" s="467">
        <f t="shared" si="21"/>
        <v>3.2271258588460139E-2</v>
      </c>
      <c r="K39" s="467">
        <f t="shared" si="21"/>
        <v>5.656728458185678E-2</v>
      </c>
      <c r="L39" s="467">
        <f t="shared" si="21"/>
        <v>5.2061252657639834E-2</v>
      </c>
      <c r="M39" s="467">
        <f t="shared" si="21"/>
        <v>4.5053639518710886E-2</v>
      </c>
      <c r="N39" s="467">
        <f t="shared" si="21"/>
        <v>4.0069791638212893E-2</v>
      </c>
      <c r="O39" s="467">
        <f t="shared" si="21"/>
        <v>3.5020720939861194E-2</v>
      </c>
      <c r="P39" s="467">
        <f t="shared" si="21"/>
        <v>3.4996379645451325E-2</v>
      </c>
      <c r="Q39" s="467">
        <f t="shared" si="21"/>
        <v>3.4972272619869571E-2</v>
      </c>
      <c r="R39" s="467">
        <f t="shared" si="21"/>
        <v>3.4948396535758652E-2</v>
      </c>
      <c r="S39" s="467">
        <f t="shared" si="21"/>
        <v>3.4924748125444216E-2</v>
      </c>
      <c r="T39" s="467">
        <f t="shared" si="21"/>
        <v>3.4901324179894999E-2</v>
      </c>
      <c r="U39" s="467">
        <f t="shared" si="21"/>
        <v>3.4878121547660346E-2</v>
      </c>
      <c r="V39" s="467">
        <f t="shared" si="21"/>
        <v>3.4855137133816827E-2</v>
      </c>
      <c r="W39" s="154"/>
      <c r="X39" s="154"/>
      <c r="Y39" s="154"/>
      <c r="Z39" s="154"/>
      <c r="AA39" s="154"/>
      <c r="AB39" s="154"/>
      <c r="AC39" s="154"/>
      <c r="AD39" s="154"/>
      <c r="AE39" s="154"/>
      <c r="AF39" s="154"/>
      <c r="AG39" s="154"/>
      <c r="AH39" s="154"/>
      <c r="AI39" s="154"/>
      <c r="AJ39" s="154"/>
    </row>
    <row r="40" spans="1:36" ht="15.75">
      <c r="A40" s="154"/>
      <c r="B40" s="154"/>
      <c r="C40" s="154"/>
      <c r="D40" s="467"/>
      <c r="E40" s="467"/>
      <c r="F40" s="467"/>
      <c r="G40" s="467"/>
      <c r="H40" s="467"/>
      <c r="I40" s="467"/>
      <c r="J40" s="467"/>
      <c r="K40" s="467"/>
      <c r="L40" s="467"/>
      <c r="M40" s="467"/>
      <c r="N40" s="467"/>
      <c r="O40" s="467"/>
      <c r="P40" s="467"/>
      <c r="Q40" s="467"/>
      <c r="R40" s="467"/>
      <c r="S40" s="467"/>
      <c r="T40" s="467"/>
      <c r="U40" s="467"/>
      <c r="V40" s="467"/>
      <c r="W40" s="154"/>
      <c r="X40" s="154"/>
      <c r="Y40" s="154"/>
      <c r="Z40" s="154"/>
      <c r="AA40" s="154"/>
      <c r="AB40" s="154"/>
      <c r="AC40" s="154"/>
      <c r="AD40" s="154"/>
      <c r="AE40" s="154"/>
      <c r="AF40" s="154"/>
      <c r="AG40" s="154"/>
      <c r="AH40" s="154"/>
      <c r="AI40" s="154"/>
      <c r="AJ40" s="154"/>
    </row>
    <row r="41" spans="1:36" ht="15.75">
      <c r="A41" s="154"/>
      <c r="B41" s="154"/>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row>
    <row r="42" spans="1:36" ht="15.75">
      <c r="A42" s="154"/>
      <c r="B42" s="154"/>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row>
    <row r="43" spans="1:36" ht="15.75">
      <c r="A43" s="163" t="s">
        <v>673</v>
      </c>
      <c r="B43" s="164"/>
      <c r="C43" s="164"/>
      <c r="D43" s="164"/>
      <c r="E43" s="164"/>
      <c r="F43" s="164"/>
      <c r="G43" s="164"/>
      <c r="H43" s="164"/>
      <c r="I43" s="164"/>
      <c r="J43" s="164"/>
      <c r="K43" s="164"/>
      <c r="L43" s="164"/>
      <c r="M43" s="164"/>
      <c r="N43" s="164"/>
      <c r="O43" s="164"/>
      <c r="P43" s="164"/>
      <c r="Q43" s="164"/>
      <c r="R43" s="164"/>
      <c r="S43" s="164"/>
      <c r="T43" s="164"/>
      <c r="U43" s="164"/>
      <c r="V43" s="164"/>
      <c r="W43" s="154"/>
      <c r="X43" s="154"/>
      <c r="Y43" s="154"/>
      <c r="Z43" s="154"/>
      <c r="AA43" s="154"/>
      <c r="AB43" s="154"/>
      <c r="AC43" s="154"/>
      <c r="AD43" s="154"/>
      <c r="AE43" s="154"/>
      <c r="AF43" s="154"/>
      <c r="AG43" s="154"/>
      <c r="AH43" s="154"/>
      <c r="AI43" s="154"/>
      <c r="AJ43" s="154"/>
    </row>
    <row r="44" spans="1:36" ht="15.75">
      <c r="A44" s="154"/>
      <c r="B44" s="154"/>
      <c r="C44" s="154"/>
      <c r="D44" s="154"/>
      <c r="E44" s="154"/>
      <c r="F44" s="154"/>
      <c r="G44" s="460"/>
      <c r="H44" s="460"/>
      <c r="I44" s="460"/>
      <c r="J44" s="460"/>
      <c r="K44" s="460"/>
      <c r="L44" s="460"/>
      <c r="M44" s="460"/>
      <c r="N44" s="460"/>
      <c r="O44" s="460"/>
      <c r="P44" s="460"/>
      <c r="Q44" s="460"/>
      <c r="R44" s="460"/>
      <c r="S44" s="460"/>
      <c r="T44" s="460"/>
      <c r="U44" s="460"/>
      <c r="V44" s="460"/>
      <c r="W44" s="154"/>
      <c r="X44" s="154"/>
      <c r="Y44" s="154"/>
      <c r="Z44" s="154"/>
      <c r="AA44" s="154"/>
      <c r="AB44" s="154"/>
      <c r="AC44" s="154"/>
      <c r="AD44" s="154"/>
      <c r="AE44" s="154"/>
      <c r="AF44" s="154"/>
      <c r="AG44" s="154"/>
      <c r="AH44" s="154"/>
      <c r="AI44" s="154"/>
      <c r="AJ44" s="154"/>
    </row>
    <row r="45" spans="1:36" ht="15.75">
      <c r="A45" s="160" t="s">
        <v>5</v>
      </c>
      <c r="B45" s="593"/>
      <c r="C45" s="593"/>
      <c r="D45" s="593"/>
      <c r="E45" s="593"/>
      <c r="F45" s="593"/>
      <c r="G45" s="644">
        <v>21.721</v>
      </c>
      <c r="H45" s="644">
        <v>29.347000000000001</v>
      </c>
      <c r="I45" s="644">
        <v>36.064999999999998</v>
      </c>
      <c r="J45" s="644">
        <v>40.655999999999999</v>
      </c>
      <c r="K45" s="644">
        <v>44.887</v>
      </c>
      <c r="L45" s="593">
        <f t="shared" ref="L45:V45" si="22">L35*AVERAGE(K30,L30)*12/1000000</f>
        <v>49.223332354665828</v>
      </c>
      <c r="M45" s="593">
        <f t="shared" si="22"/>
        <v>54.248493852804032</v>
      </c>
      <c r="N45" s="593">
        <f t="shared" si="22"/>
        <v>58.020700618488526</v>
      </c>
      <c r="O45" s="593">
        <f t="shared" si="22"/>
        <v>61.734337658977857</v>
      </c>
      <c r="P45" s="593">
        <f t="shared" si="22"/>
        <v>65.663975879237157</v>
      </c>
      <c r="Q45" s="593">
        <f t="shared" si="22"/>
        <v>69.821433482395946</v>
      </c>
      <c r="R45" s="593">
        <f t="shared" si="22"/>
        <v>74.21914813688943</v>
      </c>
      <c r="S45" s="593">
        <f t="shared" si="22"/>
        <v>78.870208425793209</v>
      </c>
      <c r="T45" s="593">
        <f t="shared" si="22"/>
        <v>83.788386853691648</v>
      </c>
      <c r="U45" s="593">
        <f t="shared" si="22"/>
        <v>88.988174486700117</v>
      </c>
      <c r="V45" s="593">
        <f t="shared" si="22"/>
        <v>94.484817304874682</v>
      </c>
      <c r="W45" s="154"/>
      <c r="X45" s="154"/>
      <c r="Y45" s="154"/>
      <c r="Z45" s="154"/>
      <c r="AA45" s="154"/>
      <c r="AB45" s="154"/>
      <c r="AC45" s="154"/>
      <c r="AD45" s="154"/>
      <c r="AE45" s="154"/>
      <c r="AF45" s="154"/>
      <c r="AG45" s="154"/>
      <c r="AH45" s="154"/>
      <c r="AI45" s="154"/>
      <c r="AJ45" s="154"/>
    </row>
    <row r="46" spans="1:36" ht="15.75">
      <c r="A46" s="154" t="s">
        <v>3</v>
      </c>
      <c r="B46" s="154"/>
      <c r="C46" s="597"/>
      <c r="D46" s="597"/>
      <c r="E46" s="597"/>
      <c r="F46" s="597"/>
      <c r="G46" s="597"/>
      <c r="H46" s="597">
        <f t="shared" ref="H46:V46" si="23">H45/G45-1</f>
        <v>0.35108880806592713</v>
      </c>
      <c r="I46" s="597">
        <f t="shared" si="23"/>
        <v>0.2289160731931712</v>
      </c>
      <c r="J46" s="597">
        <f t="shared" si="23"/>
        <v>0.12729793428531821</v>
      </c>
      <c r="K46" s="597">
        <f t="shared" si="23"/>
        <v>0.10406828020464398</v>
      </c>
      <c r="L46" s="597">
        <f t="shared" si="23"/>
        <v>9.6605528430633081E-2</v>
      </c>
      <c r="M46" s="597">
        <f t="shared" si="23"/>
        <v>0.1020890146553004</v>
      </c>
      <c r="N46" s="597">
        <f t="shared" si="23"/>
        <v>6.9535695791294483E-2</v>
      </c>
      <c r="O46" s="597">
        <f t="shared" si="23"/>
        <v>6.400538085377705E-2</v>
      </c>
      <c r="P46" s="597">
        <f t="shared" si="23"/>
        <v>6.3654011191741189E-2</v>
      </c>
      <c r="Q46" s="597">
        <f t="shared" si="23"/>
        <v>6.3314131492810954E-2</v>
      </c>
      <c r="R46" s="597">
        <f t="shared" si="23"/>
        <v>6.298516709202584E-2</v>
      </c>
      <c r="S46" s="597">
        <f t="shared" si="23"/>
        <v>6.2666581410034228E-2</v>
      </c>
      <c r="T46" s="597">
        <f t="shared" si="23"/>
        <v>6.2357872840234974E-2</v>
      </c>
      <c r="U46" s="597">
        <f t="shared" si="23"/>
        <v>6.2058571936563833E-2</v>
      </c>
      <c r="V46" s="597">
        <f t="shared" si="23"/>
        <v>6.1768238868593395E-2</v>
      </c>
      <c r="W46" s="154"/>
      <c r="X46" s="154"/>
      <c r="Y46" s="154"/>
      <c r="Z46" s="154"/>
      <c r="AA46" s="154"/>
      <c r="AB46" s="154"/>
      <c r="AC46" s="154"/>
      <c r="AD46" s="154"/>
      <c r="AE46" s="154"/>
      <c r="AF46" s="154"/>
      <c r="AG46" s="154"/>
      <c r="AH46" s="154"/>
      <c r="AI46" s="154"/>
      <c r="AJ46" s="154"/>
    </row>
    <row r="47" spans="1:36" ht="15.75">
      <c r="A47" s="154" t="s">
        <v>634</v>
      </c>
      <c r="B47" s="154"/>
      <c r="C47" s="154"/>
      <c r="D47" s="154"/>
      <c r="E47" s="154"/>
      <c r="F47" s="154"/>
      <c r="G47" s="154"/>
      <c r="H47" s="154"/>
      <c r="I47" s="527">
        <v>0.14000000000000001</v>
      </c>
      <c r="J47" s="527">
        <v>8.3000000000000004E-2</v>
      </c>
      <c r="K47" s="527">
        <v>9.8000000000000004E-2</v>
      </c>
      <c r="L47" s="597"/>
      <c r="M47" s="597"/>
      <c r="N47" s="597"/>
      <c r="O47" s="597"/>
      <c r="P47" s="597"/>
      <c r="Q47" s="597"/>
      <c r="R47" s="597"/>
      <c r="S47" s="597"/>
      <c r="T47" s="597"/>
      <c r="U47" s="597"/>
      <c r="V47" s="597"/>
      <c r="W47" s="154"/>
      <c r="X47" s="154"/>
      <c r="Y47" s="154"/>
      <c r="Z47" s="154"/>
      <c r="AA47" s="154"/>
      <c r="AB47" s="154"/>
      <c r="AC47" s="154"/>
      <c r="AD47" s="154"/>
      <c r="AE47" s="154"/>
      <c r="AF47" s="154"/>
      <c r="AG47" s="154"/>
      <c r="AH47" s="154"/>
      <c r="AI47" s="154"/>
      <c r="AJ47" s="154"/>
    </row>
    <row r="48" spans="1:36" ht="15.75">
      <c r="A48" s="530" t="s">
        <v>637</v>
      </c>
      <c r="B48" s="561"/>
      <c r="C48" s="561"/>
      <c r="D48" s="561"/>
      <c r="E48" s="561"/>
      <c r="F48" s="561"/>
      <c r="G48" s="561"/>
      <c r="H48" s="562"/>
      <c r="I48" s="562"/>
      <c r="J48" s="562"/>
      <c r="K48" s="562"/>
      <c r="L48" s="562"/>
      <c r="M48" s="562"/>
      <c r="N48" s="597"/>
      <c r="O48" s="597"/>
      <c r="P48" s="597"/>
      <c r="Q48" s="597"/>
      <c r="R48" s="597"/>
      <c r="S48" s="597"/>
      <c r="T48" s="597"/>
      <c r="U48" s="597"/>
      <c r="V48" s="597"/>
      <c r="W48" s="154"/>
      <c r="X48" s="154"/>
      <c r="Y48" s="154"/>
      <c r="Z48" s="154"/>
      <c r="AA48" s="154"/>
      <c r="AB48" s="154"/>
      <c r="AC48" s="154"/>
      <c r="AD48" s="154"/>
      <c r="AE48" s="154"/>
      <c r="AF48" s="154"/>
      <c r="AG48" s="154"/>
      <c r="AH48" s="154"/>
      <c r="AI48" s="154"/>
      <c r="AJ48" s="154"/>
    </row>
    <row r="49" spans="1:36" ht="15.75">
      <c r="A49" s="154"/>
      <c r="B49" s="154"/>
      <c r="C49" s="154"/>
      <c r="D49" s="154"/>
      <c r="E49" s="154"/>
      <c r="F49" s="154"/>
      <c r="G49" s="154"/>
      <c r="H49" s="154"/>
      <c r="I49" s="154"/>
      <c r="J49" s="154"/>
      <c r="K49" s="154"/>
      <c r="L49" s="154"/>
      <c r="M49" s="154"/>
      <c r="N49" s="154"/>
      <c r="O49" s="154"/>
      <c r="P49" s="154"/>
      <c r="Q49" s="154"/>
      <c r="R49" s="154"/>
      <c r="S49" s="154"/>
      <c r="T49" s="154"/>
      <c r="U49" s="154"/>
      <c r="V49" s="154"/>
      <c r="W49" s="154"/>
      <c r="X49" s="588"/>
      <c r="Y49" s="154"/>
      <c r="Z49" s="154"/>
      <c r="AA49" s="154"/>
      <c r="AB49" s="154"/>
      <c r="AC49" s="154"/>
      <c r="AD49" s="154"/>
      <c r="AE49" s="154"/>
      <c r="AF49" s="154"/>
      <c r="AG49" s="154"/>
      <c r="AH49" s="154"/>
      <c r="AI49" s="154"/>
      <c r="AJ49" s="154"/>
    </row>
    <row r="50" spans="1:36" ht="15.75">
      <c r="A50" s="154" t="s">
        <v>956</v>
      </c>
      <c r="B50" s="154"/>
      <c r="C50" s="154"/>
      <c r="D50" s="154"/>
      <c r="E50" s="154"/>
      <c r="F50" s="154"/>
      <c r="G50" s="154"/>
      <c r="H50" s="154"/>
      <c r="I50" s="725">
        <v>3.1</v>
      </c>
      <c r="J50" s="725">
        <v>1.7</v>
      </c>
      <c r="K50" s="725"/>
      <c r="L50" s="154"/>
      <c r="M50" s="154"/>
      <c r="N50" s="154"/>
      <c r="O50" s="154"/>
      <c r="P50" s="154"/>
      <c r="Q50" s="154"/>
      <c r="R50" s="154"/>
      <c r="S50" s="154"/>
      <c r="T50" s="154"/>
      <c r="U50" s="154"/>
      <c r="V50" s="154"/>
      <c r="W50" s="154"/>
      <c r="X50" s="588"/>
      <c r="Y50" s="154"/>
      <c r="Z50" s="154"/>
      <c r="AA50" s="154"/>
      <c r="AB50" s="154"/>
      <c r="AC50" s="154"/>
      <c r="AD50" s="154"/>
      <c r="AE50" s="154"/>
      <c r="AF50" s="154"/>
      <c r="AG50" s="154"/>
      <c r="AH50" s="154"/>
      <c r="AI50" s="154"/>
      <c r="AJ50" s="154"/>
    </row>
    <row r="51" spans="1:36" ht="15.75">
      <c r="A51" s="154" t="s">
        <v>957</v>
      </c>
      <c r="B51" s="154"/>
      <c r="C51" s="154"/>
      <c r="D51" s="154"/>
      <c r="E51" s="154"/>
      <c r="F51" s="154"/>
      <c r="G51" s="154"/>
      <c r="H51" s="154"/>
      <c r="I51" s="725">
        <v>-0.5</v>
      </c>
      <c r="J51" s="725">
        <f>-0.1</f>
        <v>-0.1</v>
      </c>
      <c r="K51" s="725">
        <v>0.1</v>
      </c>
      <c r="L51" s="154"/>
      <c r="M51" s="154"/>
      <c r="N51" s="154"/>
      <c r="O51" s="154"/>
      <c r="P51" s="154"/>
      <c r="Q51" s="154"/>
      <c r="R51" s="154"/>
      <c r="S51" s="154"/>
      <c r="T51" s="154"/>
      <c r="U51" s="154"/>
      <c r="V51" s="154"/>
      <c r="W51" s="154"/>
      <c r="X51" s="588"/>
      <c r="Y51" s="154"/>
      <c r="Z51" s="154"/>
      <c r="AA51" s="154"/>
      <c r="AB51" s="154"/>
      <c r="AC51" s="154"/>
      <c r="AD51" s="154"/>
      <c r="AE51" s="154"/>
      <c r="AF51" s="154"/>
      <c r="AG51" s="154"/>
      <c r="AH51" s="154"/>
      <c r="AI51" s="154"/>
      <c r="AJ51" s="154"/>
    </row>
    <row r="52" spans="1:36" ht="15.75">
      <c r="A52" s="154" t="s">
        <v>958</v>
      </c>
      <c r="B52" s="154"/>
      <c r="C52" s="154"/>
      <c r="D52" s="154"/>
      <c r="E52" s="154"/>
      <c r="F52" s="154"/>
      <c r="G52" s="154"/>
      <c r="H52" s="154"/>
      <c r="I52" s="726">
        <f>I45-I50-I51</f>
        <v>33.464999999999996</v>
      </c>
      <c r="J52" s="726">
        <f>J45-J50-J51</f>
        <v>39.055999999999997</v>
      </c>
      <c r="K52" s="726">
        <f>K45-K50-K51</f>
        <v>44.786999999999999</v>
      </c>
      <c r="L52" s="154"/>
      <c r="M52" s="154"/>
      <c r="N52" s="154"/>
      <c r="O52" s="154"/>
      <c r="P52" s="154"/>
      <c r="Q52" s="154"/>
      <c r="R52" s="154"/>
      <c r="S52" s="154"/>
      <c r="T52" s="154"/>
      <c r="U52" s="154"/>
      <c r="V52" s="154"/>
      <c r="W52" s="154"/>
      <c r="X52" s="588"/>
      <c r="Y52" s="154"/>
      <c r="Z52" s="154"/>
      <c r="AA52" s="154"/>
      <c r="AB52" s="154"/>
      <c r="AC52" s="154"/>
      <c r="AD52" s="154"/>
      <c r="AE52" s="154"/>
      <c r="AF52" s="154"/>
      <c r="AG52" s="154"/>
      <c r="AH52" s="154"/>
      <c r="AI52" s="154"/>
      <c r="AJ52" s="154"/>
    </row>
    <row r="53" spans="1:36" ht="15.75">
      <c r="A53" s="154" t="s">
        <v>633</v>
      </c>
      <c r="B53" s="154"/>
      <c r="C53" s="154"/>
      <c r="D53" s="154"/>
      <c r="E53" s="154"/>
      <c r="F53" s="154"/>
      <c r="G53" s="154"/>
      <c r="H53" s="154"/>
      <c r="I53" s="157">
        <f>I52/H45-1</f>
        <v>0.14032098681296201</v>
      </c>
      <c r="J53" s="157">
        <f>J52/I45-1</f>
        <v>8.2933592125329358E-2</v>
      </c>
      <c r="K53" s="157">
        <f>K52/J45-1</f>
        <v>0.10160861865407322</v>
      </c>
      <c r="L53" s="154"/>
      <c r="M53" s="154"/>
      <c r="N53" s="154"/>
      <c r="O53" s="154"/>
      <c r="P53" s="154"/>
      <c r="Q53" s="154"/>
      <c r="R53" s="154"/>
      <c r="S53" s="154"/>
      <c r="T53" s="154"/>
      <c r="U53" s="154"/>
      <c r="V53" s="154"/>
      <c r="W53" s="154"/>
      <c r="X53" s="588"/>
      <c r="Y53" s="154"/>
      <c r="Z53" s="154"/>
      <c r="AA53" s="154"/>
      <c r="AB53" s="154"/>
      <c r="AC53" s="154"/>
      <c r="AD53" s="154"/>
      <c r="AE53" s="154"/>
      <c r="AF53" s="154"/>
      <c r="AG53" s="154"/>
      <c r="AH53" s="154"/>
      <c r="AI53" s="154"/>
      <c r="AJ53" s="154"/>
    </row>
    <row r="54" spans="1:36" ht="15.75">
      <c r="A54" s="154"/>
      <c r="B54" s="154"/>
      <c r="C54" s="154"/>
      <c r="D54" s="154"/>
      <c r="E54" s="154"/>
      <c r="F54" s="154"/>
      <c r="G54" s="154"/>
      <c r="H54" s="154"/>
      <c r="I54" s="154"/>
      <c r="J54" s="154"/>
      <c r="K54" s="154"/>
      <c r="L54" s="154"/>
      <c r="M54" s="154"/>
      <c r="N54" s="154"/>
      <c r="O54" s="154"/>
      <c r="P54" s="154"/>
      <c r="Q54" s="154"/>
      <c r="R54" s="154"/>
      <c r="S54" s="154"/>
      <c r="T54" s="154"/>
      <c r="U54" s="154"/>
      <c r="V54" s="154"/>
      <c r="W54" s="154"/>
      <c r="X54" s="588"/>
      <c r="Y54" s="154"/>
      <c r="Z54" s="154"/>
      <c r="AA54" s="154"/>
      <c r="AB54" s="154"/>
      <c r="AC54" s="154"/>
      <c r="AD54" s="154"/>
      <c r="AE54" s="154"/>
      <c r="AF54" s="154"/>
      <c r="AG54" s="154"/>
      <c r="AH54" s="154"/>
      <c r="AI54" s="154"/>
      <c r="AJ54" s="154"/>
    </row>
    <row r="55" spans="1:36" ht="15.75">
      <c r="A55" s="154" t="s">
        <v>953</v>
      </c>
      <c r="B55" s="154"/>
      <c r="C55" s="154"/>
      <c r="D55" s="154"/>
      <c r="E55" s="154"/>
      <c r="F55" s="154"/>
      <c r="G55" s="537">
        <f t="shared" ref="G55:Q55" si="24">G45*G9</f>
        <v>6.6553144</v>
      </c>
      <c r="H55" s="537">
        <f t="shared" si="24"/>
        <v>8.8451858000000012</v>
      </c>
      <c r="I55" s="537">
        <f t="shared" si="24"/>
        <v>11.0467095</v>
      </c>
      <c r="J55" s="537">
        <f t="shared" si="24"/>
        <v>12.4976544</v>
      </c>
      <c r="K55" s="537">
        <f t="shared" si="24"/>
        <v>13.798263800000001</v>
      </c>
      <c r="L55" s="537">
        <f t="shared" si="24"/>
        <v>15.131252365824276</v>
      </c>
      <c r="M55" s="537">
        <f t="shared" si="24"/>
        <v>16.67598701035196</v>
      </c>
      <c r="N55" s="537">
        <f t="shared" si="24"/>
        <v>17.835563370123374</v>
      </c>
      <c r="O55" s="537">
        <f t="shared" si="24"/>
        <v>18.977135396369793</v>
      </c>
      <c r="P55" s="537">
        <f t="shared" si="24"/>
        <v>20.185106185277501</v>
      </c>
      <c r="Q55" s="537">
        <f t="shared" si="24"/>
        <v>21.463108652488515</v>
      </c>
      <c r="R55" s="537">
        <f t="shared" ref="R55:V55" si="25">R45*R9</f>
        <v>22.814966137279811</v>
      </c>
      <c r="S55" s="537">
        <f t="shared" si="25"/>
        <v>24.244702070088834</v>
      </c>
      <c r="T55" s="537">
        <f t="shared" si="25"/>
        <v>25.756550118824812</v>
      </c>
      <c r="U55" s="537">
        <f t="shared" si="25"/>
        <v>27.354964837211618</v>
      </c>
      <c r="V55" s="537">
        <f t="shared" si="25"/>
        <v>29.044632839518478</v>
      </c>
      <c r="W55" s="154"/>
      <c r="X55" s="154"/>
      <c r="Y55" s="154"/>
      <c r="Z55" s="154"/>
      <c r="AA55" s="154"/>
      <c r="AB55" s="154"/>
      <c r="AC55" s="154"/>
      <c r="AD55" s="154"/>
      <c r="AE55" s="154"/>
      <c r="AF55" s="154"/>
      <c r="AG55" s="154"/>
      <c r="AH55" s="154"/>
      <c r="AI55" s="154"/>
      <c r="AJ55" s="154"/>
    </row>
    <row r="56" spans="1:36" ht="15.75">
      <c r="A56" s="154" t="s">
        <v>633</v>
      </c>
      <c r="B56" s="154"/>
      <c r="C56" s="154"/>
      <c r="D56" s="154"/>
      <c r="E56" s="154"/>
      <c r="F56" s="154"/>
      <c r="G56" s="154"/>
      <c r="H56" s="165">
        <f t="shared" ref="H56:I56" si="26">H55/G55-1</f>
        <v>0.32904101420062148</v>
      </c>
      <c r="I56" s="165">
        <f t="shared" si="26"/>
        <v>0.24889513344083736</v>
      </c>
      <c r="J56" s="165">
        <f>J55/I55-1</f>
        <v>0.13134634345186669</v>
      </c>
      <c r="K56" s="165">
        <f t="shared" ref="K56:V56" si="27">K55/J55-1</f>
        <v>0.10406828020464398</v>
      </c>
      <c r="L56" s="165">
        <f t="shared" si="27"/>
        <v>9.6605528430633081E-2</v>
      </c>
      <c r="M56" s="165">
        <f t="shared" si="27"/>
        <v>0.1020890146553004</v>
      </c>
      <c r="N56" s="165">
        <f t="shared" si="27"/>
        <v>6.9535695791294483E-2</v>
      </c>
      <c r="O56" s="165">
        <f t="shared" si="27"/>
        <v>6.4005380853776828E-2</v>
      </c>
      <c r="P56" s="165">
        <f t="shared" si="27"/>
        <v>6.3654011191740967E-2</v>
      </c>
      <c r="Q56" s="165">
        <f t="shared" si="27"/>
        <v>6.3314131492811176E-2</v>
      </c>
      <c r="R56" s="165">
        <f t="shared" si="27"/>
        <v>6.298516709202584E-2</v>
      </c>
      <c r="S56" s="165">
        <f t="shared" si="27"/>
        <v>6.266658141003445E-2</v>
      </c>
      <c r="T56" s="165">
        <f t="shared" si="27"/>
        <v>6.2357872840234752E-2</v>
      </c>
      <c r="U56" s="165">
        <f t="shared" si="27"/>
        <v>6.2058571936564055E-2</v>
      </c>
      <c r="V56" s="165">
        <f t="shared" si="27"/>
        <v>6.1768238868593395E-2</v>
      </c>
      <c r="W56" s="154"/>
      <c r="X56" s="154"/>
      <c r="Y56" s="154"/>
      <c r="Z56" s="154"/>
      <c r="AA56" s="154"/>
      <c r="AB56" s="154"/>
      <c r="AC56" s="154"/>
      <c r="AD56" s="154"/>
      <c r="AE56" s="154"/>
      <c r="AF56" s="154"/>
      <c r="AG56" s="154"/>
      <c r="AH56" s="154"/>
      <c r="AI56" s="154"/>
      <c r="AJ56" s="154"/>
    </row>
    <row r="57" spans="1:36" ht="15.75">
      <c r="A57" s="154"/>
      <c r="B57" s="154"/>
      <c r="C57" s="154"/>
      <c r="D57" s="154"/>
      <c r="E57" s="154"/>
      <c r="F57" s="154"/>
      <c r="G57" s="154"/>
      <c r="H57" s="154"/>
      <c r="I57" s="154"/>
      <c r="J57" s="154"/>
      <c r="K57" s="154"/>
      <c r="L57" s="154"/>
      <c r="M57" s="154"/>
      <c r="N57" s="154"/>
      <c r="O57" s="154"/>
      <c r="P57" s="154"/>
      <c r="Q57" s="154"/>
      <c r="R57" s="154"/>
      <c r="S57" s="154"/>
      <c r="T57" s="154"/>
      <c r="U57" s="154"/>
      <c r="V57" s="154"/>
      <c r="W57" s="154"/>
      <c r="X57" s="588"/>
      <c r="Y57" s="154"/>
      <c r="Z57" s="154"/>
      <c r="AA57" s="154"/>
      <c r="AB57" s="154"/>
      <c r="AC57" s="154"/>
      <c r="AD57" s="154"/>
      <c r="AE57" s="154"/>
      <c r="AF57" s="154"/>
      <c r="AG57" s="154"/>
      <c r="AH57" s="154"/>
      <c r="AI57" s="154"/>
      <c r="AJ57" s="154"/>
    </row>
    <row r="58" spans="1:36" ht="15.75">
      <c r="A58" s="154" t="s">
        <v>282</v>
      </c>
      <c r="B58" s="612"/>
      <c r="C58" s="612"/>
      <c r="D58" s="612"/>
      <c r="E58" s="612"/>
      <c r="F58" s="612"/>
      <c r="G58" s="612">
        <f>G45-G62</f>
        <v>11.784000000000001</v>
      </c>
      <c r="H58" s="612">
        <f t="shared" ref="H58:O58" si="28">H45-H62</f>
        <v>16.262</v>
      </c>
      <c r="I58" s="612">
        <f t="shared" si="28"/>
        <v>20.043999999999997</v>
      </c>
      <c r="J58" s="612">
        <f t="shared" si="28"/>
        <v>18.535</v>
      </c>
      <c r="K58" s="612">
        <f t="shared" si="28"/>
        <v>17.326000000000001</v>
      </c>
      <c r="L58" s="612">
        <f t="shared" si="28"/>
        <v>18.950564053234483</v>
      </c>
      <c r="M58" s="612">
        <f t="shared" si="28"/>
        <v>20.83095997073854</v>
      </c>
      <c r="N58" s="612">
        <f t="shared" si="28"/>
        <v>22.221434565685961</v>
      </c>
      <c r="O58" s="612">
        <f t="shared" si="28"/>
        <v>23.581991610521001</v>
      </c>
      <c r="P58" s="612">
        <f t="shared" ref="P58:V58" si="29">P45-P62</f>
        <v>25.017415992541409</v>
      </c>
      <c r="Q58" s="612">
        <f t="shared" si="29"/>
        <v>26.531550524821135</v>
      </c>
      <c r="R58" s="612">
        <f t="shared" si="29"/>
        <v>28.128425519700635</v>
      </c>
      <c r="S58" s="612">
        <f t="shared" si="29"/>
        <v>29.812267579041247</v>
      </c>
      <c r="T58" s="612">
        <f t="shared" si="29"/>
        <v>31.587508782960469</v>
      </c>
      <c r="U58" s="612">
        <f t="shared" si="29"/>
        <v>33.458796294577965</v>
      </c>
      <c r="V58" s="612">
        <f t="shared" si="29"/>
        <v>35.43100239905219</v>
      </c>
      <c r="W58" s="154"/>
      <c r="X58" s="154"/>
      <c r="Y58" s="154"/>
      <c r="Z58" s="154"/>
      <c r="AA58" s="154"/>
      <c r="AB58" s="154"/>
      <c r="AC58" s="154"/>
      <c r="AD58" s="154"/>
      <c r="AE58" s="154"/>
      <c r="AF58" s="154"/>
      <c r="AG58" s="154"/>
      <c r="AH58" s="154"/>
      <c r="AI58" s="154"/>
      <c r="AJ58" s="154"/>
    </row>
    <row r="59" spans="1:36" ht="15.75">
      <c r="A59" s="154" t="s">
        <v>283</v>
      </c>
      <c r="B59" s="612"/>
      <c r="C59" s="612"/>
      <c r="D59" s="612"/>
      <c r="E59" s="612"/>
      <c r="F59" s="612"/>
      <c r="G59" s="612">
        <f t="shared" ref="G59:V59" si="30">G58/AVERAGE(F18:G18)/12*1000000</f>
        <v>845.09466437177275</v>
      </c>
      <c r="H59" s="612">
        <f t="shared" si="30"/>
        <v>1057.0722828913156</v>
      </c>
      <c r="I59" s="612">
        <f t="shared" si="30"/>
        <v>1138.9930673940219</v>
      </c>
      <c r="J59" s="612">
        <f t="shared" si="30"/>
        <v>964.46040170673325</v>
      </c>
      <c r="K59" s="612">
        <f t="shared" si="30"/>
        <v>862.76267304053385</v>
      </c>
      <c r="L59" s="612">
        <f t="shared" si="30"/>
        <v>905.327626237338</v>
      </c>
      <c r="M59" s="612">
        <f t="shared" si="30"/>
        <v>943.65843245823419</v>
      </c>
      <c r="N59" s="612">
        <f t="shared" si="30"/>
        <v>978.91465948179791</v>
      </c>
      <c r="O59" s="612">
        <f t="shared" si="30"/>
        <v>1010.5514749496803</v>
      </c>
      <c r="P59" s="612">
        <f t="shared" si="30"/>
        <v>1043.1790540924999</v>
      </c>
      <c r="Q59" s="612">
        <f t="shared" si="30"/>
        <v>1076.8275761197074</v>
      </c>
      <c r="R59" s="612">
        <f t="shared" si="30"/>
        <v>1111.5281155331324</v>
      </c>
      <c r="S59" s="612">
        <f t="shared" si="30"/>
        <v>1147.3126679679606</v>
      </c>
      <c r="T59" s="612">
        <f t="shared" si="30"/>
        <v>1184.2141767571238</v>
      </c>
      <c r="U59" s="612">
        <f t="shared" si="30"/>
        <v>1222.266560238585</v>
      </c>
      <c r="V59" s="612">
        <f t="shared" si="30"/>
        <v>1261.5047398255278</v>
      </c>
      <c r="W59" s="154"/>
      <c r="X59" s="154"/>
      <c r="Y59" s="154"/>
      <c r="Z59" s="154"/>
      <c r="AA59" s="154"/>
      <c r="AB59" s="154"/>
      <c r="AC59" s="154"/>
      <c r="AD59" s="154"/>
      <c r="AE59" s="154"/>
      <c r="AF59" s="154"/>
      <c r="AG59" s="154"/>
      <c r="AH59" s="154"/>
      <c r="AI59" s="154"/>
      <c r="AJ59" s="154"/>
    </row>
    <row r="60" spans="1:36" ht="15.75">
      <c r="A60" s="154" t="s">
        <v>3</v>
      </c>
      <c r="B60" s="154"/>
      <c r="C60" s="597"/>
      <c r="D60" s="597"/>
      <c r="E60" s="597"/>
      <c r="F60" s="597"/>
      <c r="G60" s="597"/>
      <c r="H60" s="647">
        <f>H59/G59-1</f>
        <v>0.25083298647628194</v>
      </c>
      <c r="I60" s="647">
        <f t="shared" ref="I60:V60" si="31">I59/H59-1</f>
        <v>7.749780769829262E-2</v>
      </c>
      <c r="J60" s="647">
        <f t="shared" si="31"/>
        <v>-0.15323417734807954</v>
      </c>
      <c r="K60" s="647">
        <f t="shared" si="31"/>
        <v>-0.1054452090373359</v>
      </c>
      <c r="L60" s="647">
        <f t="shared" si="31"/>
        <v>4.9335645278669071E-2</v>
      </c>
      <c r="M60" s="647">
        <f t="shared" si="31"/>
        <v>4.2339154478477692E-2</v>
      </c>
      <c r="N60" s="647">
        <f t="shared" si="31"/>
        <v>3.7361216528019714E-2</v>
      </c>
      <c r="O60" s="647">
        <f t="shared" si="31"/>
        <v>3.2318256919995125E-2</v>
      </c>
      <c r="P60" s="647">
        <f t="shared" si="31"/>
        <v>3.2286904676918304E-2</v>
      </c>
      <c r="Q60" s="647">
        <f t="shared" si="31"/>
        <v>3.2255749284076263E-2</v>
      </c>
      <c r="R60" s="647">
        <f t="shared" si="31"/>
        <v>3.2224787127449472E-2</v>
      </c>
      <c r="S60" s="647">
        <f t="shared" si="31"/>
        <v>3.2194014649520986E-2</v>
      </c>
      <c r="T60" s="647">
        <f t="shared" si="31"/>
        <v>3.2163428348194412E-2</v>
      </c>
      <c r="U60" s="647">
        <f t="shared" si="31"/>
        <v>3.2133024775691021E-2</v>
      </c>
      <c r="V60" s="647">
        <f t="shared" si="31"/>
        <v>3.2102800537456844E-2</v>
      </c>
      <c r="W60" s="154"/>
      <c r="X60" s="154"/>
      <c r="Y60" s="154"/>
      <c r="Z60" s="154"/>
      <c r="AA60" s="154"/>
      <c r="AB60" s="154"/>
      <c r="AC60" s="154"/>
      <c r="AD60" s="154"/>
      <c r="AE60" s="154"/>
      <c r="AF60" s="154"/>
      <c r="AG60" s="154"/>
      <c r="AH60" s="154"/>
      <c r="AI60" s="154"/>
      <c r="AJ60" s="154"/>
    </row>
    <row r="61" spans="1:36" ht="15.75">
      <c r="A61" s="154"/>
      <c r="B61" s="154"/>
      <c r="C61" s="154"/>
      <c r="D61" s="154"/>
      <c r="E61" s="154"/>
      <c r="F61" s="154"/>
      <c r="G61" s="460"/>
      <c r="H61" s="460"/>
      <c r="I61" s="460"/>
      <c r="J61" s="460"/>
      <c r="K61" s="460"/>
      <c r="L61" s="460"/>
      <c r="M61" s="460"/>
      <c r="N61" s="460"/>
      <c r="O61" s="460"/>
      <c r="P61" s="460"/>
      <c r="Q61" s="460"/>
      <c r="R61" s="460"/>
      <c r="S61" s="460"/>
      <c r="T61" s="460"/>
      <c r="U61" s="460"/>
      <c r="V61" s="460"/>
      <c r="W61" s="154"/>
      <c r="X61" s="154"/>
      <c r="Y61" s="154"/>
      <c r="Z61" s="154"/>
      <c r="AA61" s="154"/>
      <c r="AB61" s="154"/>
      <c r="AC61" s="154"/>
      <c r="AD61" s="154"/>
      <c r="AE61" s="154"/>
      <c r="AF61" s="154"/>
      <c r="AG61" s="154"/>
      <c r="AH61" s="154"/>
      <c r="AI61" s="154"/>
      <c r="AJ61" s="154"/>
    </row>
    <row r="62" spans="1:36" ht="15.75">
      <c r="A62" s="160" t="s">
        <v>10</v>
      </c>
      <c r="B62" s="160"/>
      <c r="C62" s="160"/>
      <c r="D62" s="160"/>
      <c r="E62" s="160"/>
      <c r="F62" s="616"/>
      <c r="G62" s="615">
        <v>9.9369999999999994</v>
      </c>
      <c r="H62" s="615">
        <v>13.085000000000001</v>
      </c>
      <c r="I62" s="615">
        <v>16.021000000000001</v>
      </c>
      <c r="J62" s="615">
        <v>22.120999999999999</v>
      </c>
      <c r="K62" s="615">
        <v>27.561</v>
      </c>
      <c r="L62" s="616">
        <f t="shared" ref="L62:Q62" si="32">L45*L63</f>
        <v>30.272768301431345</v>
      </c>
      <c r="M62" s="616">
        <f t="shared" si="32"/>
        <v>33.417533882065491</v>
      </c>
      <c r="N62" s="616">
        <f t="shared" si="32"/>
        <v>35.799266052802565</v>
      </c>
      <c r="O62" s="616">
        <f t="shared" si="32"/>
        <v>38.152346048456856</v>
      </c>
      <c r="P62" s="616">
        <f t="shared" si="32"/>
        <v>40.646559886695748</v>
      </c>
      <c r="Q62" s="616">
        <f t="shared" si="32"/>
        <v>43.289882957574811</v>
      </c>
      <c r="R62" s="616">
        <f t="shared" ref="R62:V62" si="33">R45*R63</f>
        <v>46.090722617188796</v>
      </c>
      <c r="S62" s="616">
        <f t="shared" si="33"/>
        <v>49.057940846751961</v>
      </c>
      <c r="T62" s="616">
        <f t="shared" si="33"/>
        <v>52.200878070731179</v>
      </c>
      <c r="U62" s="616">
        <f t="shared" si="33"/>
        <v>55.529378192122152</v>
      </c>
      <c r="V62" s="616">
        <f t="shared" si="33"/>
        <v>59.053814905822492</v>
      </c>
      <c r="W62" s="154"/>
      <c r="X62" s="154"/>
      <c r="Y62" s="154"/>
      <c r="Z62" s="154"/>
      <c r="AA62" s="154"/>
      <c r="AB62" s="154"/>
      <c r="AC62" s="154"/>
      <c r="AD62" s="154"/>
      <c r="AE62" s="154"/>
      <c r="AF62" s="154"/>
      <c r="AG62" s="154"/>
      <c r="AH62" s="154"/>
      <c r="AI62" s="154"/>
      <c r="AJ62" s="154"/>
    </row>
    <row r="63" spans="1:36" ht="15.75">
      <c r="A63" s="154" t="s">
        <v>11</v>
      </c>
      <c r="B63" s="596"/>
      <c r="C63" s="596"/>
      <c r="D63" s="596"/>
      <c r="E63" s="596"/>
      <c r="F63" s="596"/>
      <c r="G63" s="596">
        <f>G62/G45</f>
        <v>0.457483541273422</v>
      </c>
      <c r="H63" s="596">
        <f>H62/H45</f>
        <v>0.4458718097250145</v>
      </c>
      <c r="I63" s="596">
        <f>I62/I45</f>
        <v>0.44422570359073899</v>
      </c>
      <c r="J63" s="596">
        <f>J62/J45</f>
        <v>0.54410173160173159</v>
      </c>
      <c r="K63" s="596">
        <f>K62/K45</f>
        <v>0.61400851025909509</v>
      </c>
      <c r="L63" s="594">
        <f t="shared" ref="L63:V63" si="34">K63+0.1%</f>
        <v>0.61500851025909509</v>
      </c>
      <c r="M63" s="594">
        <f t="shared" si="34"/>
        <v>0.61600851025909509</v>
      </c>
      <c r="N63" s="594">
        <f t="shared" si="34"/>
        <v>0.61700851025909509</v>
      </c>
      <c r="O63" s="594">
        <f t="shared" si="34"/>
        <v>0.61800851025909509</v>
      </c>
      <c r="P63" s="594">
        <f t="shared" si="34"/>
        <v>0.61900851025909509</v>
      </c>
      <c r="Q63" s="594">
        <f t="shared" si="34"/>
        <v>0.62000851025909509</v>
      </c>
      <c r="R63" s="594">
        <f t="shared" si="34"/>
        <v>0.62100851025909509</v>
      </c>
      <c r="S63" s="594">
        <f t="shared" si="34"/>
        <v>0.62200851025909509</v>
      </c>
      <c r="T63" s="594">
        <f t="shared" si="34"/>
        <v>0.62300851025909509</v>
      </c>
      <c r="U63" s="594">
        <f t="shared" si="34"/>
        <v>0.62400851025909509</v>
      </c>
      <c r="V63" s="594">
        <f t="shared" si="34"/>
        <v>0.6250085102590951</v>
      </c>
      <c r="W63" s="154"/>
      <c r="X63" s="154"/>
      <c r="Y63" s="154"/>
      <c r="Z63" s="154"/>
      <c r="AA63" s="154"/>
      <c r="AB63" s="154"/>
      <c r="AC63" s="154"/>
      <c r="AD63" s="154"/>
      <c r="AE63" s="154"/>
      <c r="AF63" s="154"/>
      <c r="AG63" s="154"/>
      <c r="AH63" s="154"/>
      <c r="AI63" s="154"/>
      <c r="AJ63" s="154"/>
    </row>
    <row r="64" spans="1:36" ht="15.75">
      <c r="A64" s="154" t="s">
        <v>3</v>
      </c>
      <c r="B64" s="154"/>
      <c r="C64" s="597"/>
      <c r="D64" s="597"/>
      <c r="E64" s="597"/>
      <c r="F64" s="597"/>
      <c r="G64" s="597"/>
      <c r="H64" s="597">
        <f t="shared" ref="H64:V64" si="35">H62/G62-1</f>
        <v>0.31679581362584308</v>
      </c>
      <c r="I64" s="597">
        <f t="shared" si="35"/>
        <v>0.22437905999235763</v>
      </c>
      <c r="J64" s="597">
        <f t="shared" si="35"/>
        <v>0.38075026527682398</v>
      </c>
      <c r="K64" s="597">
        <f t="shared" si="35"/>
        <v>0.24592016635775971</v>
      </c>
      <c r="L64" s="597">
        <f t="shared" si="35"/>
        <v>9.8391506165645071E-2</v>
      </c>
      <c r="M64" s="597">
        <f t="shared" si="35"/>
        <v>0.1038810045160441</v>
      </c>
      <c r="N64" s="597">
        <f t="shared" si="35"/>
        <v>7.1271931051001269E-2</v>
      </c>
      <c r="O64" s="597">
        <f t="shared" si="35"/>
        <v>6.5729839047079519E-2</v>
      </c>
      <c r="P64" s="597">
        <f t="shared" si="35"/>
        <v>6.5375110486548316E-2</v>
      </c>
      <c r="Q64" s="597">
        <f t="shared" si="35"/>
        <v>6.5031901303516326E-2</v>
      </c>
      <c r="R64" s="597">
        <f t="shared" si="35"/>
        <v>6.469963576383142E-2</v>
      </c>
      <c r="S64" s="597">
        <f t="shared" si="35"/>
        <v>6.4377776287165123E-2</v>
      </c>
      <c r="T64" s="597">
        <f t="shared" si="35"/>
        <v>6.4065820328602419E-2</v>
      </c>
      <c r="U64" s="597">
        <f t="shared" si="35"/>
        <v>6.3763297561411081E-2</v>
      </c>
      <c r="V64" s="597">
        <f t="shared" si="35"/>
        <v>6.346976732760079E-2</v>
      </c>
      <c r="W64" s="154"/>
      <c r="X64" s="154"/>
      <c r="Y64" s="154"/>
      <c r="Z64" s="154"/>
      <c r="AA64" s="154"/>
      <c r="AB64" s="154"/>
      <c r="AC64" s="154"/>
      <c r="AD64" s="154"/>
      <c r="AE64" s="154"/>
      <c r="AF64" s="154"/>
      <c r="AG64" s="154"/>
      <c r="AH64" s="154"/>
      <c r="AI64" s="154"/>
      <c r="AJ64" s="154"/>
    </row>
    <row r="65" spans="1:36" ht="15.75">
      <c r="A65" s="530" t="s">
        <v>637</v>
      </c>
      <c r="B65" s="561"/>
      <c r="C65" s="561"/>
      <c r="D65" s="561"/>
      <c r="E65" s="561"/>
      <c r="F65" s="561"/>
      <c r="G65" s="561"/>
      <c r="H65" s="562"/>
      <c r="I65" s="562"/>
      <c r="J65" s="562"/>
      <c r="K65" s="562"/>
      <c r="L65" s="562"/>
      <c r="M65" s="562"/>
      <c r="N65" s="154"/>
      <c r="O65" s="154"/>
      <c r="P65" s="154"/>
      <c r="Q65" s="154"/>
      <c r="R65" s="154"/>
      <c r="S65" s="154"/>
      <c r="T65" s="154"/>
      <c r="U65" s="154"/>
      <c r="V65" s="154"/>
      <c r="W65" s="154"/>
      <c r="X65" s="154"/>
      <c r="Y65" s="154"/>
      <c r="Z65" s="154"/>
      <c r="AA65" s="154"/>
      <c r="AB65" s="154"/>
      <c r="AC65" s="154"/>
      <c r="AD65" s="154"/>
      <c r="AE65" s="154"/>
      <c r="AF65" s="154"/>
      <c r="AG65" s="154"/>
      <c r="AH65" s="154"/>
      <c r="AI65" s="154"/>
      <c r="AJ65" s="154"/>
    </row>
    <row r="66" spans="1:36" ht="15.75">
      <c r="A66" s="530"/>
      <c r="B66" s="561"/>
      <c r="C66" s="561"/>
      <c r="D66" s="561"/>
      <c r="E66" s="561"/>
      <c r="F66" s="561"/>
      <c r="G66" s="561"/>
      <c r="H66" s="562"/>
      <c r="I66" s="562"/>
      <c r="J66" s="562"/>
      <c r="K66" s="724"/>
      <c r="L66" s="724"/>
      <c r="M66" s="72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row>
    <row r="67" spans="1:36" ht="15.75">
      <c r="A67" s="154"/>
      <c r="B67" s="154"/>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row>
    <row r="68" spans="1:36" ht="15.75">
      <c r="A68" s="154"/>
      <c r="B68" s="154"/>
      <c r="C68" s="529"/>
      <c r="D68" s="154"/>
      <c r="E68" s="154"/>
      <c r="F68" s="154"/>
      <c r="G68" s="154"/>
      <c r="H68" s="154"/>
      <c r="I68" s="154"/>
      <c r="J68" s="154"/>
      <c r="K68" s="154"/>
      <c r="L68" s="154"/>
      <c r="M68" s="154"/>
      <c r="N68" s="154"/>
      <c r="O68" s="154"/>
      <c r="P68" s="154"/>
      <c r="Q68" s="154"/>
      <c r="R68" s="154"/>
      <c r="S68" s="154"/>
      <c r="T68" s="154"/>
      <c r="U68" s="154"/>
      <c r="V68" s="154"/>
      <c r="W68" s="154"/>
      <c r="X68" s="154"/>
      <c r="Y68" s="154"/>
      <c r="Z68" s="154"/>
      <c r="AA68" s="154"/>
      <c r="AB68" s="154"/>
      <c r="AC68" s="154"/>
      <c r="AD68" s="154"/>
      <c r="AE68" s="154"/>
      <c r="AF68" s="154"/>
      <c r="AG68" s="154"/>
      <c r="AH68" s="154"/>
      <c r="AI68" s="154"/>
      <c r="AJ68" s="154"/>
    </row>
    <row r="69" spans="1:36" ht="15.75">
      <c r="A69" s="160" t="s">
        <v>316</v>
      </c>
      <c r="B69" s="160"/>
      <c r="C69" s="616"/>
      <c r="D69" s="160"/>
      <c r="E69" s="160"/>
      <c r="F69" s="160"/>
      <c r="G69" s="615">
        <v>0.89100000000000001</v>
      </c>
      <c r="H69" s="615">
        <v>5.9660000000000002</v>
      </c>
      <c r="I69" s="615">
        <v>6.9740000000000002</v>
      </c>
      <c r="J69" s="615">
        <v>5.8550000000000004</v>
      </c>
      <c r="K69" s="615">
        <v>1.375</v>
      </c>
      <c r="L69" s="581">
        <f t="shared" ref="L69:Q69" si="36">L70*L45</f>
        <v>0</v>
      </c>
      <c r="M69" s="581">
        <f t="shared" si="36"/>
        <v>0</v>
      </c>
      <c r="N69" s="581">
        <f t="shared" si="36"/>
        <v>0</v>
      </c>
      <c r="O69" s="581">
        <f t="shared" si="36"/>
        <v>0</v>
      </c>
      <c r="P69" s="581">
        <f t="shared" si="36"/>
        <v>0</v>
      </c>
      <c r="Q69" s="581">
        <f t="shared" si="36"/>
        <v>0</v>
      </c>
      <c r="R69" s="581">
        <f t="shared" ref="R69:V69" si="37">R70*R45</f>
        <v>0</v>
      </c>
      <c r="S69" s="581">
        <f t="shared" si="37"/>
        <v>0</v>
      </c>
      <c r="T69" s="581">
        <f t="shared" si="37"/>
        <v>0</v>
      </c>
      <c r="U69" s="581">
        <f t="shared" si="37"/>
        <v>0</v>
      </c>
      <c r="V69" s="581">
        <f t="shared" si="37"/>
        <v>0</v>
      </c>
      <c r="W69" s="154"/>
      <c r="X69" s="154"/>
      <c r="Y69" s="154"/>
      <c r="Z69" s="154"/>
      <c r="AA69" s="154"/>
      <c r="AB69" s="154"/>
      <c r="AC69" s="154"/>
      <c r="AD69" s="154"/>
      <c r="AE69" s="154"/>
      <c r="AF69" s="154"/>
      <c r="AG69" s="154"/>
      <c r="AH69" s="154"/>
      <c r="AI69" s="154"/>
      <c r="AJ69" s="154"/>
    </row>
    <row r="70" spans="1:36" ht="15.75">
      <c r="A70" s="154" t="s">
        <v>664</v>
      </c>
      <c r="B70" s="154"/>
      <c r="C70" s="529"/>
      <c r="D70" s="154"/>
      <c r="E70" s="154"/>
      <c r="F70" s="154"/>
      <c r="G70" s="165">
        <f>G69/G45</f>
        <v>4.1020210855853785E-2</v>
      </c>
      <c r="H70" s="165">
        <f>H69/H45</f>
        <v>0.203291648209357</v>
      </c>
      <c r="I70" s="165">
        <f>I69/I45</f>
        <v>0.19337307638985168</v>
      </c>
      <c r="J70" s="165">
        <f>J69/J45</f>
        <v>0.14401318378591108</v>
      </c>
      <c r="K70" s="165">
        <f>K69/K45</f>
        <v>3.0632477109185288E-2</v>
      </c>
      <c r="L70" s="563"/>
      <c r="M70" s="563"/>
      <c r="N70" s="563"/>
      <c r="O70" s="563"/>
      <c r="P70" s="563"/>
      <c r="Q70" s="563"/>
      <c r="R70" s="563"/>
      <c r="S70" s="563"/>
      <c r="T70" s="563"/>
      <c r="U70" s="563"/>
      <c r="V70" s="563"/>
      <c r="W70" s="154"/>
      <c r="X70" s="154"/>
      <c r="Y70" s="154"/>
      <c r="Z70" s="154"/>
      <c r="AA70" s="154"/>
      <c r="AB70" s="154"/>
      <c r="AC70" s="154"/>
      <c r="AD70" s="154"/>
      <c r="AE70" s="154"/>
      <c r="AF70" s="154"/>
      <c r="AG70" s="154"/>
      <c r="AH70" s="154"/>
      <c r="AI70" s="154"/>
      <c r="AJ70" s="154"/>
    </row>
    <row r="71" spans="1:36" ht="15.75">
      <c r="A71" s="530" t="s">
        <v>637</v>
      </c>
      <c r="B71" s="561"/>
      <c r="C71" s="561"/>
      <c r="D71" s="561"/>
      <c r="E71" s="561"/>
      <c r="F71" s="561"/>
      <c r="G71" s="561"/>
      <c r="H71" s="562"/>
      <c r="I71" s="562"/>
      <c r="J71" s="562"/>
      <c r="K71" s="562"/>
      <c r="L71" s="562"/>
      <c r="M71" s="562"/>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row>
    <row r="72" spans="1:36" ht="15.75">
      <c r="A72" s="154"/>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row>
    <row r="74" spans="1:36" ht="15.75">
      <c r="A74" s="154"/>
      <c r="B74" s="154"/>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row>
    <row r="75" spans="1:36" ht="15.75">
      <c r="A75" s="163"/>
      <c r="B75" s="164"/>
      <c r="C75" s="164"/>
      <c r="D75" s="164"/>
      <c r="E75" s="164"/>
      <c r="F75" s="164"/>
      <c r="G75" s="164"/>
      <c r="H75" s="164"/>
      <c r="I75" s="164"/>
      <c r="J75" s="164"/>
      <c r="K75" s="164"/>
      <c r="L75" s="164"/>
      <c r="M75" s="164"/>
      <c r="N75" s="164"/>
      <c r="O75" s="164"/>
      <c r="P75" s="164"/>
      <c r="Q75" s="164"/>
      <c r="R75" s="164"/>
      <c r="S75" s="164"/>
      <c r="T75" s="164"/>
      <c r="U75" s="164"/>
      <c r="V75" s="164"/>
      <c r="W75" s="154"/>
      <c r="X75" s="154"/>
      <c r="Y75" s="154"/>
      <c r="Z75" s="154"/>
      <c r="AA75" s="154"/>
      <c r="AB75" s="154"/>
      <c r="AC75" s="154"/>
      <c r="AD75" s="154"/>
      <c r="AE75" s="154"/>
      <c r="AF75" s="154"/>
      <c r="AG75" s="154"/>
      <c r="AH75" s="154"/>
      <c r="AI75" s="154"/>
      <c r="AJ75" s="154"/>
    </row>
    <row r="76" spans="1:36" ht="15.75">
      <c r="A76" s="154"/>
      <c r="B76" s="154"/>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c r="AA76" s="154"/>
      <c r="AB76" s="154"/>
      <c r="AC76" s="154"/>
      <c r="AD76" s="154"/>
      <c r="AE76" s="154"/>
      <c r="AF76" s="154"/>
      <c r="AG76" s="154"/>
      <c r="AH76" s="154"/>
      <c r="AI76" s="154"/>
      <c r="AJ76" s="154"/>
    </row>
    <row r="77" spans="1:36" ht="15.75">
      <c r="A77" s="154"/>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row>
    <row r="78" spans="1:36" ht="15.75">
      <c r="A78" s="154"/>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c r="AA78" s="154"/>
      <c r="AB78" s="154"/>
      <c r="AC78" s="154"/>
      <c r="AD78" s="154"/>
      <c r="AE78" s="154"/>
      <c r="AF78" s="154"/>
      <c r="AG78" s="154"/>
      <c r="AH78" s="154"/>
      <c r="AI78" s="154"/>
      <c r="AJ78" s="154"/>
    </row>
    <row r="79" spans="1:36" ht="15.75">
      <c r="A79" s="154"/>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c r="AA79" s="154"/>
      <c r="AB79" s="154"/>
      <c r="AC79" s="154"/>
      <c r="AD79" s="154"/>
      <c r="AE79" s="154"/>
      <c r="AF79" s="154"/>
      <c r="AG79" s="154"/>
      <c r="AH79" s="154"/>
      <c r="AI79" s="154"/>
      <c r="AJ79" s="154"/>
    </row>
    <row r="80" spans="1:36" ht="15.75">
      <c r="A80" s="154"/>
      <c r="B80" s="154"/>
      <c r="C80" s="154"/>
      <c r="D80" s="154"/>
      <c r="E80" s="154"/>
      <c r="F80" s="154"/>
      <c r="G80" s="154"/>
      <c r="H80" s="154"/>
      <c r="I80" s="154"/>
      <c r="J80" s="154"/>
      <c r="K80" s="154"/>
      <c r="L80" s="154"/>
      <c r="M80" s="154"/>
      <c r="N80" s="154"/>
      <c r="O80" s="154"/>
      <c r="P80" s="154"/>
      <c r="Q80" s="154"/>
      <c r="R80" s="154"/>
      <c r="S80" s="154"/>
      <c r="T80" s="154"/>
      <c r="U80" s="154"/>
      <c r="V80" s="154"/>
      <c r="W80" s="154"/>
      <c r="X80" s="154"/>
      <c r="Y80" s="154"/>
      <c r="Z80" s="154"/>
      <c r="AA80" s="154"/>
      <c r="AB80" s="154"/>
      <c r="AC80" s="154"/>
      <c r="AD80" s="154"/>
      <c r="AE80" s="154"/>
      <c r="AF80" s="154"/>
      <c r="AG80" s="154"/>
      <c r="AH80" s="154"/>
      <c r="AI80" s="154"/>
      <c r="AJ80" s="154"/>
    </row>
    <row r="81" spans="1:36" ht="15.75">
      <c r="A81" s="154"/>
      <c r="B81" s="154"/>
      <c r="C81" s="154"/>
      <c r="D81" s="154"/>
      <c r="E81" s="154"/>
      <c r="F81" s="154"/>
      <c r="G81" s="154"/>
      <c r="H81" s="154"/>
      <c r="I81" s="154"/>
      <c r="J81" s="154"/>
      <c r="K81" s="154"/>
      <c r="L81" s="154"/>
      <c r="M81" s="154"/>
      <c r="N81" s="154"/>
      <c r="O81" s="154"/>
      <c r="P81" s="154"/>
      <c r="Q81" s="154"/>
      <c r="R81" s="154"/>
      <c r="S81" s="154"/>
      <c r="T81" s="154"/>
      <c r="U81" s="154"/>
      <c r="V81" s="154"/>
      <c r="W81" s="154"/>
      <c r="X81" s="154"/>
      <c r="Y81" s="154"/>
      <c r="Z81" s="154"/>
      <c r="AA81" s="154"/>
      <c r="AB81" s="154"/>
      <c r="AC81" s="154"/>
      <c r="AD81" s="154"/>
      <c r="AE81" s="154"/>
      <c r="AF81" s="154"/>
      <c r="AG81" s="154"/>
      <c r="AH81" s="154"/>
      <c r="AI81" s="154"/>
      <c r="AJ81" s="154"/>
    </row>
    <row r="82" spans="1:36" ht="15.75">
      <c r="A82" s="154"/>
      <c r="B82" s="154"/>
      <c r="C82" s="154"/>
      <c r="D82" s="154"/>
      <c r="E82" s="154"/>
      <c r="F82" s="154"/>
      <c r="G82" s="154"/>
      <c r="H82" s="154"/>
      <c r="I82" s="154"/>
      <c r="J82" s="154"/>
      <c r="K82" s="154"/>
      <c r="L82" s="154"/>
      <c r="M82" s="154"/>
      <c r="N82" s="154"/>
      <c r="O82" s="154"/>
      <c r="P82" s="154"/>
      <c r="Q82" s="154"/>
      <c r="R82" s="154"/>
      <c r="S82" s="154"/>
      <c r="T82" s="154"/>
      <c r="U82" s="154"/>
      <c r="V82" s="154"/>
      <c r="W82" s="154"/>
      <c r="X82" s="154"/>
      <c r="Y82" s="154"/>
      <c r="Z82" s="154"/>
      <c r="AA82" s="154"/>
      <c r="AB82" s="154"/>
      <c r="AC82" s="154"/>
      <c r="AD82" s="154"/>
      <c r="AE82" s="154"/>
      <c r="AF82" s="154"/>
      <c r="AG82" s="154"/>
      <c r="AH82" s="154"/>
      <c r="AI82" s="154"/>
      <c r="AJ82" s="154"/>
    </row>
    <row r="83" spans="1:36" ht="15.75">
      <c r="A83" s="154"/>
      <c r="B83" s="154"/>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c r="AA83" s="154"/>
      <c r="AB83" s="154"/>
      <c r="AC83" s="154"/>
      <c r="AD83" s="154"/>
      <c r="AE83" s="154"/>
      <c r="AF83" s="154"/>
      <c r="AG83" s="154"/>
      <c r="AH83" s="154"/>
      <c r="AI83" s="154"/>
      <c r="AJ83" s="154"/>
    </row>
    <row r="84" spans="1:36" ht="15.75">
      <c r="A84" s="154"/>
      <c r="B84" s="154"/>
      <c r="C84" s="154"/>
      <c r="D84" s="154"/>
      <c r="E84" s="154"/>
      <c r="F84" s="154"/>
      <c r="G84" s="154"/>
      <c r="H84" s="154"/>
      <c r="I84" s="154"/>
      <c r="J84" s="154"/>
      <c r="K84" s="154"/>
      <c r="L84" s="154"/>
      <c r="M84" s="154"/>
      <c r="N84" s="154"/>
      <c r="O84" s="154"/>
      <c r="P84" s="154"/>
      <c r="Q84" s="154"/>
      <c r="R84" s="154"/>
      <c r="S84" s="154"/>
      <c r="T84" s="154"/>
      <c r="U84" s="154"/>
      <c r="V84" s="154"/>
      <c r="W84" s="154"/>
      <c r="X84" s="154"/>
      <c r="Y84" s="154"/>
      <c r="Z84" s="154"/>
      <c r="AA84" s="154"/>
      <c r="AB84" s="154"/>
      <c r="AC84" s="154"/>
      <c r="AD84" s="154"/>
      <c r="AE84" s="154"/>
      <c r="AF84" s="154"/>
      <c r="AG84" s="154"/>
      <c r="AH84" s="154"/>
      <c r="AI84" s="154"/>
      <c r="AJ84" s="154"/>
    </row>
    <row r="85" spans="1:36" ht="15.75">
      <c r="A85" s="154"/>
      <c r="B85" s="154"/>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154"/>
      <c r="AA85" s="154"/>
      <c r="AB85" s="154"/>
      <c r="AC85" s="154"/>
      <c r="AD85" s="154"/>
      <c r="AE85" s="154"/>
      <c r="AF85" s="154"/>
      <c r="AG85" s="154"/>
      <c r="AH85" s="154"/>
      <c r="AI85" s="154"/>
      <c r="AJ85" s="154"/>
    </row>
    <row r="86" spans="1:36" ht="15.75">
      <c r="A86" s="154"/>
      <c r="B86" s="154"/>
      <c r="C86" s="154"/>
      <c r="D86" s="154"/>
      <c r="E86" s="154"/>
      <c r="F86" s="154"/>
      <c r="G86" s="154"/>
      <c r="H86" s="154"/>
      <c r="I86" s="154"/>
      <c r="J86" s="154"/>
      <c r="K86" s="154"/>
      <c r="L86" s="154"/>
      <c r="M86" s="154"/>
      <c r="N86" s="154"/>
      <c r="O86" s="154"/>
      <c r="P86" s="154"/>
      <c r="Q86" s="154"/>
      <c r="R86" s="154"/>
      <c r="S86" s="154"/>
      <c r="T86" s="154"/>
      <c r="U86" s="154"/>
      <c r="V86" s="154"/>
      <c r="W86" s="154"/>
      <c r="X86" s="154"/>
      <c r="Y86" s="154"/>
      <c r="Z86" s="154"/>
      <c r="AA86" s="154"/>
      <c r="AB86" s="154"/>
      <c r="AC86" s="154"/>
      <c r="AD86" s="154"/>
      <c r="AE86" s="154"/>
      <c r="AF86" s="154"/>
      <c r="AG86" s="154"/>
      <c r="AH86" s="154"/>
      <c r="AI86" s="154"/>
      <c r="AJ86" s="154"/>
    </row>
    <row r="87" spans="1:36" ht="15.75">
      <c r="A87" s="154"/>
      <c r="B87" s="154"/>
      <c r="C87" s="154"/>
      <c r="D87" s="154"/>
      <c r="E87" s="154"/>
      <c r="F87" s="154"/>
      <c r="G87" s="154"/>
      <c r="H87" s="154"/>
      <c r="I87" s="154"/>
      <c r="J87" s="154"/>
      <c r="K87" s="154"/>
      <c r="L87" s="154"/>
      <c r="M87" s="154"/>
      <c r="N87" s="154"/>
      <c r="O87" s="154"/>
      <c r="P87" s="154"/>
      <c r="Q87" s="154"/>
      <c r="R87" s="154"/>
      <c r="S87" s="154"/>
      <c r="T87" s="154"/>
      <c r="U87" s="154"/>
      <c r="V87" s="154"/>
      <c r="W87" s="154"/>
      <c r="X87" s="154"/>
      <c r="Y87" s="154"/>
      <c r="Z87" s="154"/>
      <c r="AA87" s="154"/>
      <c r="AB87" s="154"/>
      <c r="AC87" s="154"/>
      <c r="AD87" s="154"/>
      <c r="AE87" s="154"/>
      <c r="AF87" s="154"/>
      <c r="AG87" s="154"/>
      <c r="AH87" s="154"/>
      <c r="AI87" s="154"/>
      <c r="AJ87" s="154"/>
    </row>
    <row r="88" spans="1:36" ht="15.75">
      <c r="A88" s="154"/>
      <c r="B88" s="154"/>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c r="AA88" s="154"/>
      <c r="AB88" s="154"/>
      <c r="AC88" s="154"/>
      <c r="AD88" s="154"/>
      <c r="AE88" s="154"/>
      <c r="AF88" s="154"/>
      <c r="AG88" s="154"/>
      <c r="AH88" s="154"/>
      <c r="AI88" s="154"/>
      <c r="AJ88" s="154"/>
    </row>
    <row r="89" spans="1:36" ht="15.75">
      <c r="A89" s="154"/>
      <c r="B89" s="154"/>
      <c r="C89" s="154"/>
      <c r="D89" s="154"/>
      <c r="E89" s="154"/>
      <c r="F89" s="154"/>
      <c r="G89" s="154"/>
      <c r="H89" s="154"/>
      <c r="I89" s="154"/>
      <c r="J89" s="154"/>
      <c r="K89" s="154"/>
      <c r="L89" s="154"/>
      <c r="M89" s="154"/>
      <c r="N89" s="154"/>
      <c r="O89" s="154"/>
      <c r="P89" s="154"/>
      <c r="Q89" s="154"/>
      <c r="R89" s="154"/>
      <c r="S89" s="154"/>
      <c r="T89" s="154"/>
      <c r="U89" s="154"/>
      <c r="V89" s="154"/>
      <c r="W89" s="154"/>
      <c r="X89" s="154"/>
      <c r="Y89" s="154"/>
      <c r="Z89" s="154"/>
      <c r="AA89" s="154"/>
      <c r="AB89" s="154"/>
      <c r="AC89" s="154"/>
      <c r="AD89" s="154"/>
      <c r="AE89" s="154"/>
      <c r="AF89" s="154"/>
      <c r="AG89" s="154"/>
      <c r="AH89" s="154"/>
      <c r="AI89" s="154"/>
      <c r="AJ89" s="154"/>
    </row>
    <row r="90" spans="1:36" ht="15.75">
      <c r="A90" s="154"/>
      <c r="B90" s="154"/>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154"/>
      <c r="AA90" s="154"/>
      <c r="AB90" s="154"/>
      <c r="AC90" s="154"/>
      <c r="AD90" s="154"/>
      <c r="AE90" s="154"/>
      <c r="AF90" s="154"/>
      <c r="AG90" s="154"/>
      <c r="AH90" s="154"/>
      <c r="AI90" s="154"/>
      <c r="AJ90" s="154"/>
    </row>
    <row r="91" spans="1:36" ht="15.75">
      <c r="A91" s="154"/>
      <c r="B91" s="154"/>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54"/>
      <c r="AA91" s="154"/>
      <c r="AB91" s="154"/>
      <c r="AC91" s="154"/>
      <c r="AD91" s="154"/>
      <c r="AE91" s="154"/>
      <c r="AF91" s="154"/>
      <c r="AG91" s="154"/>
      <c r="AH91" s="154"/>
      <c r="AI91" s="154"/>
      <c r="AJ91" s="154"/>
    </row>
    <row r="92" spans="1:36" ht="15.75">
      <c r="A92" s="154"/>
      <c r="B92" s="154"/>
      <c r="C92" s="154"/>
      <c r="D92" s="154"/>
      <c r="E92" s="154"/>
      <c r="F92" s="154"/>
      <c r="G92" s="154"/>
      <c r="H92" s="154"/>
      <c r="I92" s="154"/>
      <c r="J92" s="154"/>
      <c r="K92" s="154"/>
      <c r="L92" s="154"/>
      <c r="M92" s="154"/>
      <c r="N92" s="154"/>
      <c r="O92" s="154"/>
      <c r="P92" s="154"/>
      <c r="Q92" s="154"/>
      <c r="R92" s="154"/>
      <c r="S92" s="154"/>
      <c r="T92" s="154"/>
      <c r="U92" s="154"/>
      <c r="V92" s="154"/>
      <c r="W92" s="154"/>
      <c r="X92" s="154"/>
      <c r="Y92" s="154"/>
      <c r="Z92" s="154"/>
      <c r="AA92" s="154"/>
      <c r="AB92" s="154"/>
      <c r="AC92" s="154"/>
      <c r="AD92" s="154"/>
      <c r="AE92" s="154"/>
      <c r="AF92" s="154"/>
      <c r="AG92" s="154"/>
      <c r="AH92" s="154"/>
      <c r="AI92" s="154"/>
      <c r="AJ92" s="154"/>
    </row>
    <row r="93" spans="1:36" ht="15.75">
      <c r="A93" s="154"/>
      <c r="B93" s="154"/>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c r="AA93" s="154"/>
      <c r="AB93" s="154"/>
      <c r="AC93" s="154"/>
      <c r="AD93" s="154"/>
      <c r="AE93" s="154"/>
      <c r="AF93" s="154"/>
      <c r="AG93" s="154"/>
      <c r="AH93" s="154"/>
      <c r="AI93" s="154"/>
      <c r="AJ93" s="154"/>
    </row>
    <row r="94" spans="1:36" ht="15.75">
      <c r="A94" s="154"/>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c r="AA94" s="154"/>
      <c r="AB94" s="154"/>
      <c r="AC94" s="154"/>
      <c r="AD94" s="154"/>
      <c r="AE94" s="154"/>
      <c r="AF94" s="154"/>
      <c r="AG94" s="154"/>
      <c r="AH94" s="154"/>
      <c r="AI94" s="154"/>
      <c r="AJ94" s="154"/>
    </row>
    <row r="95" spans="1:36" ht="15.75">
      <c r="A95" s="154"/>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c r="AA95" s="154"/>
      <c r="AB95" s="154"/>
      <c r="AC95" s="154"/>
      <c r="AD95" s="154"/>
      <c r="AE95" s="154"/>
      <c r="AF95" s="154"/>
      <c r="AG95" s="154"/>
      <c r="AH95" s="154"/>
      <c r="AI95" s="154"/>
      <c r="AJ95" s="154"/>
    </row>
    <row r="96" spans="1:36" ht="15.75">
      <c r="A96" s="154"/>
      <c r="B96" s="154"/>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row>
    <row r="97" spans="1:36" ht="15.75">
      <c r="A97" s="154"/>
      <c r="B97" s="154"/>
      <c r="C97" s="154"/>
      <c r="D97" s="154"/>
      <c r="E97" s="154"/>
      <c r="F97" s="154"/>
      <c r="G97" s="154"/>
      <c r="H97" s="154"/>
      <c r="I97" s="154"/>
      <c r="J97" s="154"/>
      <c r="K97" s="154"/>
      <c r="L97" s="154"/>
      <c r="M97" s="154"/>
      <c r="N97" s="154"/>
      <c r="O97" s="154"/>
      <c r="P97" s="154"/>
      <c r="Q97" s="154"/>
      <c r="R97" s="154"/>
      <c r="S97" s="154"/>
      <c r="T97" s="154"/>
      <c r="U97" s="154"/>
      <c r="V97" s="154"/>
      <c r="W97" s="154"/>
      <c r="X97" s="154"/>
      <c r="Y97" s="154"/>
      <c r="Z97" s="154"/>
      <c r="AA97" s="154"/>
      <c r="AB97" s="154"/>
      <c r="AC97" s="154"/>
      <c r="AD97" s="154"/>
      <c r="AE97" s="154"/>
      <c r="AF97" s="154"/>
      <c r="AG97" s="154"/>
      <c r="AH97" s="154"/>
      <c r="AI97" s="154"/>
      <c r="AJ97" s="154"/>
    </row>
    <row r="98" spans="1:36" ht="15.75">
      <c r="A98" s="154"/>
      <c r="B98" s="154"/>
      <c r="C98" s="154"/>
      <c r="D98" s="154"/>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row>
    <row r="99" spans="1:36" ht="15.75">
      <c r="A99" s="154"/>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c r="AA99" s="154"/>
      <c r="AB99" s="154"/>
      <c r="AC99" s="154"/>
      <c r="AD99" s="154"/>
      <c r="AE99" s="154"/>
      <c r="AF99" s="154"/>
      <c r="AG99" s="154"/>
      <c r="AH99" s="154"/>
      <c r="AI99" s="154"/>
      <c r="AJ99" s="154"/>
    </row>
    <row r="100" spans="1:36" ht="15.75">
      <c r="A100" s="154"/>
      <c r="B100" s="154"/>
      <c r="C100" s="154"/>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row>
    <row r="101" spans="1:36" ht="15.75">
      <c r="A101" s="154"/>
      <c r="B101" s="154"/>
      <c r="C101" s="154"/>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154"/>
      <c r="AA101" s="154"/>
      <c r="AB101" s="154"/>
      <c r="AC101" s="154"/>
      <c r="AD101" s="154"/>
      <c r="AE101" s="154"/>
      <c r="AF101" s="154"/>
      <c r="AG101" s="154"/>
      <c r="AH101" s="154"/>
      <c r="AI101" s="154"/>
      <c r="AJ101" s="154"/>
    </row>
    <row r="102" spans="1:36" ht="15.75">
      <c r="A102" s="154"/>
      <c r="B102" s="154"/>
      <c r="C102" s="154"/>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c r="AA102" s="154"/>
      <c r="AB102" s="154"/>
      <c r="AC102" s="154"/>
      <c r="AD102" s="154"/>
      <c r="AE102" s="154"/>
      <c r="AF102" s="154"/>
      <c r="AG102" s="154"/>
      <c r="AH102" s="154"/>
      <c r="AI102" s="154"/>
      <c r="AJ102" s="154"/>
    </row>
    <row r="103" spans="1:36" ht="15.75">
      <c r="A103" s="154"/>
      <c r="B103" s="154"/>
      <c r="C103" s="154"/>
      <c r="D103" s="154"/>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c r="AA103" s="154"/>
      <c r="AB103" s="154"/>
      <c r="AC103" s="154"/>
      <c r="AD103" s="154"/>
      <c r="AE103" s="154"/>
      <c r="AF103" s="154"/>
      <c r="AG103" s="154"/>
      <c r="AH103" s="154"/>
      <c r="AI103" s="154"/>
      <c r="AJ103" s="154"/>
    </row>
    <row r="104" spans="1:36" ht="15.75">
      <c r="A104" s="154"/>
      <c r="B104" s="154"/>
      <c r="C104" s="154"/>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c r="AA104" s="154"/>
      <c r="AB104" s="154"/>
      <c r="AC104" s="154"/>
      <c r="AD104" s="154"/>
      <c r="AE104" s="154"/>
      <c r="AF104" s="154"/>
      <c r="AG104" s="154"/>
      <c r="AH104" s="154"/>
      <c r="AI104" s="154"/>
      <c r="AJ104" s="154"/>
    </row>
    <row r="105" spans="1:36" ht="15.75">
      <c r="A105" s="154"/>
      <c r="B105" s="154"/>
      <c r="C105" s="154"/>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4"/>
      <c r="AA105" s="154"/>
      <c r="AB105" s="154"/>
      <c r="AC105" s="154"/>
      <c r="AD105" s="154"/>
      <c r="AE105" s="154"/>
      <c r="AF105" s="154"/>
      <c r="AG105" s="154"/>
      <c r="AH105" s="154"/>
      <c r="AI105" s="154"/>
      <c r="AJ105" s="154"/>
    </row>
    <row r="106" spans="1:36" ht="15.75">
      <c r="A106" s="154"/>
      <c r="B106" s="154"/>
      <c r="C106" s="154"/>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154"/>
      <c r="AA106" s="154"/>
      <c r="AB106" s="154"/>
      <c r="AC106" s="154"/>
      <c r="AD106" s="154"/>
      <c r="AE106" s="154"/>
      <c r="AF106" s="154"/>
      <c r="AG106" s="154"/>
      <c r="AH106" s="154"/>
      <c r="AI106" s="154"/>
    </row>
    <row r="107" spans="1:36" ht="15.75">
      <c r="A107" s="154"/>
      <c r="B107" s="154"/>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c r="AA107" s="154"/>
      <c r="AB107" s="154"/>
      <c r="AC107" s="154"/>
      <c r="AD107" s="154"/>
      <c r="AE107" s="154"/>
      <c r="AF107" s="154"/>
      <c r="AG107" s="154"/>
      <c r="AH107" s="154"/>
      <c r="AI107" s="154"/>
    </row>
    <row r="108" spans="1:36" ht="15.75">
      <c r="A108" s="154"/>
      <c r="B108" s="154"/>
      <c r="C108" s="154"/>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c r="AA108" s="154"/>
      <c r="AB108" s="154"/>
      <c r="AC108" s="154"/>
      <c r="AD108" s="154"/>
      <c r="AE108" s="154"/>
      <c r="AF108" s="154"/>
      <c r="AG108" s="154"/>
      <c r="AH108" s="154"/>
      <c r="AI108" s="154"/>
    </row>
    <row r="109" spans="1:36" ht="15.75">
      <c r="A109" s="154"/>
      <c r="B109" s="154"/>
      <c r="C109" s="154"/>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154"/>
      <c r="Z109" s="154"/>
      <c r="AA109" s="154"/>
      <c r="AB109" s="154"/>
      <c r="AC109" s="154"/>
      <c r="AD109" s="154"/>
      <c r="AE109" s="154"/>
      <c r="AF109" s="154"/>
      <c r="AG109" s="154"/>
      <c r="AH109" s="154"/>
      <c r="AI109" s="154"/>
    </row>
    <row r="110" spans="1:36" ht="15.75">
      <c r="A110" s="154"/>
      <c r="B110" s="154"/>
      <c r="C110" s="154"/>
      <c r="D110" s="154"/>
      <c r="E110" s="154"/>
      <c r="F110" s="154"/>
      <c r="G110" s="154"/>
      <c r="H110" s="154"/>
      <c r="I110" s="154"/>
      <c r="J110" s="154"/>
      <c r="K110" s="154"/>
      <c r="L110" s="154"/>
      <c r="M110" s="154"/>
      <c r="N110" s="154"/>
      <c r="O110" s="154"/>
      <c r="P110" s="154"/>
      <c r="Q110" s="154"/>
      <c r="R110" s="154"/>
      <c r="S110" s="154"/>
      <c r="T110" s="154"/>
      <c r="U110" s="154"/>
      <c r="V110" s="154"/>
      <c r="W110" s="154"/>
      <c r="X110" s="154"/>
      <c r="Y110" s="154"/>
      <c r="Z110" s="154"/>
      <c r="AA110" s="154"/>
      <c r="AB110" s="154"/>
      <c r="AC110" s="154"/>
      <c r="AD110" s="154"/>
      <c r="AE110" s="154"/>
      <c r="AF110" s="154"/>
      <c r="AG110" s="154"/>
      <c r="AH110" s="154"/>
      <c r="AI110" s="154"/>
    </row>
    <row r="111" spans="1:36" ht="15.75">
      <c r="A111" s="154"/>
      <c r="B111" s="154"/>
      <c r="C111" s="154"/>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c r="AA111" s="154"/>
      <c r="AB111" s="154"/>
      <c r="AC111" s="154"/>
      <c r="AD111" s="154"/>
      <c r="AE111" s="154"/>
      <c r="AF111" s="154"/>
      <c r="AG111" s="154"/>
      <c r="AH111" s="154"/>
      <c r="AI111" s="154"/>
    </row>
    <row r="112" spans="1:36" ht="15.75">
      <c r="A112" s="154"/>
      <c r="B112" s="154"/>
      <c r="C112" s="154"/>
      <c r="D112" s="154"/>
      <c r="E112" s="154"/>
      <c r="F112" s="154"/>
      <c r="G112" s="154"/>
      <c r="H112" s="154"/>
      <c r="I112" s="154"/>
      <c r="J112" s="154"/>
      <c r="K112" s="154"/>
      <c r="L112" s="154"/>
      <c r="M112" s="154"/>
      <c r="N112" s="154"/>
      <c r="O112" s="154"/>
      <c r="P112" s="154"/>
      <c r="Q112" s="154"/>
      <c r="R112" s="154"/>
      <c r="S112" s="154"/>
      <c r="T112" s="154"/>
      <c r="U112" s="154"/>
      <c r="V112" s="154"/>
      <c r="W112" s="154"/>
      <c r="X112" s="154"/>
      <c r="Y112" s="154"/>
      <c r="Z112" s="154"/>
      <c r="AA112" s="154"/>
      <c r="AB112" s="154"/>
      <c r="AC112" s="154"/>
      <c r="AD112" s="154"/>
      <c r="AE112" s="154"/>
      <c r="AF112" s="154"/>
      <c r="AG112" s="154"/>
      <c r="AH112" s="154"/>
      <c r="AI112" s="154"/>
    </row>
    <row r="113" spans="1:35" ht="15.75">
      <c r="A113" s="154"/>
      <c r="B113" s="154"/>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c r="AA113" s="154"/>
      <c r="AB113" s="154"/>
      <c r="AC113" s="154"/>
      <c r="AD113" s="154"/>
      <c r="AE113" s="154"/>
      <c r="AF113" s="154"/>
      <c r="AG113" s="154"/>
      <c r="AH113" s="154"/>
      <c r="AI113" s="154"/>
    </row>
    <row r="114" spans="1:35" ht="15.75">
      <c r="A114" s="154"/>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c r="AA114" s="154"/>
      <c r="AB114" s="154"/>
      <c r="AC114" s="154"/>
      <c r="AD114" s="154"/>
      <c r="AE114" s="154"/>
      <c r="AF114" s="154"/>
      <c r="AG114" s="154"/>
      <c r="AH114" s="154"/>
      <c r="AI114" s="154"/>
    </row>
    <row r="115" spans="1:35" ht="15.75">
      <c r="A115" s="154"/>
      <c r="B115" s="154"/>
      <c r="C115" s="154"/>
      <c r="D115" s="154"/>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row>
    <row r="116" spans="1:35" ht="15.75">
      <c r="A116" s="154"/>
      <c r="B116" s="154"/>
      <c r="C116" s="154"/>
      <c r="D116" s="154"/>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c r="AA116" s="154"/>
      <c r="AB116" s="154"/>
      <c r="AC116" s="154"/>
      <c r="AD116" s="154"/>
      <c r="AE116" s="154"/>
      <c r="AF116" s="154"/>
      <c r="AG116" s="154"/>
      <c r="AH116" s="154"/>
      <c r="AI116" s="154"/>
    </row>
    <row r="117" spans="1:35" ht="15.75">
      <c r="A117" s="154"/>
      <c r="B117" s="154"/>
      <c r="C117" s="154"/>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c r="AA117" s="154"/>
      <c r="AB117" s="154"/>
      <c r="AC117" s="154"/>
      <c r="AD117" s="154"/>
      <c r="AE117" s="154"/>
      <c r="AF117" s="154"/>
      <c r="AG117" s="154"/>
      <c r="AH117" s="154"/>
      <c r="AI117" s="154"/>
    </row>
    <row r="118" spans="1:35" ht="15.75">
      <c r="A118" s="154"/>
      <c r="B118" s="154"/>
      <c r="C118" s="154"/>
      <c r="D118" s="154"/>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c r="AA118" s="154"/>
      <c r="AB118" s="154"/>
      <c r="AC118" s="154"/>
      <c r="AD118" s="154"/>
      <c r="AE118" s="154"/>
      <c r="AF118" s="154"/>
      <c r="AG118" s="154"/>
      <c r="AH118" s="154"/>
      <c r="AI118" s="154"/>
    </row>
    <row r="119" spans="1:35" ht="15.75">
      <c r="A119" s="154"/>
      <c r="B119" s="154"/>
      <c r="C119" s="154"/>
      <c r="D119" s="154"/>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row>
    <row r="120" spans="1:35" ht="15.75">
      <c r="A120" s="154"/>
      <c r="B120" s="154"/>
      <c r="C120" s="154"/>
      <c r="D120" s="154"/>
      <c r="E120" s="154"/>
      <c r="F120" s="154"/>
      <c r="G120" s="154"/>
      <c r="H120" s="154"/>
      <c r="I120" s="154"/>
      <c r="J120" s="154"/>
      <c r="K120" s="154"/>
      <c r="L120" s="154"/>
      <c r="M120" s="154"/>
      <c r="N120" s="154"/>
      <c r="O120" s="154"/>
      <c r="P120" s="154"/>
      <c r="Q120" s="154"/>
      <c r="R120" s="154"/>
      <c r="S120" s="154"/>
      <c r="T120" s="154"/>
      <c r="U120" s="154"/>
      <c r="V120" s="154"/>
      <c r="W120" s="154"/>
      <c r="X120" s="154"/>
      <c r="Y120" s="154"/>
      <c r="Z120" s="154"/>
      <c r="AA120" s="154"/>
      <c r="AB120" s="154"/>
      <c r="AC120" s="154"/>
      <c r="AD120" s="154"/>
      <c r="AE120" s="154"/>
      <c r="AF120" s="154"/>
      <c r="AG120" s="154"/>
      <c r="AH120" s="154"/>
      <c r="AI120" s="154"/>
    </row>
    <row r="121" spans="1:35" ht="15.75">
      <c r="A121" s="154"/>
      <c r="B121" s="154"/>
      <c r="C121" s="154"/>
      <c r="D121" s="154"/>
      <c r="E121" s="154"/>
      <c r="F121" s="154"/>
      <c r="G121" s="154"/>
      <c r="H121" s="154"/>
      <c r="I121" s="154"/>
      <c r="J121" s="154"/>
      <c r="K121" s="154"/>
      <c r="L121" s="154"/>
      <c r="M121" s="154"/>
      <c r="N121" s="154"/>
      <c r="O121" s="154"/>
      <c r="P121" s="154"/>
      <c r="Q121" s="154"/>
      <c r="R121" s="154"/>
      <c r="S121" s="154"/>
      <c r="T121" s="154"/>
      <c r="U121" s="154"/>
      <c r="V121" s="154"/>
      <c r="W121" s="154"/>
      <c r="X121" s="154"/>
      <c r="Y121" s="154"/>
      <c r="Z121" s="154"/>
      <c r="AA121" s="154"/>
      <c r="AB121" s="154"/>
      <c r="AC121" s="154"/>
      <c r="AD121" s="154"/>
      <c r="AE121" s="154"/>
      <c r="AF121" s="154"/>
      <c r="AG121" s="154"/>
      <c r="AH121" s="154"/>
      <c r="AI121" s="154"/>
    </row>
    <row r="122" spans="1:35" ht="15.75">
      <c r="A122" s="154"/>
      <c r="B122" s="154"/>
      <c r="C122" s="154"/>
      <c r="D122" s="154"/>
      <c r="E122" s="154"/>
      <c r="F122" s="154"/>
      <c r="G122" s="154"/>
      <c r="H122" s="154"/>
      <c r="I122" s="154"/>
      <c r="J122" s="154"/>
      <c r="K122" s="154"/>
      <c r="L122" s="154"/>
      <c r="M122" s="154"/>
      <c r="N122" s="154"/>
      <c r="O122" s="154"/>
      <c r="P122" s="154"/>
      <c r="Q122" s="154"/>
      <c r="R122" s="154"/>
      <c r="S122" s="154"/>
      <c r="T122" s="154"/>
      <c r="U122" s="154"/>
      <c r="V122" s="154"/>
      <c r="W122" s="154"/>
      <c r="X122" s="154"/>
      <c r="Y122" s="154"/>
      <c r="Z122" s="154"/>
      <c r="AA122" s="154"/>
      <c r="AB122" s="154"/>
      <c r="AC122" s="154"/>
      <c r="AD122" s="154"/>
      <c r="AE122" s="154"/>
      <c r="AF122" s="154"/>
      <c r="AG122" s="154"/>
      <c r="AH122" s="154"/>
      <c r="AI122" s="154"/>
    </row>
    <row r="123" spans="1:35" ht="15.75">
      <c r="A123" s="154"/>
      <c r="B123" s="154"/>
      <c r="C123" s="154"/>
      <c r="D123" s="154"/>
      <c r="E123" s="154"/>
      <c r="F123" s="154"/>
      <c r="G123" s="154"/>
      <c r="H123" s="154"/>
      <c r="I123" s="154"/>
      <c r="J123" s="154"/>
      <c r="K123" s="154"/>
      <c r="L123" s="154"/>
      <c r="M123" s="154"/>
      <c r="N123" s="154"/>
      <c r="O123" s="154"/>
      <c r="P123" s="154"/>
      <c r="Q123" s="154"/>
      <c r="R123" s="154"/>
      <c r="S123" s="154"/>
      <c r="T123" s="154"/>
      <c r="U123" s="154"/>
      <c r="V123" s="154"/>
      <c r="W123" s="154"/>
      <c r="X123" s="154"/>
      <c r="Y123" s="154"/>
      <c r="Z123" s="154"/>
      <c r="AA123" s="154"/>
      <c r="AB123" s="154"/>
      <c r="AC123" s="154"/>
      <c r="AD123" s="154"/>
      <c r="AE123" s="154"/>
      <c r="AF123" s="154"/>
      <c r="AG123" s="154"/>
      <c r="AH123" s="154"/>
      <c r="AI123" s="154"/>
    </row>
    <row r="124" spans="1:35" ht="15.75">
      <c r="A124" s="154"/>
      <c r="B124" s="154"/>
      <c r="C124" s="154"/>
      <c r="D124" s="154"/>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row>
    <row r="125" spans="1:35" ht="15.75">
      <c r="A125" s="154"/>
      <c r="B125" s="154"/>
      <c r="C125" s="154"/>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c r="AA125" s="154"/>
      <c r="AB125" s="154"/>
      <c r="AC125" s="154"/>
      <c r="AD125" s="154"/>
      <c r="AE125" s="154"/>
      <c r="AF125" s="154"/>
      <c r="AG125" s="154"/>
      <c r="AH125" s="154"/>
      <c r="AI125" s="154"/>
    </row>
    <row r="126" spans="1:35" ht="15.75">
      <c r="A126" s="154"/>
      <c r="B126" s="154"/>
      <c r="C126" s="154"/>
      <c r="D126" s="154"/>
      <c r="E126" s="154"/>
      <c r="F126" s="154"/>
      <c r="G126" s="154"/>
      <c r="H126" s="154"/>
      <c r="I126" s="154"/>
      <c r="J126" s="154"/>
      <c r="K126" s="154"/>
      <c r="L126" s="154"/>
      <c r="M126" s="154"/>
      <c r="N126" s="154"/>
      <c r="O126" s="154"/>
      <c r="P126" s="154"/>
      <c r="Q126" s="154"/>
      <c r="R126" s="154"/>
      <c r="S126" s="154"/>
      <c r="T126" s="154"/>
      <c r="U126" s="154"/>
      <c r="V126" s="154"/>
      <c r="W126" s="154"/>
      <c r="X126" s="154"/>
      <c r="Y126" s="154"/>
      <c r="Z126" s="154"/>
      <c r="AA126" s="154"/>
      <c r="AB126" s="154"/>
      <c r="AC126" s="154"/>
      <c r="AD126" s="154"/>
      <c r="AE126" s="154"/>
      <c r="AF126" s="154"/>
      <c r="AG126" s="154"/>
      <c r="AH126" s="154"/>
      <c r="AI126" s="154"/>
    </row>
    <row r="127" spans="1:35" ht="15.75">
      <c r="A127" s="154"/>
      <c r="B127" s="154"/>
      <c r="C127" s="154"/>
      <c r="D127" s="154"/>
      <c r="E127" s="154"/>
      <c r="F127" s="154"/>
      <c r="G127" s="154"/>
      <c r="H127" s="154"/>
      <c r="I127" s="154"/>
      <c r="J127" s="154"/>
      <c r="K127" s="154"/>
      <c r="L127" s="154"/>
      <c r="M127" s="154"/>
      <c r="N127" s="154"/>
      <c r="O127" s="154"/>
      <c r="P127" s="154"/>
      <c r="Q127" s="154"/>
      <c r="R127" s="154"/>
      <c r="S127" s="154"/>
      <c r="T127" s="154"/>
      <c r="U127" s="154"/>
      <c r="V127" s="154"/>
      <c r="W127" s="154"/>
      <c r="X127" s="154"/>
      <c r="Y127" s="154"/>
      <c r="Z127" s="154"/>
      <c r="AA127" s="154"/>
      <c r="AB127" s="154"/>
      <c r="AC127" s="154"/>
      <c r="AD127" s="154"/>
      <c r="AE127" s="154"/>
      <c r="AF127" s="154"/>
      <c r="AG127" s="154"/>
      <c r="AH127" s="154"/>
      <c r="AI127" s="154"/>
    </row>
  </sheetData>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a64ecaf-0ff2-4962-b687-c42052c96c69">
      <Terms xmlns="http://schemas.microsoft.com/office/infopath/2007/PartnerControls"/>
    </lcf76f155ced4ddcb4097134ff3c332f>
    <TaxCatchAll xmlns="ac44878d-96d9-4f15-b496-a713624269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45DFD126F1C944A14E489380A940D9" ma:contentTypeVersion="13" ma:contentTypeDescription="Create a new document." ma:contentTypeScope="" ma:versionID="54a3a045f6e2758a88fefc4509e6ba4d">
  <xsd:schema xmlns:xsd="http://www.w3.org/2001/XMLSchema" xmlns:xs="http://www.w3.org/2001/XMLSchema" xmlns:p="http://schemas.microsoft.com/office/2006/metadata/properties" xmlns:ns2="7a64ecaf-0ff2-4962-b687-c42052c96c69" xmlns:ns3="ac44878d-96d9-4f15-b496-a71362426953" targetNamespace="http://schemas.microsoft.com/office/2006/metadata/properties" ma:root="true" ma:fieldsID="643ec04db5565974903b6764794c1175" ns2:_="" ns3:_="">
    <xsd:import namespace="7a64ecaf-0ff2-4962-b687-c42052c96c69"/>
    <xsd:import namespace="ac44878d-96d9-4f15-b496-a713624269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4ecaf-0ff2-4962-b687-c42052c96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47c01aa-fa72-499e-a558-c0906cb7ca6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44878d-96d9-4f15-b496-a7136242695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b3b699d-aa6c-457c-8a6e-4428a86250e7}" ma:internalName="TaxCatchAll" ma:showField="CatchAllData" ma:web="ac44878d-96d9-4f15-b496-a713624269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5602E7-9012-4CE9-ADB0-DAB47D3DCC65}">
  <ds:schemaRefs>
    <ds:schemaRef ds:uri="http://purl.org/dc/dcmitype/"/>
    <ds:schemaRef ds:uri="http://www.w3.org/XML/1998/namespace"/>
    <ds:schemaRef ds:uri="http://schemas.microsoft.com/office/2006/documentManagement/types"/>
    <ds:schemaRef ds:uri="http://purl.org/dc/elements/1.1/"/>
    <ds:schemaRef ds:uri="http://schemas.microsoft.com/office/2006/metadata/properties"/>
    <ds:schemaRef ds:uri="http://purl.org/dc/terms/"/>
    <ds:schemaRef ds:uri="ac44878d-96d9-4f15-b496-a71362426953"/>
    <ds:schemaRef ds:uri="http://schemas.microsoft.com/office/infopath/2007/PartnerControls"/>
    <ds:schemaRef ds:uri="http://schemas.openxmlformats.org/package/2006/metadata/core-properties"/>
    <ds:schemaRef ds:uri="7a64ecaf-0ff2-4962-b687-c42052c96c69"/>
  </ds:schemaRefs>
</ds:datastoreItem>
</file>

<file path=customXml/itemProps2.xml><?xml version="1.0" encoding="utf-8"?>
<ds:datastoreItem xmlns:ds="http://schemas.openxmlformats.org/officeDocument/2006/customXml" ds:itemID="{4833FE78-3189-458E-84CF-D72A3E971A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4ecaf-0ff2-4962-b687-c42052c96c69"/>
    <ds:schemaRef ds:uri="ac44878d-96d9-4f15-b496-a71362426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CDB072-C222-4092-822E-444D1D0D3A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26</vt:i4>
      </vt:variant>
      <vt:variant>
        <vt:lpstr>Named Ranges</vt:lpstr>
      </vt:variant>
      <vt:variant>
        <vt:i4>1</vt:i4>
      </vt:variant>
    </vt:vector>
  </HeadingPairs>
  <TitlesOfParts>
    <vt:vector size="27" baseType="lpstr">
      <vt:lpstr>Cover</vt:lpstr>
      <vt:lpstr>Disclaimer</vt:lpstr>
      <vt:lpstr>Valuation</vt:lpstr>
      <vt:lpstr>Master</vt:lpstr>
      <vt:lpstr>Consolidation</vt:lpstr>
      <vt:lpstr>Nigeria</vt:lpstr>
      <vt:lpstr>SSA</vt:lpstr>
      <vt:lpstr>Latam</vt:lpstr>
      <vt:lpstr>MENA</vt:lpstr>
      <vt:lpstr>Interims</vt:lpstr>
      <vt:lpstr>Lisbon</vt:lpstr>
      <vt:lpstr>HY</vt:lpstr>
      <vt:lpstr>Anna</vt:lpstr>
      <vt:lpstr>Sites and tenancies</vt:lpstr>
      <vt:lpstr>Sheet2</vt:lpstr>
      <vt:lpstr>New v old</vt:lpstr>
      <vt:lpstr>Value Crystallisation</vt:lpstr>
      <vt:lpstr>Deval</vt:lpstr>
      <vt:lpstr>Tower model</vt:lpstr>
      <vt:lpstr>Tenancies</vt:lpstr>
      <vt:lpstr>Key debates</vt:lpstr>
      <vt:lpstr>Tower contract differences</vt:lpstr>
      <vt:lpstr>Shareholders</vt:lpstr>
      <vt:lpstr>PG</vt:lpstr>
      <vt:lpstr>Sheet1</vt:lpstr>
      <vt:lpstr>Sheet3</vt:lpstr>
      <vt:lpstr>Master!Print_Area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Alastair Jones</dc:creator>
  <cp:lastModifiedBy>David-Mickael Lopes</cp:lastModifiedBy>
  <cp:lastPrinted>2021-09-22T11:49:47Z</cp:lastPrinted>
  <dcterms:created xsi:type="dcterms:W3CDTF">2019-09-12T10:39:17Z</dcterms:created>
  <dcterms:modified xsi:type="dcterms:W3CDTF">2025-09-29T11:22:25Z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0x0101004E45DFD126F1C944A14E489380A940D9</vt:lpwstr>
  </property>
  <property fmtid="{D5CDD505-2E9C-101B-9397-08002B2CF9AE}" pid="3" name="Order">
    <vt:r8>8156000</vt:r8>
  </property>
  <property fmtid="{D5CDD505-2E9C-101B-9397-08002B2CF9AE}" pid="4" name="MediaServiceImageTags">
    <vt:lpwstr/>
  </property>
</Properties>
</file>